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元)" sheetId="67" state="hidden" r:id="rId24"/>
    <sheet name="收益法（汇总）" sheetId="70"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收益法-已出租" sheetId="15" r:id="rId39"/>
    <sheet name="收益法-未出租" sheetId="81" r:id="rId40"/>
    <sheet name="比较法-租金"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租赁情况" sheetId="80"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40"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9">'收益法-未出租'!$A$1:$AK$69</definedName>
    <definedName name="_xlnm.Print_Area" localSheetId="38">'收益法-已出租'!$A$1:$AK$69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'比较法-租金'!$B$116:$M$116</definedName>
    <definedName name="商业层高">'比较法-商业'!$B$116:$M$116</definedName>
    <definedName name="商业成新度" localSheetId="40">'比较法-租金'!$B$109:$M$109</definedName>
    <definedName name="商业成新度">'比较法-商业'!$B$109:$M$109</definedName>
    <definedName name="商业繁华度">定义!$L$1:$L$6</definedName>
    <definedName name="商业公共部分装修" localSheetId="40">'比较法-租金'!$B$107:$M$107</definedName>
    <definedName name="商业公共部分装修">'比较法-商业'!$B$107:$M$107</definedName>
    <definedName name="商业基础设施水平" localSheetId="40">'比较法-租金'!$B$112:$M$112</definedName>
    <definedName name="商业基础设施水平">'比较法-商业'!$B$112:$M$112</definedName>
    <definedName name="商业建筑结构" localSheetId="40">'比较法-租金'!$B$105:$M$105</definedName>
    <definedName name="商业建筑结构">'比较法-商业'!$B$105:$M$105</definedName>
    <definedName name="商业交易情况" localSheetId="40">'比较法-租金'!$A$61:$M$61</definedName>
    <definedName name="商业交易情况">'比较法-商业'!$A$61:$M$61</definedName>
    <definedName name="商业街名称">修正!$C$59:$C$119</definedName>
    <definedName name="商业进深比" localSheetId="40">'比较法-租金'!$B$120:$M$120</definedName>
    <definedName name="商业进深比">'比较法-商业'!$B$120:$M$120</definedName>
    <definedName name="商业类型" localSheetId="40">'比较法-租金'!$B$100:$M$100</definedName>
    <definedName name="商业类型">'比较法-商业'!$B$100:$M$100</definedName>
    <definedName name="商业临街状况" localSheetId="40">'比较法-租金'!$B$86:$M$86</definedName>
    <definedName name="商业临街状况">'比较法-商业'!$B$86:$M$86</definedName>
    <definedName name="商业楼层" localSheetId="40">'比较法-租金'!$B$92:$M$92</definedName>
    <definedName name="商业楼层">'比较法-商业'!$B$92:$M$92</definedName>
    <definedName name="商业内部装修" localSheetId="40">'比较法-租金'!$B$122:$M$122</definedName>
    <definedName name="商业内部装修">'比较法-商业'!$B$122:$M$122</definedName>
    <definedName name="商业人流量" localSheetId="40">'比较法-租金'!$B$90:$M$90</definedName>
    <definedName name="商业人流量">'比较法-商业'!$B$90:$M$90</definedName>
    <definedName name="商业业态" localSheetId="40">'比较法-租金'!$B$114:$M$114</definedName>
    <definedName name="商业业态">'比较法-商业'!$B$114:$M$114</definedName>
    <definedName name="商业用途" localSheetId="40">'比较法-租金'!$B$63:$M$63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J49" i="81" l="1"/>
  <c r="J48" i="81"/>
  <c r="J50" i="81" s="1"/>
  <c r="J47" i="81"/>
  <c r="F70" i="15"/>
  <c r="F52" i="15"/>
  <c r="F49" i="15"/>
  <c r="AD6" i="1"/>
  <c r="AB6" i="1"/>
  <c r="AA6" i="1"/>
  <c r="AM7" i="1"/>
  <c r="AL7" i="1"/>
  <c r="AK7" i="1"/>
  <c r="Q7" i="1"/>
  <c r="L7" i="1"/>
  <c r="J7" i="1"/>
  <c r="I7" i="1"/>
  <c r="H7" i="1"/>
  <c r="F20" i="6"/>
  <c r="C13" i="80"/>
  <c r="D13" i="80"/>
  <c r="D14" i="80" s="1"/>
  <c r="U6" i="1" s="1"/>
  <c r="K43" i="79"/>
  <c r="K42" i="79"/>
  <c r="K41" i="79"/>
  <c r="K39" i="79"/>
  <c r="K38" i="79"/>
  <c r="K37" i="79"/>
  <c r="K36" i="79"/>
  <c r="K35" i="79"/>
  <c r="K34" i="79"/>
  <c r="K32" i="79"/>
  <c r="K27" i="79"/>
  <c r="K25" i="79"/>
  <c r="K23" i="79"/>
  <c r="K21" i="79"/>
  <c r="K19" i="79"/>
  <c r="K17" i="79"/>
  <c r="K15" i="79"/>
  <c r="K10" i="79"/>
  <c r="Q72" i="81"/>
  <c r="Q59" i="81"/>
  <c r="K59" i="81"/>
  <c r="P74" i="81" s="1"/>
  <c r="F59" i="81"/>
  <c r="Q58" i="81"/>
  <c r="Q51" i="81"/>
  <c r="M47" i="81"/>
  <c r="D46" i="81"/>
  <c r="F33" i="81"/>
  <c r="F61" i="81" s="1"/>
  <c r="F31" i="81"/>
  <c r="F23" i="81"/>
  <c r="D23" i="81" s="1"/>
  <c r="F21" i="81"/>
  <c r="F20" i="81"/>
  <c r="M19" i="81"/>
  <c r="F18" i="81"/>
  <c r="M17" i="81"/>
  <c r="F17" i="81"/>
  <c r="F15" i="81"/>
  <c r="D24" i="81" l="1"/>
  <c r="P61" i="81"/>
  <c r="D22" i="81"/>
  <c r="T9" i="31" l="1"/>
  <c r="T7" i="31"/>
  <c r="T5" i="31"/>
  <c r="D3" i="31"/>
  <c r="E3" i="31"/>
  <c r="F3" i="31"/>
  <c r="G3" i="31"/>
  <c r="H3" i="31"/>
  <c r="C4" i="31"/>
  <c r="C3" i="31"/>
  <c r="B25" i="31"/>
  <c r="B26" i="31"/>
  <c r="B27" i="31"/>
  <c r="B28" i="31"/>
  <c r="B29" i="31"/>
  <c r="B30" i="31"/>
  <c r="B31" i="31"/>
  <c r="B32" i="31"/>
  <c r="B33" i="31"/>
  <c r="B34" i="31"/>
  <c r="B24" i="31"/>
  <c r="C33" i="33" s="1"/>
  <c r="G62" i="79"/>
  <c r="I47" i="79" s="1"/>
  <c r="F62" i="79"/>
  <c r="G47" i="79" s="1"/>
  <c r="E62" i="79"/>
  <c r="E47" i="79" s="1"/>
  <c r="B130" i="79"/>
  <c r="B128" i="79"/>
  <c r="B126" i="79"/>
  <c r="D125" i="79"/>
  <c r="E125" i="79" s="1"/>
  <c r="F125" i="79" s="1"/>
  <c r="G125" i="79" s="1"/>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H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E59" i="79"/>
  <c r="F59" i="79" s="1"/>
  <c r="G59" i="79" s="1"/>
  <c r="H59" i="79" s="1"/>
  <c r="I59" i="79" s="1"/>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I36" i="79"/>
  <c r="G36" i="79"/>
  <c r="E36" i="79"/>
  <c r="Q35" i="79"/>
  <c r="Z35" i="79" s="1"/>
  <c r="J35" i="79"/>
  <c r="AC35" i="79" s="1"/>
  <c r="H35" i="79"/>
  <c r="AB35" i="79" s="1"/>
  <c r="F35" i="79"/>
  <c r="AA35" i="79" s="1"/>
  <c r="Q34" i="79"/>
  <c r="Z34" i="79" s="1"/>
  <c r="J34" i="79"/>
  <c r="AC34" i="79" s="1"/>
  <c r="H34" i="79"/>
  <c r="AB34" i="79" s="1"/>
  <c r="F34" i="79"/>
  <c r="AA34" i="79" s="1"/>
  <c r="Q33" i="79"/>
  <c r="Z33" i="79" s="1"/>
  <c r="Q32" i="79"/>
  <c r="Z32" i="79" s="1"/>
  <c r="H32" i="79"/>
  <c r="AB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Q27" i="79"/>
  <c r="Z27" i="79" s="1"/>
  <c r="J27" i="79"/>
  <c r="AC27" i="79" s="1"/>
  <c r="H27" i="79"/>
  <c r="U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E59" i="33"/>
  <c r="F59" i="33" s="1"/>
  <c r="G59" i="33" s="1"/>
  <c r="H59" i="33" s="1"/>
  <c r="I59" i="33" s="1"/>
  <c r="D104" i="33"/>
  <c r="E104" i="33" s="1"/>
  <c r="F104" i="33" s="1"/>
  <c r="G104" i="33" s="1"/>
  <c r="H104" i="33" s="1"/>
  <c r="H4" i="31" s="1"/>
  <c r="I4" i="31" s="1"/>
  <c r="J4" i="31" s="1"/>
  <c r="G36" i="33"/>
  <c r="D2" i="79"/>
  <c r="F123" i="79" l="1"/>
  <c r="H42" i="79" s="1"/>
  <c r="F4" i="31"/>
  <c r="D4" i="31"/>
  <c r="G4" i="31"/>
  <c r="E4" i="31"/>
  <c r="F32" i="79"/>
  <c r="AA32" i="79" s="1"/>
  <c r="J32" i="79"/>
  <c r="AC32" i="79" s="1"/>
  <c r="G54" i="79"/>
  <c r="H54" i="79" s="1"/>
  <c r="E54" i="79"/>
  <c r="F54" i="79" s="1"/>
  <c r="I54" i="79"/>
  <c r="J54" i="79" s="1"/>
  <c r="U8" i="79"/>
  <c r="AA8" i="79"/>
  <c r="AC8" i="79"/>
  <c r="S9" i="79"/>
  <c r="W9" i="79"/>
  <c r="U10" i="79"/>
  <c r="S11" i="79"/>
  <c r="W11" i="79"/>
  <c r="U12" i="79"/>
  <c r="S13" i="79"/>
  <c r="W13" i="79"/>
  <c r="U14" i="79"/>
  <c r="U15" i="79"/>
  <c r="U17" i="79"/>
  <c r="U19" i="79"/>
  <c r="U21" i="79"/>
  <c r="U23" i="79"/>
  <c r="S25" i="79"/>
  <c r="W25" i="79"/>
  <c r="U26" i="79"/>
  <c r="S27" i="79"/>
  <c r="W27" i="79"/>
  <c r="AB27" i="79"/>
  <c r="U9" i="79"/>
  <c r="S10" i="79"/>
  <c r="W10" i="79"/>
  <c r="U11" i="79"/>
  <c r="S12" i="79"/>
  <c r="W12" i="79"/>
  <c r="U13" i="79"/>
  <c r="S14" i="79"/>
  <c r="W14" i="79"/>
  <c r="S15" i="79"/>
  <c r="W15" i="79"/>
  <c r="S17" i="79"/>
  <c r="W17" i="79"/>
  <c r="S19" i="79"/>
  <c r="W19" i="79"/>
  <c r="S21" i="79"/>
  <c r="W21" i="79"/>
  <c r="S23" i="79"/>
  <c r="W23" i="79"/>
  <c r="U25" i="79"/>
  <c r="S26" i="79"/>
  <c r="W26" i="79"/>
  <c r="AA28" i="79"/>
  <c r="S28" i="79"/>
  <c r="U28" i="79"/>
  <c r="S29" i="79"/>
  <c r="W29" i="79"/>
  <c r="U30" i="79"/>
  <c r="S31" i="79"/>
  <c r="W31" i="79"/>
  <c r="U32" i="79"/>
  <c r="S34" i="79"/>
  <c r="W34" i="79"/>
  <c r="U35" i="79"/>
  <c r="U37" i="79"/>
  <c r="S38" i="79"/>
  <c r="W38" i="79"/>
  <c r="U39" i="79"/>
  <c r="S40" i="79"/>
  <c r="W40" i="79"/>
  <c r="U41" i="79"/>
  <c r="U43" i="79"/>
  <c r="S44" i="79"/>
  <c r="W44" i="79"/>
  <c r="U45" i="79"/>
  <c r="S46" i="79"/>
  <c r="W46" i="79"/>
  <c r="T47" i="79"/>
  <c r="W28" i="79"/>
  <c r="U29" i="79"/>
  <c r="S30" i="79"/>
  <c r="W30" i="79"/>
  <c r="U31" i="79"/>
  <c r="W32" i="79"/>
  <c r="U34" i="79"/>
  <c r="S35" i="79"/>
  <c r="W35" i="79"/>
  <c r="S37" i="79"/>
  <c r="W37" i="79"/>
  <c r="U38" i="79"/>
  <c r="S39" i="79"/>
  <c r="W39" i="79"/>
  <c r="U40" i="79"/>
  <c r="S41" i="79"/>
  <c r="W41" i="79"/>
  <c r="S43" i="79"/>
  <c r="W43" i="79"/>
  <c r="U44" i="79"/>
  <c r="S45" i="79"/>
  <c r="W45" i="79"/>
  <c r="U46" i="79"/>
  <c r="R47" i="79"/>
  <c r="V47" i="79"/>
  <c r="G62" i="33"/>
  <c r="I47" i="33" s="1"/>
  <c r="F62" i="33"/>
  <c r="G47" i="33" s="1"/>
  <c r="E62" i="33"/>
  <c r="E47" i="33" s="1"/>
  <c r="I36" i="33"/>
  <c r="E36" i="33"/>
  <c r="N6" i="1"/>
  <c r="AB42" i="79" l="1"/>
  <c r="U42" i="79"/>
  <c r="N7" i="1"/>
  <c r="C36" i="79"/>
  <c r="C36" i="33"/>
  <c r="Y6" i="1"/>
  <c r="Y7" i="1" s="1"/>
  <c r="G123" i="79"/>
  <c r="H123" i="79" s="1"/>
  <c r="I123" i="79" s="1"/>
  <c r="J123" i="79" s="1"/>
  <c r="K123" i="79" s="1"/>
  <c r="L123" i="79" s="1"/>
  <c r="M123" i="79" s="1"/>
  <c r="J42" i="79"/>
  <c r="F42" i="79"/>
  <c r="S32" i="79"/>
  <c r="AC42" i="79" l="1"/>
  <c r="W42" i="79"/>
  <c r="H36" i="79"/>
  <c r="J36" i="79"/>
  <c r="F36" i="79"/>
  <c r="AA42" i="79"/>
  <c r="S42" i="79"/>
  <c r="W36" i="79" l="1"/>
  <c r="AC36" i="79"/>
  <c r="AA36" i="79"/>
  <c r="S36" i="79"/>
  <c r="U36" i="79"/>
  <c r="AB36"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E11" i="76"/>
  <c r="E13" i="76"/>
  <c r="B9" i="76"/>
  <c r="E8" i="76"/>
  <c r="E12" i="76"/>
  <c r="B7" i="76"/>
  <c r="B11" i="76"/>
  <c r="E7" i="76"/>
  <c r="E9" i="76"/>
  <c r="B12" i="76"/>
  <c r="B13" i="76"/>
  <c r="B8"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5" i="73"/>
  <c r="F6" i="73"/>
  <c r="F3" i="73"/>
  <c r="D3" i="73"/>
  <c r="I1" i="73" l="1"/>
  <c r="B39" i="1" s="1"/>
  <c r="D5" i="73"/>
  <c r="D7" i="73"/>
  <c r="D6" i="73"/>
  <c r="D4" i="73"/>
  <c r="F11" i="81" l="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Y17" i="71" l="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0" i="1"/>
  <c r="AO12"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AF6" i="1" s="1"/>
  <c r="Z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C5" i="3" s="1"/>
  <c r="BD493" i="3"/>
  <c r="BE493" i="3"/>
  <c r="BF493" i="3"/>
  <c r="BG493" i="3"/>
  <c r="BG5" i="3" s="1"/>
  <c r="BH493" i="3"/>
  <c r="BI493" i="3"/>
  <c r="BJ493" i="3"/>
  <c r="BK493" i="3"/>
  <c r="BK5" i="3" s="1"/>
  <c r="BM493" i="3"/>
  <c r="BN493" i="3"/>
  <c r="BN5" i="3" s="1"/>
  <c r="BO493" i="3"/>
  <c r="BP493" i="3"/>
  <c r="BR493" i="3"/>
  <c r="BS493" i="3"/>
  <c r="BS5" i="3" s="1"/>
  <c r="BT493" i="3"/>
  <c r="H494" i="3"/>
  <c r="G494" i="3" s="1"/>
  <c r="AC494" i="3"/>
  <c r="BB494" i="3"/>
  <c r="BB5" i="3" s="1"/>
  <c r="E8" i="6" s="1"/>
  <c r="BC494" i="3"/>
  <c r="BD494" i="3"/>
  <c r="BE494" i="3"/>
  <c r="BF494" i="3"/>
  <c r="BF5" i="3" s="1"/>
  <c r="BG494" i="3"/>
  <c r="BH494" i="3"/>
  <c r="BI494" i="3"/>
  <c r="BJ494" i="3"/>
  <c r="BJ5" i="3" s="1"/>
  <c r="BK494" i="3"/>
  <c r="BM494" i="3"/>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A496" i="3" s="1"/>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A499" i="3" s="1"/>
  <c r="AZ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A508" i="3" s="1"/>
  <c r="AZ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L511" i="3" s="1"/>
  <c r="AZ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A558" i="3" s="1"/>
  <c r="BD558" i="3"/>
  <c r="BE558" i="3"/>
  <c r="BF558" i="3"/>
  <c r="BG558" i="3"/>
  <c r="BH558" i="3"/>
  <c r="BI558" i="3"/>
  <c r="BJ558" i="3"/>
  <c r="BK558" i="3"/>
  <c r="BM558" i="3"/>
  <c r="BN558" i="3"/>
  <c r="BL558" i="3" s="1"/>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AZ561" i="3" s="1"/>
  <c r="BN561" i="3"/>
  <c r="BO561" i="3"/>
  <c r="BP561" i="3"/>
  <c r="BR561" i="3"/>
  <c r="BS561" i="3"/>
  <c r="BT561" i="3"/>
  <c r="H562" i="3"/>
  <c r="AC562" i="3"/>
  <c r="G562" i="3" s="1"/>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A563" i="3" s="1"/>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F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J12" i="34" s="1"/>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F36" i="39"/>
  <c r="S36" i="39" s="1"/>
  <c r="H36" i="39"/>
  <c r="F35" i="39"/>
  <c r="AA35" i="39" s="1"/>
  <c r="J36" i="39"/>
  <c r="AC36" i="39" s="1"/>
  <c r="U9" i="39"/>
  <c r="W40" i="39"/>
  <c r="W25" i="37"/>
  <c r="W31" i="37"/>
  <c r="F39" i="37"/>
  <c r="S39" i="37" s="1"/>
  <c r="F29" i="36"/>
  <c r="AA29" i="36" s="1"/>
  <c r="W8" i="36"/>
  <c r="F16" i="36"/>
  <c r="AA16" i="36" s="1"/>
  <c r="S30" i="36"/>
  <c r="AC31" i="36"/>
  <c r="U31" i="36"/>
  <c r="J33" i="36"/>
  <c r="W33" i="36" s="1"/>
  <c r="H22" i="35"/>
  <c r="AB22" i="35" s="1"/>
  <c r="W28" i="35"/>
  <c r="U31" i="35"/>
  <c r="W22" i="35"/>
  <c r="F36" i="34"/>
  <c r="J35" i="34"/>
  <c r="S34" i="34"/>
  <c r="H39" i="33"/>
  <c r="AB39" i="33" s="1"/>
  <c r="U33" i="33"/>
  <c r="W33" i="33"/>
  <c r="S27" i="35"/>
  <c r="F11" i="40"/>
  <c r="AA11" i="40" s="1"/>
  <c r="H11" i="40"/>
  <c r="AB11" i="40" s="1"/>
  <c r="AA9" i="40"/>
  <c r="AC9" i="40"/>
  <c r="S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S34" i="21"/>
  <c r="C25" i="39"/>
  <c r="C27" i="39"/>
  <c r="H11" i="39"/>
  <c r="H11" i="21"/>
  <c r="J11" i="21"/>
  <c r="W11" i="21" s="1"/>
  <c r="H37" i="40"/>
  <c r="U37" i="40" s="1"/>
  <c r="H36" i="40"/>
  <c r="AB36" i="40" s="1"/>
  <c r="F35" i="40"/>
  <c r="AA35" i="40" s="1"/>
  <c r="H23" i="40"/>
  <c r="AB23" i="40" s="1"/>
  <c r="H17" i="40"/>
  <c r="U17" i="40" s="1"/>
  <c r="J15" i="40"/>
  <c r="W15" i="40" s="1"/>
  <c r="J11" i="40"/>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W8" i="34"/>
  <c r="F41" i="33"/>
  <c r="AA41" i="33" s="1"/>
  <c r="E113" i="33"/>
  <c r="F113" i="33" s="1"/>
  <c r="G113" i="33" s="1"/>
  <c r="H113" i="33" s="1"/>
  <c r="I113" i="33" s="1"/>
  <c r="J113" i="33" s="1"/>
  <c r="K113" i="33" s="1"/>
  <c r="L113" i="33" s="1"/>
  <c r="M113" i="33" s="1"/>
  <c r="J19" i="33"/>
  <c r="AC19"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1" i="33"/>
  <c r="AB11" i="33" s="1"/>
  <c r="F28" i="40"/>
  <c r="AA28" i="40" s="1"/>
  <c r="AA29" i="35"/>
  <c r="AA42" i="34"/>
  <c r="S42" i="34"/>
  <c r="AC38" i="34"/>
  <c r="J37" i="34"/>
  <c r="AC37" i="34" s="1"/>
  <c r="J11" i="33"/>
  <c r="W11" i="33" s="1"/>
  <c r="U23" i="40"/>
  <c r="G123" i="21"/>
  <c r="H123" i="21" s="1"/>
  <c r="I123" i="21" s="1"/>
  <c r="J123" i="21" s="1"/>
  <c r="K123" i="21" s="1"/>
  <c r="L123" i="21" s="1"/>
  <c r="M123" i="21" s="1"/>
  <c r="J42" i="21"/>
  <c r="AC42"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H32" i="36"/>
  <c r="AB32" i="36" s="1"/>
  <c r="J11" i="36"/>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J13" i="37"/>
  <c r="W13" i="37" s="1"/>
  <c r="F28" i="37"/>
  <c r="AA28" i="37" s="1"/>
  <c r="J28" i="37"/>
  <c r="AC28" i="37" s="1"/>
  <c r="H28" i="37"/>
  <c r="U28" i="37" s="1"/>
  <c r="H38" i="37"/>
  <c r="AB38" i="37" s="1"/>
  <c r="F43" i="39"/>
  <c r="AA43" i="39" s="1"/>
  <c r="H43" i="39"/>
  <c r="F14" i="39"/>
  <c r="H30" i="40"/>
  <c r="AB30" i="40" s="1"/>
  <c r="H33" i="40"/>
  <c r="U33" i="40" s="1"/>
  <c r="J35" i="40"/>
  <c r="AC35" i="40" s="1"/>
  <c r="J37" i="40"/>
  <c r="AC37" i="40" s="1"/>
  <c r="H13" i="40"/>
  <c r="U13" i="40" s="1"/>
  <c r="J13" i="40"/>
  <c r="W13" i="40" s="1"/>
  <c r="F13" i="40"/>
  <c r="AA13" i="40" s="1"/>
  <c r="F13" i="39"/>
  <c r="J13" i="39"/>
  <c r="W13" i="39" s="1"/>
  <c r="H13" i="39"/>
  <c r="J14" i="37"/>
  <c r="AC14" i="37" s="1"/>
  <c r="AA13" i="35"/>
  <c r="U46" i="33"/>
  <c r="J36" i="37"/>
  <c r="AC36" i="37" s="1"/>
  <c r="AB11" i="36"/>
  <c r="J10" i="36"/>
  <c r="AC10" i="36" s="1"/>
  <c r="AB30" i="21"/>
  <c r="W31" i="34"/>
  <c r="W13" i="36"/>
  <c r="W11" i="35"/>
  <c r="AC30" i="34"/>
  <c r="S45" i="33"/>
  <c r="W29" i="33"/>
  <c r="BA586" i="3"/>
  <c r="F17" i="21"/>
  <c r="AA17" i="21" s="1"/>
  <c r="H17" i="21"/>
  <c r="AB17" i="21" s="1"/>
  <c r="F15" i="21"/>
  <c r="S15" i="21" s="1"/>
  <c r="J41" i="39"/>
  <c r="W41" i="39" s="1"/>
  <c r="AC45" i="39"/>
  <c r="W36" i="39"/>
  <c r="W35" i="39"/>
  <c r="G540" i="3"/>
  <c r="G531" i="3"/>
  <c r="G518" i="3"/>
  <c r="G504" i="3"/>
  <c r="G580" i="3"/>
  <c r="G572" i="3"/>
  <c r="G564" i="3"/>
  <c r="BL584" i="3"/>
  <c r="BL576" i="3"/>
  <c r="BL568" i="3"/>
  <c r="BL546" i="3"/>
  <c r="BL530" i="3"/>
  <c r="BL512" i="3"/>
  <c r="BL494" i="3"/>
  <c r="BL578" i="3"/>
  <c r="BL570" i="3"/>
  <c r="BL552" i="3"/>
  <c r="G533" i="3"/>
  <c r="G525" i="3"/>
  <c r="BL510" i="3"/>
  <c r="G493" i="3"/>
  <c r="BA582" i="3"/>
  <c r="BA578" i="3"/>
  <c r="AZ578" i="3" s="1"/>
  <c r="BA574" i="3"/>
  <c r="BA570" i="3"/>
  <c r="AZ570" i="3" s="1"/>
  <c r="BA562" i="3"/>
  <c r="BA554" i="3"/>
  <c r="BA546" i="3"/>
  <c r="AZ546" i="3" s="1"/>
  <c r="BA542" i="3"/>
  <c r="BA538" i="3"/>
  <c r="BA534" i="3"/>
  <c r="BA530" i="3"/>
  <c r="BA522" i="3"/>
  <c r="AZ522" i="3" s="1"/>
  <c r="BA518" i="3"/>
  <c r="BA514" i="3"/>
  <c r="BA506" i="3"/>
  <c r="BA500" i="3"/>
  <c r="AZ500" i="3" s="1"/>
  <c r="BA494" i="3"/>
  <c r="BA587" i="3"/>
  <c r="AZ587" i="3"/>
  <c r="BA583" i="3"/>
  <c r="BA581" i="3"/>
  <c r="BA579" i="3"/>
  <c r="BA577" i="3"/>
  <c r="BA575" i="3"/>
  <c r="BA573" i="3"/>
  <c r="BA571" i="3"/>
  <c r="BA569" i="3"/>
  <c r="BA565" i="3"/>
  <c r="BA561" i="3"/>
  <c r="BA555" i="3"/>
  <c r="BA549" i="3"/>
  <c r="BA545" i="3"/>
  <c r="BA541" i="3"/>
  <c r="BA537" i="3"/>
  <c r="BA533" i="3"/>
  <c r="BA529" i="3"/>
  <c r="BA525" i="3"/>
  <c r="BA519" i="3"/>
  <c r="BA515" i="3"/>
  <c r="BA511" i="3"/>
  <c r="BA505" i="3"/>
  <c r="BA501" i="3"/>
  <c r="BA497" i="3"/>
  <c r="BA493" i="3"/>
  <c r="G583" i="3"/>
  <c r="G581" i="3"/>
  <c r="G579" i="3"/>
  <c r="G577" i="3"/>
  <c r="G575" i="3"/>
  <c r="G573" i="3"/>
  <c r="G571" i="3"/>
  <c r="G569" i="3"/>
  <c r="G565" i="3"/>
  <c r="G561"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Q567" i="3"/>
  <c r="BL567" i="3" s="1"/>
  <c r="BQ565" i="3"/>
  <c r="BQ563" i="3"/>
  <c r="BQ561" i="3"/>
  <c r="BQ559" i="3"/>
  <c r="BL559" i="3" s="1"/>
  <c r="G555" i="3"/>
  <c r="G549" i="3"/>
  <c r="G545" i="3"/>
  <c r="G541" i="3"/>
  <c r="G537" i="3"/>
  <c r="BQ555" i="3"/>
  <c r="BQ553" i="3"/>
  <c r="BL553" i="3" s="1"/>
  <c r="BQ551" i="3"/>
  <c r="BQ549" i="3"/>
  <c r="BL549" i="3" s="1"/>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C521" i="3"/>
  <c r="G521" i="3"/>
  <c r="BQ521" i="3"/>
  <c r="BL521" i="3"/>
  <c r="G519" i="3"/>
  <c r="G515" i="3"/>
  <c r="G511" i="3"/>
  <c r="BQ519" i="3"/>
  <c r="BL519" i="3"/>
  <c r="AZ519" i="3" s="1"/>
  <c r="BQ517" i="3"/>
  <c r="BQ515" i="3"/>
  <c r="BL515" i="3" s="1"/>
  <c r="AZ515" i="3" s="1"/>
  <c r="BQ513" i="3"/>
  <c r="BQ511" i="3"/>
  <c r="BA509" i="3"/>
  <c r="AC509" i="3"/>
  <c r="BQ509" i="3"/>
  <c r="BL508" i="3"/>
  <c r="G507" i="3"/>
  <c r="G503" i="3"/>
  <c r="G499" i="3"/>
  <c r="G495" i="3"/>
  <c r="BQ507" i="3"/>
  <c r="BQ505" i="3"/>
  <c r="BQ503" i="3"/>
  <c r="BL503" i="3" s="1"/>
  <c r="BQ501" i="3"/>
  <c r="BQ499" i="3"/>
  <c r="BL499" i="3" s="1"/>
  <c r="BQ497" i="3"/>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J43" i="33"/>
  <c r="AC43" i="33" s="1"/>
  <c r="AC33" i="36"/>
  <c r="U35" i="35"/>
  <c r="U33" i="37"/>
  <c r="AC8" i="37"/>
  <c r="U26" i="37"/>
  <c r="AB13" i="34"/>
  <c r="W37" i="34"/>
  <c r="AB37" i="34"/>
  <c r="AC36" i="34"/>
  <c r="AC45" i="33"/>
  <c r="W44" i="33"/>
  <c r="U11" i="33"/>
  <c r="U19" i="21"/>
  <c r="U2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W43" i="39"/>
  <c r="AB45" i="39"/>
  <c r="U44" i="39"/>
  <c r="G101" i="39"/>
  <c r="H37" i="39"/>
  <c r="AB37" i="39" s="1"/>
  <c r="H25" i="39"/>
  <c r="AB25" i="39" s="1"/>
  <c r="J25" i="39"/>
  <c r="F25" i="39"/>
  <c r="AA25" i="39" s="1"/>
  <c r="F15" i="39"/>
  <c r="AA15" i="39" s="1"/>
  <c r="H15" i="39"/>
  <c r="U15" i="39" s="1"/>
  <c r="J15" i="39"/>
  <c r="W15" i="39" s="1"/>
  <c r="H41" i="39"/>
  <c r="W27" i="39"/>
  <c r="AB34" i="39"/>
  <c r="U40" i="39"/>
  <c r="S42" i="39"/>
  <c r="AA41" i="39"/>
  <c r="W8"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30"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AZ380" i="3" s="1"/>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AZ175" i="3"/>
  <c r="BL176" i="3"/>
  <c r="G177" i="3"/>
  <c r="BA179" i="3"/>
  <c r="AZ179" i="3"/>
  <c r="BL180" i="3"/>
  <c r="G181" i="3"/>
  <c r="BA183" i="3"/>
  <c r="AZ183" i="3" s="1"/>
  <c r="BL184" i="3"/>
  <c r="AZ184" i="3" s="1"/>
  <c r="G185" i="3"/>
  <c r="BA187" i="3"/>
  <c r="BL188" i="3"/>
  <c r="G189" i="3"/>
  <c r="BA191" i="3"/>
  <c r="AZ191" i="3" s="1"/>
  <c r="BL192" i="3"/>
  <c r="G193" i="3"/>
  <c r="BA195" i="3"/>
  <c r="AZ195" i="3" s="1"/>
  <c r="BL196" i="3"/>
  <c r="G197" i="3"/>
  <c r="BA199" i="3"/>
  <c r="AZ199" i="3" s="1"/>
  <c r="BL200" i="3"/>
  <c r="G201" i="3"/>
  <c r="BA203" i="3"/>
  <c r="BL204" i="3"/>
  <c r="AZ43" i="3"/>
  <c r="AZ47" i="3"/>
  <c r="AZ79" i="3"/>
  <c r="AZ83" i="3"/>
  <c r="AZ152" i="3"/>
  <c r="AZ200" i="3"/>
  <c r="AZ85" i="3"/>
  <c r="AZ89" i="3"/>
  <c r="AZ105" i="3"/>
  <c r="AZ120" i="3"/>
  <c r="G534" i="3"/>
  <c r="G522" i="3"/>
  <c r="G512" i="3"/>
  <c r="G498" i="3"/>
  <c r="G16" i="3"/>
  <c r="G15" i="3"/>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50" i="3"/>
  <c r="AZ166" i="3"/>
  <c r="AZ182" i="3"/>
  <c r="AZ198"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BL323" i="3"/>
  <c r="AZ323" i="3" s="1"/>
  <c r="G324" i="3"/>
  <c r="BA326" i="3"/>
  <c r="BL327" i="3"/>
  <c r="AZ327" i="3" s="1"/>
  <c r="G328" i="3"/>
  <c r="BA330" i="3"/>
  <c r="AZ330" i="3" s="1"/>
  <c r="BL331" i="3"/>
  <c r="G332" i="3"/>
  <c r="BA334" i="3"/>
  <c r="AZ334" i="3" s="1"/>
  <c r="BL335" i="3"/>
  <c r="G336" i="3"/>
  <c r="BA338" i="3"/>
  <c r="AZ338" i="3" s="1"/>
  <c r="BL339" i="3"/>
  <c r="G340" i="3"/>
  <c r="BL343" i="3"/>
  <c r="G344" i="3"/>
  <c r="G348" i="3"/>
  <c r="G355" i="3"/>
  <c r="AZ218" i="3"/>
  <c r="AZ303"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AZ374" i="3" s="1"/>
  <c r="G375" i="3"/>
  <c r="BA377" i="3"/>
  <c r="AZ377" i="3" s="1"/>
  <c r="AZ229" i="3"/>
  <c r="AZ257" i="3"/>
  <c r="AZ261" i="3"/>
  <c r="AZ265" i="3"/>
  <c r="AZ370" i="3"/>
  <c r="BA379" i="3"/>
  <c r="AZ379" i="3" s="1"/>
  <c r="BL380" i="3"/>
  <c r="G381" i="3"/>
  <c r="BA383" i="3"/>
  <c r="BL384" i="3"/>
  <c r="G385" i="3"/>
  <c r="BA387" i="3"/>
  <c r="AZ387" i="3"/>
  <c r="BL388" i="3"/>
  <c r="G389" i="3"/>
  <c r="BA391" i="3"/>
  <c r="AZ391" i="3"/>
  <c r="BL392" i="3"/>
  <c r="G393" i="3"/>
  <c r="AZ263" i="3"/>
  <c r="AZ279" i="3"/>
  <c r="AZ287" i="3"/>
  <c r="AZ295" i="3"/>
  <c r="BM5" i="3"/>
  <c r="BH5" i="3"/>
  <c r="BD5" i="3"/>
  <c r="AZ333" i="3"/>
  <c r="BQ5" i="3"/>
  <c r="AZ549" i="3"/>
  <c r="G538" i="3"/>
  <c r="G502" i="3"/>
  <c r="BP5" i="3"/>
  <c r="AZ343" i="3"/>
  <c r="BI5" i="3"/>
  <c r="BE5" i="3"/>
  <c r="G17" i="3"/>
  <c r="BA17" i="3"/>
  <c r="BT5" i="3"/>
  <c r="AZ352" i="3"/>
  <c r="BA15" i="3"/>
  <c r="BR5" i="3"/>
  <c r="G509" i="3"/>
  <c r="BL493" i="3"/>
  <c r="AZ493" i="3" s="1"/>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C11" i="39"/>
  <c r="W37" i="37"/>
  <c r="W44" i="34"/>
  <c r="AC44" i="34"/>
  <c r="S15" i="37"/>
  <c r="U13" i="37"/>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4" i="3"/>
  <c r="C40" i="11"/>
  <c r="AZ215" i="3"/>
  <c r="AZ227" i="3"/>
  <c r="AZ256" i="3"/>
  <c r="AZ259" i="3"/>
  <c r="AZ280" i="3"/>
  <c r="AZ296" i="3"/>
  <c r="AZ114" i="3"/>
  <c r="AZ31" i="3"/>
  <c r="AZ33"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AZ328" i="3" l="1"/>
  <c r="AZ506" i="3"/>
  <c r="S12" i="40"/>
  <c r="AA12" i="40"/>
  <c r="AZ563" i="3"/>
  <c r="AZ540" i="3"/>
  <c r="AZ502" i="3"/>
  <c r="AZ498" i="3"/>
  <c r="AZ187" i="3"/>
  <c r="AZ160" i="3"/>
  <c r="AZ503" i="3"/>
  <c r="AZ567" i="3"/>
  <c r="AA44" i="34"/>
  <c r="S44" i="34"/>
  <c r="W11" i="40"/>
  <c r="AC11" i="40"/>
  <c r="U11" i="21"/>
  <c r="AB11" i="21"/>
  <c r="AC28" i="36"/>
  <c r="W28" i="36"/>
  <c r="AB14" i="37"/>
  <c r="U14" i="37"/>
  <c r="H25" i="37"/>
  <c r="F25" i="37"/>
  <c r="AA25" i="37" s="1"/>
  <c r="AA40" i="39"/>
  <c r="S40" i="39"/>
  <c r="J14" i="39"/>
  <c r="H14" i="39"/>
  <c r="AB14" i="39" s="1"/>
  <c r="AC8" i="40"/>
  <c r="W8" i="40"/>
  <c r="AC32" i="40"/>
  <c r="W32" i="40"/>
  <c r="BA568" i="3"/>
  <c r="AZ568" i="3" s="1"/>
  <c r="BL566" i="3"/>
  <c r="AZ566" i="3" s="1"/>
  <c r="BL564" i="3"/>
  <c r="BA564" i="3"/>
  <c r="BA560" i="3"/>
  <c r="AZ560" i="3" s="1"/>
  <c r="BL556" i="3"/>
  <c r="BA556" i="3"/>
  <c r="AZ556" i="3" s="1"/>
  <c r="BL554" i="3"/>
  <c r="BA552" i="3"/>
  <c r="AZ552" i="3" s="1"/>
  <c r="BL544" i="3"/>
  <c r="BL542" i="3"/>
  <c r="AZ542" i="3" s="1"/>
  <c r="BL536" i="3"/>
  <c r="BL534" i="3"/>
  <c r="AZ534" i="3" s="1"/>
  <c r="BL532" i="3"/>
  <c r="BL528" i="3"/>
  <c r="AZ528" i="3" s="1"/>
  <c r="BL526" i="3"/>
  <c r="AZ526" i="3" s="1"/>
  <c r="BL524" i="3"/>
  <c r="BL516" i="3"/>
  <c r="BL514" i="3"/>
  <c r="AZ514" i="3" s="1"/>
  <c r="BL506" i="3"/>
  <c r="BL504" i="3"/>
  <c r="AZ504" i="3" s="1"/>
  <c r="BL498" i="3"/>
  <c r="BL496" i="3"/>
  <c r="AZ496" i="3" s="1"/>
  <c r="H87" i="43"/>
  <c r="H86" i="43"/>
  <c r="H49" i="43"/>
  <c r="H74" i="43"/>
  <c r="AC21" i="40"/>
  <c r="U17" i="39"/>
  <c r="AZ373" i="3"/>
  <c r="AZ322" i="3"/>
  <c r="AZ390" i="3"/>
  <c r="AZ389" i="3"/>
  <c r="AZ371" i="3"/>
  <c r="AZ364" i="3"/>
  <c r="AZ356" i="3"/>
  <c r="AZ342" i="3"/>
  <c r="AZ329" i="3"/>
  <c r="AZ321" i="3"/>
  <c r="AZ378" i="3"/>
  <c r="AZ360" i="3"/>
  <c r="W9" i="39"/>
  <c r="AC46" i="21"/>
  <c r="W44" i="21"/>
  <c r="W14" i="37"/>
  <c r="AA41" i="34"/>
  <c r="H32" i="40"/>
  <c r="AB32" i="40" s="1"/>
  <c r="BL497" i="3"/>
  <c r="AZ497" i="3" s="1"/>
  <c r="BL501" i="3"/>
  <c r="AZ501" i="3" s="1"/>
  <c r="BL507" i="3"/>
  <c r="AZ507" i="3" s="1"/>
  <c r="BL513" i="3"/>
  <c r="AZ513" i="3" s="1"/>
  <c r="BL517" i="3"/>
  <c r="AZ517" i="3" s="1"/>
  <c r="BL523" i="3"/>
  <c r="AZ523" i="3" s="1"/>
  <c r="BL527" i="3"/>
  <c r="AZ527" i="3" s="1"/>
  <c r="BL531" i="3"/>
  <c r="AZ531" i="3" s="1"/>
  <c r="BL535" i="3"/>
  <c r="AZ535" i="3" s="1"/>
  <c r="BL539" i="3"/>
  <c r="AZ539" i="3" s="1"/>
  <c r="BL543" i="3"/>
  <c r="AZ543" i="3" s="1"/>
  <c r="BL547" i="3"/>
  <c r="AZ547" i="3" s="1"/>
  <c r="BL551" i="3"/>
  <c r="BL555" i="3"/>
  <c r="AZ555" i="3" s="1"/>
  <c r="BL565" i="3"/>
  <c r="AZ565" i="3" s="1"/>
  <c r="BL569" i="3"/>
  <c r="S35" i="39"/>
  <c r="AC28" i="21"/>
  <c r="AB31" i="33"/>
  <c r="F14" i="37"/>
  <c r="F38" i="37"/>
  <c r="S38" i="37" s="1"/>
  <c r="AB31" i="34"/>
  <c r="U31" i="34"/>
  <c r="S14" i="33"/>
  <c r="AA14" i="33"/>
  <c r="AC11" i="36"/>
  <c r="W11" i="36"/>
  <c r="U46" i="34"/>
  <c r="AB46" i="34"/>
  <c r="S14" i="34"/>
  <c r="AA14" i="34"/>
  <c r="U45" i="33"/>
  <c r="AB45" i="33"/>
  <c r="AB13" i="33"/>
  <c r="U13" i="33"/>
  <c r="AA39" i="37"/>
  <c r="U8" i="35"/>
  <c r="AB12" i="33"/>
  <c r="U34" i="40"/>
  <c r="AB36" i="39"/>
  <c r="U36" i="39"/>
  <c r="J44" i="39"/>
  <c r="AB34" i="21"/>
  <c r="U34" i="21"/>
  <c r="BA585" i="3"/>
  <c r="AZ585" i="3" s="1"/>
  <c r="H13" i="21"/>
  <c r="J13" i="21"/>
  <c r="AC13" i="21" s="1"/>
  <c r="J27" i="21"/>
  <c r="W27" i="21" s="1"/>
  <c r="F27" i="21"/>
  <c r="AA27" i="21" s="1"/>
  <c r="H31" i="21"/>
  <c r="J31" i="21"/>
  <c r="AC31" i="21" s="1"/>
  <c r="J45" i="21"/>
  <c r="W45" i="21" s="1"/>
  <c r="F45" i="21"/>
  <c r="AA45" i="21" s="1"/>
  <c r="B71" i="43"/>
  <c r="C21" i="39"/>
  <c r="H9" i="33"/>
  <c r="AB9" i="33" s="1"/>
  <c r="F9" i="33"/>
  <c r="E77" i="33"/>
  <c r="J15" i="33"/>
  <c r="AC15" i="33" s="1"/>
  <c r="J26" i="33"/>
  <c r="H26" i="33"/>
  <c r="U26" i="33" s="1"/>
  <c r="AA9" i="34"/>
  <c r="S9" i="34"/>
  <c r="AB34" i="34"/>
  <c r="U34" i="34"/>
  <c r="F28" i="34"/>
  <c r="J28" i="34"/>
  <c r="AC34" i="35"/>
  <c r="W34" i="35"/>
  <c r="J13" i="33"/>
  <c r="F13" i="33"/>
  <c r="J31" i="33"/>
  <c r="F31" i="33"/>
  <c r="J14" i="34"/>
  <c r="W14" i="34" s="1"/>
  <c r="H14" i="34"/>
  <c r="H32" i="34"/>
  <c r="J32" i="34"/>
  <c r="W32" i="34" s="1"/>
  <c r="H12" i="35"/>
  <c r="F12" i="35"/>
  <c r="H11" i="35"/>
  <c r="U11" i="35" s="1"/>
  <c r="F11" i="35"/>
  <c r="S11" i="35" s="1"/>
  <c r="H34" i="35"/>
  <c r="F34" i="35"/>
  <c r="W27" i="35"/>
  <c r="AC27" i="35"/>
  <c r="H23" i="36"/>
  <c r="AB23" i="36" s="1"/>
  <c r="J23" i="36"/>
  <c r="AC23" i="36" s="1"/>
  <c r="J25" i="36"/>
  <c r="W25" i="36" s="1"/>
  <c r="H25" i="36"/>
  <c r="AB25" i="36" s="1"/>
  <c r="F32" i="36"/>
  <c r="J32" i="36"/>
  <c r="S31" i="36"/>
  <c r="AA31" i="36"/>
  <c r="J26" i="37"/>
  <c r="H27" i="37"/>
  <c r="F27" i="37"/>
  <c r="AA27" i="37" s="1"/>
  <c r="J27" i="37"/>
  <c r="AC27" i="37" s="1"/>
  <c r="J39" i="37"/>
  <c r="AC39" i="37" s="1"/>
  <c r="H39" i="37"/>
  <c r="AC31" i="40"/>
  <c r="W31" i="40"/>
  <c r="J33" i="40"/>
  <c r="F33" i="40"/>
  <c r="AA33" i="40" s="1"/>
  <c r="F38" i="40"/>
  <c r="J38" i="40"/>
  <c r="AC38" i="40" s="1"/>
  <c r="J40" i="40"/>
  <c r="F40" i="40"/>
  <c r="S38" i="34"/>
  <c r="AA38" i="34"/>
  <c r="AB34" i="37"/>
  <c r="U34" i="37"/>
  <c r="AA31" i="35"/>
  <c r="S31" i="35"/>
  <c r="W31" i="35"/>
  <c r="AC31" i="35"/>
  <c r="BA584" i="3"/>
  <c r="AZ584" i="3" s="1"/>
  <c r="BL582" i="3"/>
  <c r="BL580" i="3"/>
  <c r="BA580" i="3"/>
  <c r="AZ580" i="3" s="1"/>
  <c r="BA576" i="3"/>
  <c r="AZ576" i="3" s="1"/>
  <c r="BL574" i="3"/>
  <c r="AZ574" i="3" s="1"/>
  <c r="BL572" i="3"/>
  <c r="BA572" i="3"/>
  <c r="AZ572" i="3" s="1"/>
  <c r="AZ495" i="3"/>
  <c r="AZ553" i="3"/>
  <c r="AZ559" i="3"/>
  <c r="AZ518" i="3"/>
  <c r="AZ538" i="3"/>
  <c r="AZ562" i="3"/>
  <c r="AB30" i="37"/>
  <c r="U30" i="37"/>
  <c r="U8" i="39"/>
  <c r="AB8" i="39"/>
  <c r="J37" i="39"/>
  <c r="F37" i="39"/>
  <c r="AA37" i="39" s="1"/>
  <c r="AB9" i="40"/>
  <c r="U9" i="40"/>
  <c r="AB38" i="40"/>
  <c r="U38" i="40"/>
  <c r="J12" i="40"/>
  <c r="H12" i="40"/>
  <c r="H14" i="40"/>
  <c r="F14" i="40"/>
  <c r="AA14" i="40" s="1"/>
  <c r="M20" i="15"/>
  <c r="F34" i="81"/>
  <c r="F62" i="81" s="1"/>
  <c r="M20" i="8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AZ433" i="3" s="1"/>
  <c r="BL433" i="3"/>
  <c r="BA435" i="3"/>
  <c r="BL435" i="3"/>
  <c r="BA436" i="3"/>
  <c r="AZ436" i="3" s="1"/>
  <c r="G578" i="3"/>
  <c r="G574" i="3"/>
  <c r="G438" i="3"/>
  <c r="G442" i="3"/>
  <c r="G444" i="3"/>
  <c r="G380" i="3"/>
  <c r="BL381" i="3"/>
  <c r="AZ381" i="3" s="1"/>
  <c r="BA384" i="3"/>
  <c r="AZ384" i="3" s="1"/>
  <c r="BA386" i="3"/>
  <c r="BL386" i="3"/>
  <c r="G392" i="3"/>
  <c r="BL393" i="3"/>
  <c r="AZ393" i="3" s="1"/>
  <c r="BA396" i="3"/>
  <c r="BL396" i="3"/>
  <c r="BA397" i="3"/>
  <c r="AZ397" i="3" s="1"/>
  <c r="BA209" i="3"/>
  <c r="AZ209" i="3" s="1"/>
  <c r="BL209" i="3"/>
  <c r="BA210" i="3"/>
  <c r="AZ210" i="3" s="1"/>
  <c r="BL212" i="3"/>
  <c r="G213" i="3"/>
  <c r="G215" i="3"/>
  <c r="G218" i="3"/>
  <c r="BA445" i="3"/>
  <c r="BL445" i="3"/>
  <c r="BL447" i="3"/>
  <c r="G448" i="3"/>
  <c r="BA449" i="3"/>
  <c r="BL449" i="3"/>
  <c r="BA451" i="3"/>
  <c r="BL451" i="3"/>
  <c r="AZ451" i="3" s="1"/>
  <c r="BA452" i="3"/>
  <c r="AZ452" i="3" s="1"/>
  <c r="BA454" i="3"/>
  <c r="AZ454" i="3" s="1"/>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A316" i="3"/>
  <c r="BL316" i="3"/>
  <c r="BL328" i="3"/>
  <c r="G329" i="3"/>
  <c r="BA335" i="3"/>
  <c r="AZ335" i="3" s="1"/>
  <c r="BA339" i="3"/>
  <c r="AZ339" i="3" s="1"/>
  <c r="G347" i="3"/>
  <c r="BA348" i="3"/>
  <c r="AZ348" i="3" s="1"/>
  <c r="BA349" i="3"/>
  <c r="AZ349" i="3" s="1"/>
  <c r="BL363" i="3"/>
  <c r="AZ363" i="3" s="1"/>
  <c r="G364" i="3"/>
  <c r="BA366" i="3"/>
  <c r="AZ366" i="3" s="1"/>
  <c r="BL368" i="3"/>
  <c r="G369" i="3"/>
  <c r="BL221" i="3"/>
  <c r="G222" i="3"/>
  <c r="BL223" i="3"/>
  <c r="G224" i="3"/>
  <c r="G227" i="3"/>
  <c r="G231" i="3"/>
  <c r="BL232" i="3"/>
  <c r="G233" i="3"/>
  <c r="BA234" i="3"/>
  <c r="BL234" i="3"/>
  <c r="BL236" i="3"/>
  <c r="G237" i="3"/>
  <c r="BA238" i="3"/>
  <c r="BL238" i="3"/>
  <c r="AZ238" i="3" s="1"/>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BL153" i="3"/>
  <c r="BL155" i="3"/>
  <c r="AZ155" i="3" s="1"/>
  <c r="G156" i="3"/>
  <c r="BA158" i="3"/>
  <c r="BL158" i="3"/>
  <c r="BA160" i="3"/>
  <c r="G163" i="3"/>
  <c r="G166" i="3"/>
  <c r="BA169" i="3"/>
  <c r="AZ169" i="3" s="1"/>
  <c r="BL169" i="3"/>
  <c r="BL171" i="3"/>
  <c r="AZ171" i="3" s="1"/>
  <c r="G172" i="3"/>
  <c r="BA174" i="3"/>
  <c r="AZ174" i="3" s="1"/>
  <c r="BL174" i="3"/>
  <c r="BA176" i="3"/>
  <c r="AZ176" i="3" s="1"/>
  <c r="G179" i="3"/>
  <c r="G182" i="3"/>
  <c r="BA185" i="3"/>
  <c r="BL185" i="3"/>
  <c r="BL187" i="3"/>
  <c r="G188" i="3"/>
  <c r="BA190" i="3"/>
  <c r="BL190" i="3"/>
  <c r="BA192" i="3"/>
  <c r="AZ192" i="3" s="1"/>
  <c r="G195" i="3"/>
  <c r="G198" i="3"/>
  <c r="BA201" i="3"/>
  <c r="AZ201" i="3" s="1"/>
  <c r="BL201" i="3"/>
  <c r="BL203" i="3"/>
  <c r="AZ203" i="3" s="1"/>
  <c r="G204" i="3"/>
  <c r="BL205" i="3"/>
  <c r="G206" i="3"/>
  <c r="BA207" i="3"/>
  <c r="AZ207" i="3" s="1"/>
  <c r="BL207" i="3"/>
  <c r="G18" i="3"/>
  <c r="BA20" i="3"/>
  <c r="G21" i="3"/>
  <c r="G23" i="3"/>
  <c r="G25" i="3"/>
  <c r="BA26" i="3"/>
  <c r="BL26" i="3"/>
  <c r="AZ26" i="3" s="1"/>
  <c r="BA27" i="3"/>
  <c r="AZ27" i="3" s="1"/>
  <c r="BA28" i="3"/>
  <c r="AZ28" i="3" s="1"/>
  <c r="BA29" i="3"/>
  <c r="AZ29" i="3" s="1"/>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81"/>
  <c r="J51" i="15"/>
  <c r="K100" i="43"/>
  <c r="J51" i="81"/>
  <c r="C7" i="79"/>
  <c r="C58" i="79" s="1"/>
  <c r="F29" i="6"/>
  <c r="BA19" i="3"/>
  <c r="BL20" i="3"/>
  <c r="AZ20" i="3" s="1"/>
  <c r="BL22"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S38" i="33"/>
  <c r="U35" i="33"/>
  <c r="C15" i="39"/>
  <c r="A15" i="62"/>
  <c r="B61" i="72" s="1"/>
  <c r="W12" i="34"/>
  <c r="AC12" i="34"/>
  <c r="U12" i="35"/>
  <c r="AB12" i="35"/>
  <c r="AB34" i="35"/>
  <c r="U34" i="35"/>
  <c r="W12" i="40"/>
  <c r="AC12" i="40"/>
  <c r="S12" i="21"/>
  <c r="AA12" i="21"/>
  <c r="AB9" i="36"/>
  <c r="U9" i="36"/>
  <c r="AC24" i="36"/>
  <c r="W24" i="36"/>
  <c r="AZ521" i="3"/>
  <c r="AZ581" i="3"/>
  <c r="BL586" i="3"/>
  <c r="AZ586" i="3" s="1"/>
  <c r="G398" i="3"/>
  <c r="G399" i="3"/>
  <c r="BL399" i="3"/>
  <c r="BA400" i="3"/>
  <c r="AZ400" i="3" s="1"/>
  <c r="BL402" i="3"/>
  <c r="AZ402" i="3" s="1"/>
  <c r="G405" i="3"/>
  <c r="BL405" i="3"/>
  <c r="G408" i="3"/>
  <c r="BL408" i="3"/>
  <c r="BA409" i="3"/>
  <c r="AZ409" i="3" s="1"/>
  <c r="BA410" i="3"/>
  <c r="AZ410" i="3" s="1"/>
  <c r="BA411" i="3"/>
  <c r="AZ411" i="3" s="1"/>
  <c r="G414" i="3"/>
  <c r="G415" i="3"/>
  <c r="BL415" i="3"/>
  <c r="BA416" i="3"/>
  <c r="BL418" i="3"/>
  <c r="AZ418" i="3" s="1"/>
  <c r="G421" i="3"/>
  <c r="BL421" i="3"/>
  <c r="G424" i="3"/>
  <c r="G425" i="3"/>
  <c r="BL425" i="3"/>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BL481" i="3"/>
  <c r="AZ481" i="3" s="1"/>
  <c r="BA482" i="3"/>
  <c r="AZ482" i="3" s="1"/>
  <c r="BA483" i="3"/>
  <c r="AZ483" i="3" s="1"/>
  <c r="G485" i="3"/>
  <c r="G486" i="3"/>
  <c r="BL486" i="3"/>
  <c r="G489" i="3"/>
  <c r="G490" i="3"/>
  <c r="BL490" i="3"/>
  <c r="AZ490" i="3" s="1"/>
  <c r="G311" i="3"/>
  <c r="G315" i="3"/>
  <c r="BA317" i="3"/>
  <c r="AZ317" i="3" s="1"/>
  <c r="G327" i="3"/>
  <c r="G331" i="3"/>
  <c r="G28" i="6"/>
  <c r="AZ326" i="3"/>
  <c r="AZ311" i="3"/>
  <c r="AZ372" i="3"/>
  <c r="AZ347" i="3"/>
  <c r="AZ344" i="3"/>
  <c r="AZ337" i="3"/>
  <c r="AZ320" i="3"/>
  <c r="AZ313" i="3"/>
  <c r="AZ305" i="3"/>
  <c r="AZ362" i="3"/>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G551" i="3"/>
  <c r="BL550" i="3"/>
  <c r="BA550" i="3"/>
  <c r="AZ550" i="3" s="1"/>
  <c r="BL548" i="3"/>
  <c r="AZ548" i="3" s="1"/>
  <c r="G526" i="3"/>
  <c r="BL15" i="3"/>
  <c r="AZ15" i="3" s="1"/>
  <c r="AZ399" i="3"/>
  <c r="AZ403" i="3"/>
  <c r="AZ405" i="3"/>
  <c r="AZ406" i="3"/>
  <c r="AZ415" i="3"/>
  <c r="AZ419" i="3"/>
  <c r="AZ421" i="3"/>
  <c r="AZ422" i="3"/>
  <c r="AZ425" i="3"/>
  <c r="AZ435" i="3"/>
  <c r="AZ438" i="3"/>
  <c r="AZ442" i="3"/>
  <c r="AZ453" i="3"/>
  <c r="AZ458" i="3"/>
  <c r="AZ469" i="3"/>
  <c r="AZ486" i="3"/>
  <c r="AZ487"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BA248" i="3"/>
  <c r="AZ248" i="3" s="1"/>
  <c r="BA249" i="3"/>
  <c r="BL251" i="3"/>
  <c r="AZ251" i="3" s="1"/>
  <c r="BA252" i="3"/>
  <c r="AZ252" i="3" s="1"/>
  <c r="BA253" i="3"/>
  <c r="AZ253" i="3" s="1"/>
  <c r="G256" i="3"/>
  <c r="G257" i="3"/>
  <c r="G258" i="3"/>
  <c r="BL258" i="3"/>
  <c r="AZ258" i="3" s="1"/>
  <c r="G261" i="3"/>
  <c r="G262" i="3"/>
  <c r="BL262" i="3"/>
  <c r="AZ262" i="3" s="1"/>
  <c r="G265" i="3"/>
  <c r="G266" i="3"/>
  <c r="BL266" i="3"/>
  <c r="AZ266" i="3" s="1"/>
  <c r="BA267" i="3"/>
  <c r="AZ267" i="3" s="1"/>
  <c r="BA268" i="3"/>
  <c r="AZ268" i="3" s="1"/>
  <c r="BA269" i="3"/>
  <c r="AZ269" i="3" s="1"/>
  <c r="BL271" i="3"/>
  <c r="AZ271" i="3" s="1"/>
  <c r="BA272" i="3"/>
  <c r="BA273" i="3"/>
  <c r="AZ273" i="3" s="1"/>
  <c r="BL275" i="3"/>
  <c r="AZ275" i="3" s="1"/>
  <c r="BA276" i="3"/>
  <c r="AZ276" i="3" s="1"/>
  <c r="G279" i="3"/>
  <c r="G280" i="3"/>
  <c r="G281" i="3"/>
  <c r="BL281" i="3"/>
  <c r="BA282" i="3"/>
  <c r="AZ282" i="3" s="1"/>
  <c r="BA283" i="3"/>
  <c r="AZ283" i="3" s="1"/>
  <c r="G286" i="3"/>
  <c r="BL286" i="3"/>
  <c r="AZ286" i="3" s="1"/>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AZ149" i="3" s="1"/>
  <c r="G152" i="3"/>
  <c r="BL154" i="3"/>
  <c r="AZ154" i="3" s="1"/>
  <c r="BA156" i="3"/>
  <c r="AZ156" i="3" s="1"/>
  <c r="BL157" i="3"/>
  <c r="G160" i="3"/>
  <c r="BL162" i="3"/>
  <c r="AZ162" i="3" s="1"/>
  <c r="BA164" i="3"/>
  <c r="AZ164" i="3" s="1"/>
  <c r="BL165" i="3"/>
  <c r="AZ165" i="3" s="1"/>
  <c r="G168" i="3"/>
  <c r="BL170" i="3"/>
  <c r="AZ170" i="3" s="1"/>
  <c r="BA172" i="3"/>
  <c r="AZ172" i="3" s="1"/>
  <c r="BL173" i="3"/>
  <c r="G176" i="3"/>
  <c r="BL178" i="3"/>
  <c r="AZ178" i="3" s="1"/>
  <c r="BA180" i="3"/>
  <c r="AZ180" i="3" s="1"/>
  <c r="BL181" i="3"/>
  <c r="AZ181" i="3" s="1"/>
  <c r="G184" i="3"/>
  <c r="BL186" i="3"/>
  <c r="AZ186" i="3" s="1"/>
  <c r="BA188" i="3"/>
  <c r="AZ188" i="3" s="1"/>
  <c r="BL189" i="3"/>
  <c r="G192" i="3"/>
  <c r="BL194" i="3"/>
  <c r="AZ194" i="3" s="1"/>
  <c r="BA196" i="3"/>
  <c r="AZ196" i="3" s="1"/>
  <c r="BL197" i="3"/>
  <c r="AZ197" i="3" s="1"/>
  <c r="G200" i="3"/>
  <c r="G100" i="43"/>
  <c r="BL202" i="3"/>
  <c r="AZ202" i="3" s="1"/>
  <c r="BA204" i="3"/>
  <c r="AZ204" i="3" s="1"/>
  <c r="BA205" i="3"/>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I20" i="66"/>
  <c r="D93" i="9"/>
  <c r="E12" i="6"/>
  <c r="E15" i="6"/>
  <c r="E60" i="40" s="1"/>
  <c r="E13" i="6"/>
  <c r="E58" i="40" s="1"/>
  <c r="G29" i="6"/>
  <c r="E29" i="6" s="1"/>
  <c r="AC26" i="33"/>
  <c r="W26" i="33"/>
  <c r="W27" i="34"/>
  <c r="AC27" i="34"/>
  <c r="AB34" i="36"/>
  <c r="U34" i="36"/>
  <c r="AB33" i="36"/>
  <c r="U33" i="36"/>
  <c r="AC12" i="39"/>
  <c r="W12" i="39"/>
  <c r="AC39" i="40"/>
  <c r="W39" i="40"/>
  <c r="AZ401" i="3"/>
  <c r="AZ412" i="3"/>
  <c r="AZ417" i="3"/>
  <c r="AZ428"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408" i="3"/>
  <c r="AZ441" i="3"/>
  <c r="AZ473" i="3"/>
  <c r="AA39" i="34"/>
  <c r="F28" i="6"/>
  <c r="BL14" i="3"/>
  <c r="U30" i="33"/>
  <c r="AC13" i="34"/>
  <c r="AA47" i="34"/>
  <c r="W28" i="37"/>
  <c r="S19" i="39"/>
  <c r="F12" i="33"/>
  <c r="H12" i="39"/>
  <c r="AB12" i="39" s="1"/>
  <c r="F39" i="40"/>
  <c r="BA14" i="3"/>
  <c r="AZ14" i="3" s="1"/>
  <c r="AZ367" i="3"/>
  <c r="AZ213" i="3"/>
  <c r="AZ224" i="3"/>
  <c r="AZ234" i="3"/>
  <c r="AZ250" i="3"/>
  <c r="AZ254" i="3"/>
  <c r="AZ281" i="3"/>
  <c r="AZ297" i="3"/>
  <c r="AZ157" i="3"/>
  <c r="AZ173" i="3"/>
  <c r="AZ189" i="3"/>
  <c r="AZ19" i="3"/>
  <c r="AZ35" i="3"/>
  <c r="AZ41" i="3"/>
  <c r="S12" i="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81"/>
  <c r="M28" i="15"/>
  <c r="F38" i="67"/>
  <c r="G1" i="73"/>
  <c r="F6" i="67"/>
  <c r="L47" i="67"/>
  <c r="F8" i="67"/>
  <c r="F26" i="15"/>
  <c r="F37" i="67"/>
  <c r="M23" i="67"/>
  <c r="J15" i="15"/>
  <c r="F16" i="67"/>
  <c r="F7" i="81"/>
  <c r="F9" i="67"/>
  <c r="F42" i="67"/>
  <c r="F7" i="67"/>
  <c r="M22" i="15"/>
  <c r="M8" i="15"/>
  <c r="M26" i="67"/>
  <c r="F13" i="67"/>
  <c r="L48" i="67"/>
  <c r="M9" i="67"/>
  <c r="M24" i="15"/>
  <c r="M26" i="15"/>
  <c r="M29" i="67"/>
  <c r="M6" i="15"/>
  <c r="F36" i="67"/>
  <c r="M24" i="67"/>
  <c r="F36" i="15"/>
  <c r="L48" i="15"/>
  <c r="F9" i="15"/>
  <c r="F6" i="15"/>
  <c r="F42" i="15"/>
  <c r="F13" i="15"/>
  <c r="C76" i="67"/>
  <c r="F26" i="67"/>
  <c r="F16" i="15"/>
  <c r="M29" i="81"/>
  <c r="M9" i="15"/>
  <c r="M22" i="67"/>
  <c r="M6" i="67"/>
  <c r="M8" i="67"/>
  <c r="F43" i="67"/>
  <c r="J15" i="67"/>
  <c r="F8" i="15"/>
  <c r="F38" i="15"/>
  <c r="F40" i="67"/>
  <c r="M28" i="67"/>
  <c r="L47" i="15"/>
  <c r="F37" i="15"/>
  <c r="F40" i="15"/>
  <c r="M23" i="15"/>
  <c r="C76" i="15"/>
  <c r="F53" i="9" l="1"/>
  <c r="F32" i="81"/>
  <c r="F60" i="81" s="1"/>
  <c r="F28" i="81"/>
  <c r="C28" i="81" s="1"/>
  <c r="M18" i="81"/>
  <c r="D58" i="79"/>
  <c r="E58" i="79" s="1"/>
  <c r="F58" i="79" s="1"/>
  <c r="G58" i="79" s="1"/>
  <c r="H58" i="79" s="1"/>
  <c r="I58" i="79" s="1"/>
  <c r="J58" i="79" s="1"/>
  <c r="K58" i="79" s="1"/>
  <c r="L58" i="79" s="1"/>
  <c r="M58" i="79" s="1"/>
  <c r="N58" i="79" s="1"/>
  <c r="O58" i="79" s="1"/>
  <c r="F7" i="79"/>
  <c r="H7" i="79"/>
  <c r="J7" i="79"/>
  <c r="AB12" i="40"/>
  <c r="U12" i="40"/>
  <c r="AA40" i="40"/>
  <c r="S40" i="40"/>
  <c r="AB39" i="37"/>
  <c r="U39" i="37"/>
  <c r="U27" i="37"/>
  <c r="AB27" i="37"/>
  <c r="W32" i="36"/>
  <c r="AC32" i="36"/>
  <c r="AA34" i="35"/>
  <c r="S34" i="35"/>
  <c r="S12" i="35"/>
  <c r="AA12" i="35"/>
  <c r="S13" i="33"/>
  <c r="AA13" i="33"/>
  <c r="W28" i="34"/>
  <c r="AC28" i="34"/>
  <c r="AA9" i="33"/>
  <c r="S9" i="33"/>
  <c r="AC14" i="39"/>
  <c r="W14" i="39"/>
  <c r="U25" i="37"/>
  <c r="AB25" i="37"/>
  <c r="AC15" i="21"/>
  <c r="E56" i="40"/>
  <c r="S42" i="33"/>
  <c r="AA11" i="35"/>
  <c r="U12" i="39"/>
  <c r="S37" i="39"/>
  <c r="AZ110" i="3"/>
  <c r="AZ108" i="3"/>
  <c r="AZ93" i="3"/>
  <c r="AZ53" i="3"/>
  <c r="AZ36" i="3"/>
  <c r="AZ205" i="3"/>
  <c r="AZ121" i="3"/>
  <c r="AZ272" i="3"/>
  <c r="AZ249" i="3"/>
  <c r="AZ247" i="3"/>
  <c r="S14" i="40"/>
  <c r="AZ479" i="3"/>
  <c r="AZ416" i="3"/>
  <c r="AZ63" i="3"/>
  <c r="AZ59" i="3"/>
  <c r="AZ57" i="3"/>
  <c r="AZ190" i="3"/>
  <c r="AZ185" i="3"/>
  <c r="AZ158" i="3"/>
  <c r="AZ153" i="3"/>
  <c r="AZ290" i="3"/>
  <c r="AZ316" i="3"/>
  <c r="AZ449" i="3"/>
  <c r="AZ445" i="3"/>
  <c r="AZ396" i="3"/>
  <c r="AZ386" i="3"/>
  <c r="AB14" i="40"/>
  <c r="U14" i="40"/>
  <c r="AC37" i="39"/>
  <c r="W37" i="39"/>
  <c r="W40" i="40"/>
  <c r="AC40" i="40"/>
  <c r="AA38" i="40"/>
  <c r="S38" i="40"/>
  <c r="W33" i="40"/>
  <c r="AC33" i="40"/>
  <c r="AC26" i="37"/>
  <c r="W26" i="37"/>
  <c r="W31" i="33"/>
  <c r="AC31" i="33"/>
  <c r="AA28" i="34"/>
  <c r="S28" i="34"/>
  <c r="F77" i="33"/>
  <c r="G77" i="33" s="1"/>
  <c r="F15" i="33"/>
  <c r="H15" i="33"/>
  <c r="AC44" i="39"/>
  <c r="W44" i="39"/>
  <c r="S14" i="37"/>
  <c r="AA14" i="37"/>
  <c r="AZ564" i="3"/>
  <c r="M7" i="81"/>
  <c r="F50" i="81"/>
  <c r="F71" i="81"/>
  <c r="AR10" i="1"/>
  <c r="C106" i="43"/>
  <c r="D120" i="9"/>
  <c r="D6" i="52" s="1"/>
  <c r="G101" i="33"/>
  <c r="H101" i="33" s="1"/>
  <c r="I101" i="33" s="1"/>
  <c r="J101" i="33" s="1"/>
  <c r="K101" i="33" s="1"/>
  <c r="L101" i="33" s="1"/>
  <c r="M101" i="33" s="1"/>
  <c r="H32" i="33"/>
  <c r="F32" i="33"/>
  <c r="D22" i="43"/>
  <c r="C4" i="4"/>
  <c r="B4" i="62" s="1"/>
  <c r="B71" i="72" s="1"/>
  <c r="E4" i="4"/>
  <c r="B5" i="62" s="1"/>
  <c r="B73" i="72" s="1"/>
  <c r="U39" i="40"/>
  <c r="AB39" i="40"/>
  <c r="U12" i="36"/>
  <c r="AB12" i="36"/>
  <c r="AC23" i="35"/>
  <c r="W23" i="35"/>
  <c r="AA26" i="33"/>
  <c r="S26" i="33"/>
  <c r="AC36" i="35"/>
  <c r="W36" i="35"/>
  <c r="S12" i="34"/>
  <c r="AA12" i="34"/>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F19" i="6"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M7" i="1"/>
  <c r="AB45" i="21"/>
  <c r="AC33" i="21"/>
  <c r="W33" i="21"/>
  <c r="S33" i="21"/>
  <c r="AA33" i="21"/>
  <c r="W32" i="21"/>
  <c r="AC32" i="21"/>
  <c r="AB9" i="21"/>
  <c r="U9" i="21"/>
  <c r="AA32" i="21"/>
  <c r="S32" i="21"/>
  <c r="W9" i="21"/>
  <c r="AC9" i="21"/>
  <c r="AB32" i="21"/>
  <c r="U32" i="21"/>
  <c r="AA10" i="21"/>
  <c r="S10" i="21"/>
  <c r="C36" i="69"/>
  <c r="M17" i="67"/>
  <c r="M17" i="15"/>
  <c r="F31" i="15"/>
  <c r="F59" i="67"/>
  <c r="F31" i="67"/>
  <c r="F59" i="15"/>
  <c r="L48" i="81"/>
  <c r="L47" i="81"/>
  <c r="C76" i="81"/>
  <c r="F6" i="81"/>
  <c r="F36" i="81"/>
  <c r="F37" i="81"/>
  <c r="M6" i="81"/>
  <c r="F38" i="81"/>
  <c r="M9" i="81"/>
  <c r="M27" i="81"/>
  <c r="F8" i="81"/>
  <c r="F9" i="81"/>
  <c r="M8" i="81"/>
  <c r="M24" i="81"/>
  <c r="M22" i="81"/>
  <c r="C16" i="67"/>
  <c r="F13" i="81"/>
  <c r="F40" i="81"/>
  <c r="M28" i="81"/>
  <c r="F16" i="81"/>
  <c r="F42" i="81"/>
  <c r="M23" i="81"/>
  <c r="J15" i="81"/>
  <c r="M26" i="81"/>
  <c r="F26" i="81"/>
  <c r="Q71" i="81" l="1"/>
  <c r="C27" i="81"/>
  <c r="L59" i="81"/>
  <c r="N59" i="81"/>
  <c r="M59" i="81"/>
  <c r="L58" i="81"/>
  <c r="F51" i="81"/>
  <c r="J53" i="81"/>
  <c r="L56" i="81"/>
  <c r="J57" i="81"/>
  <c r="J55" i="81" s="1"/>
  <c r="J58" i="81" s="1"/>
  <c r="Q50" i="81" s="1"/>
  <c r="I54" i="81"/>
  <c r="F66" i="81"/>
  <c r="F65" i="81"/>
  <c r="F68" i="81"/>
  <c r="F64" i="81"/>
  <c r="C10" i="81"/>
  <c r="C6" i="81"/>
  <c r="C33" i="79"/>
  <c r="E19" i="6"/>
  <c r="F27" i="6"/>
  <c r="F31" i="6" s="1"/>
  <c r="C49" i="81"/>
  <c r="C48" i="81" s="1"/>
  <c r="C60" i="81" s="1"/>
  <c r="AA15" i="33"/>
  <c r="S15" i="33"/>
  <c r="W7" i="79"/>
  <c r="AC7" i="79"/>
  <c r="S7" i="79"/>
  <c r="AA7" i="79"/>
  <c r="AB15" i="33"/>
  <c r="U15" i="33"/>
  <c r="AB7" i="79"/>
  <c r="U7" i="79"/>
  <c r="O7" i="1"/>
  <c r="J6" i="81"/>
  <c r="J10" i="81"/>
  <c r="C24" i="81"/>
  <c r="K120" i="9"/>
  <c r="A18" i="62" s="1"/>
  <c r="B64" i="72" s="1"/>
  <c r="AB32" i="33"/>
  <c r="U32" i="33"/>
  <c r="AA32" i="33"/>
  <c r="S32" i="33"/>
  <c r="C30" i="69"/>
  <c r="K4" i="4"/>
  <c r="B46" i="48" s="1"/>
  <c r="B4" i="72" s="1"/>
  <c r="L59" i="15"/>
  <c r="Q74" i="15" s="1"/>
  <c r="C30" i="1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67"/>
  <c r="C53" i="67"/>
  <c r="C5" i="67"/>
  <c r="C32" i="67" s="1"/>
  <c r="Q60" i="15"/>
  <c r="Q60" i="67"/>
  <c r="Q73" i="67"/>
  <c r="Q61" i="67"/>
  <c r="Q74" i="67"/>
  <c r="C49" i="67"/>
  <c r="F1" i="67"/>
  <c r="Q52" i="67"/>
  <c r="C16" i="81"/>
  <c r="C66" i="81" l="1"/>
  <c r="C5" i="81"/>
  <c r="C38" i="81" s="1"/>
  <c r="D3" i="79"/>
  <c r="K6" i="1"/>
  <c r="E27" i="6"/>
  <c r="K19" i="6"/>
  <c r="Q52" i="81"/>
  <c r="F1" i="81"/>
  <c r="Q73" i="81"/>
  <c r="Q60" i="81"/>
  <c r="F33" i="79"/>
  <c r="H33" i="79"/>
  <c r="J33" i="79"/>
  <c r="Q74" i="81"/>
  <c r="Q61" i="81"/>
  <c r="C32" i="81"/>
  <c r="J5" i="81"/>
  <c r="J26" i="81" s="1"/>
  <c r="Q61" i="15"/>
  <c r="E37" i="43"/>
  <c r="AA7" i="36"/>
  <c r="R36" i="36" s="1"/>
  <c r="E36" i="36" s="1"/>
  <c r="E40" i="36" s="1"/>
  <c r="F40" i="36" s="1"/>
  <c r="AC11" i="37"/>
  <c r="W11" i="37"/>
  <c r="AB7" i="37"/>
  <c r="T42" i="37" s="1"/>
  <c r="G42" i="37" s="1"/>
  <c r="G46" i="37" s="1"/>
  <c r="H46" i="37" s="1"/>
  <c r="W11" i="34"/>
  <c r="AC11" i="34"/>
  <c r="J5" i="67"/>
  <c r="AB7" i="36"/>
  <c r="T36" i="36" s="1"/>
  <c r="E38" i="43"/>
  <c r="E6" i="3"/>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D28" i="6"/>
  <c r="D29" i="6"/>
  <c r="E61" i="40"/>
  <c r="C13" i="12"/>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F7" i="15"/>
  <c r="M29" i="15"/>
  <c r="F43" i="15"/>
  <c r="F71" i="15" l="1"/>
  <c r="F50" i="15"/>
  <c r="C6" i="15"/>
  <c r="C10" i="15"/>
  <c r="M7" i="15"/>
  <c r="AB33" i="79"/>
  <c r="T48" i="79" s="1"/>
  <c r="G48" i="79" s="1"/>
  <c r="U33" i="79"/>
  <c r="E31" i="6"/>
  <c r="K21" i="6"/>
  <c r="M21" i="6" s="1"/>
  <c r="I21" i="6" s="1"/>
  <c r="K22" i="6"/>
  <c r="M22" i="6" s="1"/>
  <c r="I22" i="6" s="1"/>
  <c r="K25" i="6"/>
  <c r="M25" i="6" s="1"/>
  <c r="I25" i="6" s="1"/>
  <c r="K20" i="6"/>
  <c r="K24" i="6"/>
  <c r="M24" i="6" s="1"/>
  <c r="I24" i="6" s="1"/>
  <c r="K26" i="6"/>
  <c r="M26" i="6" s="1"/>
  <c r="I26" i="6" s="1"/>
  <c r="K23" i="6"/>
  <c r="M23" i="6" s="1"/>
  <c r="I23" i="6" s="1"/>
  <c r="AC33" i="79"/>
  <c r="V48" i="79" s="1"/>
  <c r="I48" i="79" s="1"/>
  <c r="W33" i="79"/>
  <c r="AA33" i="79"/>
  <c r="R48" i="79" s="1"/>
  <c r="S33" i="79"/>
  <c r="S6" i="1"/>
  <c r="K27" i="6"/>
  <c r="M19" i="6"/>
  <c r="M6" i="1"/>
  <c r="G16" i="1"/>
  <c r="Q16" i="1"/>
  <c r="K16" i="1"/>
  <c r="B29" i="1" s="1"/>
  <c r="C8" i="68" s="1"/>
  <c r="C5" i="68" s="1"/>
  <c r="C23" i="68" s="1"/>
  <c r="H16" i="1"/>
  <c r="E6" i="70"/>
  <c r="J18" i="81"/>
  <c r="J24" i="81"/>
  <c r="C36" i="11"/>
  <c r="J24" i="67"/>
  <c r="J18" i="67"/>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6" i="15"/>
  <c r="C17" i="15"/>
  <c r="E6" i="76"/>
  <c r="C5" i="15" l="1"/>
  <c r="C32" i="15" s="1"/>
  <c r="F27" i="69"/>
  <c r="F27" i="68"/>
  <c r="F27" i="11"/>
  <c r="F28" i="12"/>
  <c r="C29" i="12" s="1"/>
  <c r="D28" i="12" s="1"/>
  <c r="O6" i="1"/>
  <c r="M16" i="1"/>
  <c r="S26" i="6"/>
  <c r="H26" i="6"/>
  <c r="R26" i="6" s="1"/>
  <c r="S7" i="1"/>
  <c r="M20" i="6"/>
  <c r="I20" i="6" s="1"/>
  <c r="S22" i="6"/>
  <c r="H22" i="6"/>
  <c r="R22" i="6" s="1"/>
  <c r="G52" i="79"/>
  <c r="H52" i="79" s="1"/>
  <c r="G53" i="79"/>
  <c r="H53" i="79" s="1"/>
  <c r="J6" i="15"/>
  <c r="J10" i="15"/>
  <c r="C38" i="15"/>
  <c r="H10" i="40"/>
  <c r="F10" i="39"/>
  <c r="J10" i="39"/>
  <c r="J10" i="40"/>
  <c r="F10" i="40"/>
  <c r="H10" i="39"/>
  <c r="M27" i="6"/>
  <c r="I19" i="6"/>
  <c r="AQ6" i="1"/>
  <c r="AR6" i="1"/>
  <c r="T6" i="1"/>
  <c r="E48" i="79"/>
  <c r="I53" i="79" s="1"/>
  <c r="J53" i="79" s="1"/>
  <c r="R49" i="79"/>
  <c r="I52" i="79"/>
  <c r="J52" i="79" s="1"/>
  <c r="S23" i="6"/>
  <c r="H23" i="6"/>
  <c r="R23" i="6" s="1"/>
  <c r="S24" i="6"/>
  <c r="H24" i="6"/>
  <c r="R24" i="6" s="1"/>
  <c r="S25" i="6"/>
  <c r="H25" i="6"/>
  <c r="R25" i="6" s="1"/>
  <c r="S21" i="6"/>
  <c r="H21" i="6"/>
  <c r="R21" i="6" s="1"/>
  <c r="R8" i="1" s="1"/>
  <c r="C18" i="12"/>
  <c r="C53" i="15"/>
  <c r="C49" i="15"/>
  <c r="D31" i="6"/>
  <c r="I6" i="6" s="1"/>
  <c r="E2" i="76"/>
  <c r="B2" i="43"/>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M21" i="67"/>
  <c r="F35" i="67"/>
  <c r="C17" i="81"/>
  <c r="J5" i="15" l="1"/>
  <c r="J24" i="15" s="1"/>
  <c r="C49" i="79"/>
  <c r="C48" i="79"/>
  <c r="AA10" i="40"/>
  <c r="S10" i="40"/>
  <c r="W10" i="39"/>
  <c r="AC10" i="39"/>
  <c r="U10" i="40"/>
  <c r="AB10" i="40"/>
  <c r="AQ7" i="1"/>
  <c r="E7" i="70"/>
  <c r="AR7" i="1"/>
  <c r="T7" i="1"/>
  <c r="P6" i="1"/>
  <c r="P16" i="1" s="1"/>
  <c r="C11" i="12" s="1"/>
  <c r="O16" i="1"/>
  <c r="C29" i="11"/>
  <c r="D27" i="11" s="1"/>
  <c r="C47" i="11"/>
  <c r="D45" i="11" s="1"/>
  <c r="C28" i="11"/>
  <c r="C27" i="11" s="1"/>
  <c r="C31" i="11" s="1"/>
  <c r="C47" i="69"/>
  <c r="D45" i="69" s="1"/>
  <c r="C29" i="69"/>
  <c r="D27" i="69" s="1"/>
  <c r="E53" i="79"/>
  <c r="F53" i="79" s="1"/>
  <c r="E52" i="79"/>
  <c r="F52" i="79" s="1"/>
  <c r="L18" i="9"/>
  <c r="S19" i="6"/>
  <c r="S27" i="6" s="1"/>
  <c r="H19" i="6"/>
  <c r="I27" i="6"/>
  <c r="U10" i="39"/>
  <c r="AB10" i="39"/>
  <c r="W10" i="40"/>
  <c r="AC10" i="40"/>
  <c r="S10" i="39"/>
  <c r="AA10" i="39"/>
  <c r="S20" i="6"/>
  <c r="H20" i="6"/>
  <c r="R20" i="6" s="1"/>
  <c r="R7" i="1" s="1"/>
  <c r="N16" i="1"/>
  <c r="L16" i="1"/>
  <c r="C34" i="11"/>
  <c r="C34" i="68"/>
  <c r="C29" i="68"/>
  <c r="D27" i="68" s="1"/>
  <c r="C47" i="68"/>
  <c r="D45" i="68" s="1"/>
  <c r="I5" i="6"/>
  <c r="B2" i="76"/>
  <c r="B3" i="76" s="1"/>
  <c r="B3" i="43"/>
  <c r="C49" i="21"/>
  <c r="F63" i="67"/>
  <c r="C62" i="67" s="1"/>
  <c r="C34" i="67"/>
  <c r="J20" i="67"/>
  <c r="C24" i="68"/>
  <c r="C20" i="68"/>
  <c r="C28" i="68" s="1"/>
  <c r="C27" i="68" s="1"/>
  <c r="I63" i="40"/>
  <c r="H65" i="40"/>
  <c r="I70" i="39"/>
  <c r="C14" i="81"/>
  <c r="M21" i="81"/>
  <c r="F35" i="81"/>
  <c r="J18" i="15" l="1"/>
  <c r="C15" i="81"/>
  <c r="C18" i="81"/>
  <c r="J20" i="81"/>
  <c r="F63" i="81"/>
  <c r="C62" i="81" s="1"/>
  <c r="C34" i="81"/>
  <c r="C38" i="11"/>
  <c r="C35" i="11"/>
  <c r="C33" i="11"/>
  <c r="F50" i="11"/>
  <c r="F50" i="68"/>
  <c r="F50" i="69"/>
  <c r="L19" i="9"/>
  <c r="R19" i="6"/>
  <c r="H27" i="6"/>
  <c r="C35" i="68"/>
  <c r="C38" i="68"/>
  <c r="C15" i="12"/>
  <c r="C12" i="12"/>
  <c r="D17" i="80"/>
  <c r="B3" i="79"/>
  <c r="B2" i="79"/>
  <c r="C25" i="68"/>
  <c r="C22" i="68" s="1"/>
  <c r="C31" i="68" s="1"/>
  <c r="J63" i="40"/>
  <c r="I65" i="40"/>
  <c r="J70" i="39"/>
  <c r="C19" i="81" l="1"/>
  <c r="C16" i="12"/>
  <c r="C21" i="12" s="1"/>
  <c r="C22" i="12" s="1"/>
  <c r="C20" i="81"/>
  <c r="C23" i="81" s="1"/>
  <c r="C33" i="68"/>
  <c r="R27" i="6"/>
  <c r="R6" i="1"/>
  <c r="C42" i="11"/>
  <c r="C39" i="11"/>
  <c r="L57" i="81"/>
  <c r="L60" i="81" s="1"/>
  <c r="K63" i="40"/>
  <c r="J65" i="40"/>
  <c r="K70" i="39"/>
  <c r="M21" i="15"/>
  <c r="F35" i="15"/>
  <c r="C30" i="12" l="1"/>
  <c r="C28" i="12" s="1"/>
  <c r="C27" i="12"/>
  <c r="C25" i="12" s="1"/>
  <c r="J20" i="15"/>
  <c r="C34" i="15"/>
  <c r="F63" i="15"/>
  <c r="C62" i="15" s="1"/>
  <c r="C43" i="11"/>
  <c r="C41" i="11" s="1"/>
  <c r="C46" i="11"/>
  <c r="C45" i="11" s="1"/>
  <c r="C26" i="81"/>
  <c r="C29" i="81" s="1"/>
  <c r="J59" i="81" s="1"/>
  <c r="J60" i="81" s="1"/>
  <c r="Q48" i="81" s="1"/>
  <c r="R16" i="1"/>
  <c r="C39" i="68"/>
  <c r="C42" i="68"/>
  <c r="Q57" i="81"/>
  <c r="Q66" i="81"/>
  <c r="L63" i="40"/>
  <c r="K65" i="40"/>
  <c r="L70" i="39"/>
  <c r="E2" i="70"/>
  <c r="C34" i="69"/>
  <c r="C17" i="67"/>
  <c r="L46" i="81" l="1"/>
  <c r="C32" i="12"/>
  <c r="B2" i="12" s="1"/>
  <c r="B3" i="12" s="1"/>
  <c r="C43" i="68"/>
  <c r="C41" i="68" s="1"/>
  <c r="C46" i="68"/>
  <c r="C45" i="68" s="1"/>
  <c r="C33" i="81"/>
  <c r="C31" i="81" s="1"/>
  <c r="J14" i="81"/>
  <c r="C13" i="81"/>
  <c r="C57" i="81"/>
  <c r="Q49" i="81"/>
  <c r="J19" i="81"/>
  <c r="J17" i="81" s="1"/>
  <c r="C36" i="81"/>
  <c r="C49" i="11"/>
  <c r="C51" i="11" s="1"/>
  <c r="M63" i="40"/>
  <c r="L65" i="40"/>
  <c r="M70" i="39"/>
  <c r="C35" i="69"/>
  <c r="C38" i="69"/>
  <c r="D10" i="69"/>
  <c r="C49" i="68" l="1"/>
  <c r="C51" i="68" s="1"/>
  <c r="C52" i="68" s="1"/>
  <c r="C57" i="68" s="1"/>
  <c r="C56" i="68" s="1"/>
  <c r="C61" i="81"/>
  <c r="C59" i="81" s="1"/>
  <c r="C64" i="81"/>
  <c r="J13" i="81"/>
  <c r="J23" i="81" s="1"/>
  <c r="J22" i="81"/>
  <c r="C52" i="11"/>
  <c r="B2" i="11" s="1"/>
  <c r="B3" i="11" s="1"/>
  <c r="C56" i="81"/>
  <c r="C65" i="81" s="1"/>
  <c r="C37" i="81"/>
  <c r="C30" i="81" s="1"/>
  <c r="C39" i="81" s="1"/>
  <c r="Q70" i="81"/>
  <c r="C75" i="81"/>
  <c r="N63" i="40"/>
  <c r="M65" i="40"/>
  <c r="O70" i="39"/>
  <c r="N70" i="39"/>
  <c r="D19" i="69"/>
  <c r="C10" i="69"/>
  <c r="C8" i="69" s="1"/>
  <c r="C5" i="69" s="1"/>
  <c r="C80" i="81" l="1"/>
  <c r="C79" i="81" s="1"/>
  <c r="J16" i="81"/>
  <c r="J25" i="81" s="1"/>
  <c r="C58" i="81"/>
  <c r="C67" i="81" s="1"/>
  <c r="Q69" i="81"/>
  <c r="Q68" i="81" s="1"/>
  <c r="C56" i="11"/>
  <c r="C57" i="11" s="1"/>
  <c r="O63" i="40"/>
  <c r="O65" i="40" s="1"/>
  <c r="N65" i="40"/>
  <c r="C23" i="69"/>
  <c r="C19" i="69"/>
  <c r="C24" i="69" s="1"/>
  <c r="D37" i="69"/>
  <c r="C37" i="69" s="1"/>
  <c r="C33" i="69" s="1"/>
  <c r="C14" i="67"/>
  <c r="L51" i="81"/>
  <c r="Q67" i="81"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F41" i="81"/>
  <c r="AE6" i="1"/>
  <c r="F69" i="81" l="1"/>
  <c r="C68" i="81" s="1"/>
  <c r="C40" i="81"/>
  <c r="J29" i="81"/>
  <c r="C66" i="15"/>
  <c r="C60" i="15"/>
  <c r="C59" i="15" s="1"/>
  <c r="AG6" i="1"/>
  <c r="C80" i="15"/>
  <c r="C79" i="15" s="1"/>
  <c r="C65" i="15"/>
  <c r="Q68" i="15"/>
  <c r="L51" i="15"/>
  <c r="F41" i="15"/>
  <c r="M27" i="67"/>
  <c r="F41" i="67"/>
  <c r="M27" i="15"/>
  <c r="C46" i="81" l="1"/>
  <c r="C71" i="81"/>
  <c r="Q47" i="81"/>
  <c r="Q53" i="81" s="1"/>
  <c r="B2" i="81"/>
  <c r="B3" i="81" s="1"/>
  <c r="Q56" i="81"/>
  <c r="Q62" i="81" s="1"/>
  <c r="C83" i="81"/>
  <c r="C82" i="81" s="1"/>
  <c r="Q65" i="81"/>
  <c r="Q75" i="81" s="1"/>
  <c r="C43" i="81"/>
  <c r="L57" i="15"/>
  <c r="L60" i="15" s="1"/>
  <c r="Q66" i="15" s="1"/>
  <c r="Q67" i="15"/>
  <c r="J26" i="15"/>
  <c r="J29" i="15" s="1"/>
  <c r="J26" i="67"/>
  <c r="J29" i="67" s="1"/>
  <c r="C58" i="15"/>
  <c r="C67" i="15" s="1"/>
  <c r="F69" i="15"/>
  <c r="C40" i="15"/>
  <c r="C43" i="15" s="1"/>
  <c r="F69" i="67"/>
  <c r="C68" i="67" s="1"/>
  <c r="C71" i="67" s="1"/>
  <c r="C40" i="67"/>
  <c r="C83" i="67" s="1"/>
  <c r="C82" i="67" s="1"/>
  <c r="L46" i="15" l="1"/>
  <c r="B2" i="15" s="1"/>
  <c r="B3" i="15" s="1"/>
  <c r="Q57" i="15"/>
  <c r="C68" i="15"/>
  <c r="C71" i="15" s="1"/>
  <c r="C83" i="15"/>
  <c r="C82" i="15" s="1"/>
  <c r="Q65" i="15"/>
  <c r="Q75" i="15" s="1"/>
  <c r="Q47" i="15"/>
  <c r="Q53" i="15" s="1"/>
  <c r="Q56" i="15"/>
  <c r="C43" i="67"/>
  <c r="C45" i="67"/>
  <c r="C46" i="67" s="1"/>
  <c r="Q65" i="67"/>
  <c r="Q75" i="67" s="1"/>
  <c r="Q56" i="67"/>
  <c r="Q62" i="67" s="1"/>
  <c r="Q47" i="67"/>
  <c r="Q53" i="67" s="1"/>
  <c r="D2" i="67"/>
  <c r="B2" i="67" s="1"/>
  <c r="E2" i="69"/>
  <c r="AO7" i="1"/>
  <c r="AO8" i="1"/>
  <c r="AO6" i="1"/>
  <c r="Q62" i="15" l="1"/>
  <c r="B8" i="70"/>
  <c r="B7" i="70"/>
  <c r="B6" i="70"/>
  <c r="C46" i="15"/>
  <c r="B2" i="69"/>
  <c r="B3" i="69" s="1"/>
  <c r="B2" i="68"/>
  <c r="B3" i="67"/>
  <c r="D2" i="37"/>
  <c r="D2" i="33"/>
  <c r="F20" i="31"/>
  <c r="E2" i="68"/>
  <c r="D2" i="34"/>
  <c r="D2" i="36"/>
  <c r="D2" i="35"/>
  <c r="D2" i="21"/>
  <c r="B2" i="36" l="1"/>
  <c r="B3" i="36" s="1"/>
  <c r="B2" i="35"/>
  <c r="B3" i="35" s="1"/>
  <c r="B2" i="37"/>
  <c r="B3" i="37" s="1"/>
  <c r="B2" i="34"/>
  <c r="B3" i="34" s="1"/>
  <c r="B2" i="21"/>
  <c r="B3" i="21" s="1"/>
  <c r="B2" i="70"/>
  <c r="B3" i="70" s="1"/>
  <c r="B3" i="68"/>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R24" i="31"/>
  <c r="B3" i="33"/>
  <c r="G52" i="39"/>
  <c r="H52" i="39" s="1"/>
  <c r="G51" i="39"/>
  <c r="H51" i="39" s="1"/>
  <c r="I51" i="39"/>
  <c r="J51" i="39" s="1"/>
  <c r="W7" i="39"/>
  <c r="U7" i="39"/>
  <c r="AA7" i="39"/>
  <c r="R47" i="39" s="1"/>
  <c r="R48" i="39" l="1"/>
  <c r="E47" i="39"/>
  <c r="S24" i="31" l="1"/>
  <c r="R29" i="31"/>
  <c r="S29" i="31" s="1"/>
  <c r="R32" i="31"/>
  <c r="S32" i="31" s="1"/>
  <c r="R31" i="31"/>
  <c r="S31" i="31" s="1"/>
  <c r="R34" i="31"/>
  <c r="S34" i="31" s="1"/>
  <c r="R33" i="31"/>
  <c r="S33" i="31" s="1"/>
  <c r="R25" i="31"/>
  <c r="S25" i="31" s="1"/>
  <c r="R28" i="31"/>
  <c r="S28" i="31" s="1"/>
  <c r="R27" i="31"/>
  <c r="S27" i="31" s="1"/>
  <c r="R30" i="31"/>
  <c r="S30" i="31" s="1"/>
  <c r="R26" i="31"/>
  <c r="S26" i="31" s="1"/>
  <c r="C48" i="39"/>
  <c r="C47" i="39"/>
  <c r="E51" i="39"/>
  <c r="F51" i="39" s="1"/>
  <c r="E52" i="39"/>
  <c r="F52" i="39" s="1"/>
  <c r="I52" i="39"/>
  <c r="J52" i="39" s="1"/>
  <c r="S22" i="31" l="1"/>
  <c r="B61" i="39"/>
  <c r="F61" i="39" s="1"/>
  <c r="B60" i="39"/>
  <c r="F60" i="39" s="1"/>
  <c r="B56" i="39"/>
  <c r="F56" i="39" s="1"/>
  <c r="B58" i="39"/>
  <c r="F58" i="39" s="1"/>
  <c r="B59" i="39"/>
  <c r="F59" i="39" s="1"/>
  <c r="B64" i="39"/>
  <c r="F64" i="39" s="1"/>
  <c r="B65" i="39"/>
  <c r="F65" i="39" s="1"/>
  <c r="B57" i="39"/>
  <c r="F57" i="39" s="1"/>
  <c r="B63" i="39"/>
  <c r="F63" i="39" s="1"/>
  <c r="B62" i="39"/>
  <c r="F62" i="39" s="1"/>
  <c r="B20" i="31" l="1"/>
  <c r="R22" i="31"/>
  <c r="B21" i="31" s="1"/>
  <c r="F66" i="39"/>
  <c r="B2" i="39" s="1"/>
  <c r="B3" i="39" s="1"/>
  <c r="C20" i="9"/>
  <c r="C19" i="9"/>
  <c r="G20" i="9" l="1"/>
  <c r="C103" i="9"/>
  <c r="C21" i="9"/>
  <c r="D22" i="9"/>
  <c r="C102" i="9"/>
  <c r="G19" i="9"/>
  <c r="C32" i="9" l="1"/>
  <c r="C35" i="9" s="1"/>
  <c r="D35" i="9" s="1"/>
  <c r="G21" i="9"/>
  <c r="H112" i="9" l="1"/>
  <c r="D21" i="53" s="1"/>
  <c r="B39" i="72" s="1"/>
  <c r="H111" i="9"/>
  <c r="D126" i="9" s="1"/>
  <c r="D59" i="9"/>
  <c r="M55" i="9" s="1"/>
  <c r="D19" i="53" l="1"/>
  <c r="B38" i="72" s="1"/>
  <c r="I14" i="74"/>
  <c r="B8" i="74" s="1"/>
  <c r="D127" i="9"/>
  <c r="D13" i="52" s="1"/>
  <c r="D12" i="52"/>
  <c r="F118" i="9"/>
  <c r="G118" i="9" s="1"/>
  <c r="G4" i="52" s="1"/>
  <c r="B52" i="72" s="1"/>
  <c r="H118" i="9"/>
  <c r="C104" i="9" s="1"/>
  <c r="D20" i="53" l="1"/>
  <c r="B40" i="72" s="1"/>
  <c r="D8" i="74"/>
  <c r="C8" i="74"/>
  <c r="H101" i="9"/>
  <c r="H107" i="9" s="1"/>
  <c r="M49" i="9" s="1"/>
  <c r="I118" i="9"/>
  <c r="C105" i="9" s="1"/>
  <c r="H119" i="9"/>
  <c r="H5" i="52" s="1"/>
  <c r="F4" i="52"/>
  <c r="B51" i="72" s="1"/>
  <c r="F119" i="9"/>
  <c r="F5" i="52" s="1"/>
  <c r="B53" i="72" s="1"/>
  <c r="D14" i="74"/>
  <c r="H4" i="52"/>
  <c r="M48" i="9" l="1"/>
  <c r="F34" i="9"/>
  <c r="C34" i="9" s="1"/>
  <c r="D34" i="9" s="1"/>
  <c r="L68" i="9"/>
  <c r="M68" i="9" s="1"/>
  <c r="L66" i="9"/>
  <c r="M66" i="9" s="1"/>
  <c r="L65" i="9"/>
  <c r="M65" i="9" s="1"/>
  <c r="L64" i="9"/>
  <c r="M64" i="9" s="1"/>
  <c r="L67" i="9"/>
  <c r="M67" i="9" s="1"/>
  <c r="L63" i="9"/>
  <c r="M63" i="9" s="1"/>
  <c r="D45" i="9"/>
  <c r="D53" i="9" s="1"/>
  <c r="I4" i="52"/>
  <c r="D5" i="53"/>
  <c r="B20" i="72" s="1"/>
  <c r="H102" i="9"/>
  <c r="D7" i="53" s="1"/>
  <c r="B21" i="72" s="1"/>
  <c r="D122" i="9"/>
  <c r="H108" i="9"/>
  <c r="D15" i="53" s="1"/>
  <c r="B31" i="72" s="1"/>
  <c r="D13" i="53"/>
  <c r="E14" i="74"/>
  <c r="B5" i="74"/>
  <c r="F14" i="74"/>
  <c r="D118" i="9" l="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D119" i="9" l="1"/>
  <c r="D5" i="52" s="1"/>
  <c r="B49" i="72" s="1"/>
  <c r="D4" i="52"/>
  <c r="B47" i="72" s="1"/>
  <c r="E118" i="9"/>
  <c r="E4" i="52" s="1"/>
  <c r="B48" i="72" s="1"/>
  <c r="C95" i="9"/>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T23" i="31" l="1"/>
  <c r="J2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<sst xmlns="http://schemas.openxmlformats.org/spreadsheetml/2006/main" count="8315" uniqueCount="3185">
  <si>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</si>
  <si>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</si>
  <si>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</si>
  <si>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</si>
  <si>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</si>
  <si>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</si>
  <si>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</si>
  <si>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</si>
  <si>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</si>
  <si>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</si>
  <si>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</si>
  <si>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</si>
  <si>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</si>
  <si>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</si>
  <si>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</si>
  <si>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</si>
  <si>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</si>
  <si>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</si>
  <si>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</si>
  <si>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</si>
  <si>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</si>
  <si>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</si>
  <si>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</si>
  <si>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</si>
  <si>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</si>
  <si>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</si>
  <si>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</si>
  <si>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</si>
  <si>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</si>
  <si>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</si>
  <si>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</si>
  <si>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</si>
  <si>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</si>
  <si>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</si>
  <si>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</si>
  <si>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</si>
  <si>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</si>
  <si>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</si>
  <si>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</si>
  <si>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</si>
  <si>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</si>
  <si>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</si>
  <si>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</si>
  <si>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</si>
  <si>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</si>
  <si>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</si>
  <si>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</si>
  <si>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</si>
  <si>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</si>
  <si>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</si>
  <si>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</si>
  <si>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</si>
  <si>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</si>
  <si>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</si>
  <si>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</si>
  <si>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</si>
  <si>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</si>
  <si>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</si>
  <si>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</si>
  <si>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</si>
  <si>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</si>
  <si>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</si>
  <si>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</si>
  <si>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</si>
  <si>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</si>
  <si>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</si>
  <si>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</si>
  <si>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</si>
  <si>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</si>
  <si>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</si>
  <si>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</si>
  <si>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</si>
  <si>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</si>
  <si>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</si>
  <si>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</si>
  <si>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</si>
  <si>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</si>
  <si>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</si>
  <si>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</si>
  <si>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</si>
  <si>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</si>
  <si>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</si>
  <si>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</si>
  <si>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</si>
  <si>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</si>
  <si>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</si>
  <si>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</si>
  <si>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</si>
  <si>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</si>
  <si>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</si>
  <si>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</si>
  <si>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</si>
  <si>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</si>
  <si>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</si>
  <si>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</si>
  <si>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</si>
  <si>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</si>
  <si>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</si>
  <si>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</si>
  <si>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</si>
  <si>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</si>
  <si>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</si>
  <si>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</si>
  <si>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</si>
  <si>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</si>
  <si>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</si>
  <si>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</si>
  <si>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</si>
  <si>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</si>
  <si>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</si>
  <si>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</si>
  <si>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</si>
  <si>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</si>
  <si>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</si>
  <si>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</si>
  <si>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</si>
  <si>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</si>
  <si>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</si>
  <si>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</si>
  <si>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</si>
  <si>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</si>
  <si>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</si>
  <si>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</si>
  <si>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</si>
  <si>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</si>
  <si>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</si>
  <si>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</si>
  <si>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</si>
  <si>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</si>
  <si>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</si>
  <si>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</si>
  <si>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</si>
  <si>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</si>
  <si>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</si>
  <si>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</si>
  <si>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</si>
  <si>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</si>
  <si>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</si>
  <si>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</si>
  <si>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</si>
  <si>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</si>
  <si>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</si>
  <si>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</si>
  <si>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</si>
  <si>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</si>
  <si>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</si>
  <si>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</si>
  <si>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</si>
  <si>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</si>
  <si>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</si>
  <si>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</si>
  <si>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</si>
  <si>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</si>
  <si>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</si>
  <si>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</si>
  <si>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</si>
  <si>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</si>
  <si>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</si>
  <si>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</si>
  <si>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</si>
  <si>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</si>
  <si>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</si>
  <si>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</si>
  <si>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</si>
  <si>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</si>
  <si>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</si>
  <si>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</si>
  <si>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</si>
  <si>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</si>
  <si>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</si>
  <si>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</si>
  <si>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</si>
  <si>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</si>
  <si>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</si>
  <si>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</si>
  <si>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</si>
  <si>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</si>
  <si>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</si>
  <si>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</si>
  <si>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</si>
  <si>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</si>
  <si>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</si>
  <si>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</si>
  <si>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</si>
  <si>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</si>
  <si>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</si>
  <si>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</si>
  <si>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</si>
  <si>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</si>
  <si>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</si>
  <si>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</si>
  <si>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</si>
  <si>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</si>
  <si>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</si>
  <si>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</si>
  <si>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</si>
  <si>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</si>
  <si>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</si>
  <si>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</si>
  <si>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</si>
  <si>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</si>
  <si>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</si>
  <si>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</si>
  <si>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</si>
  <si>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</si>
  <si>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</si>
  <si>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</si>
  <si>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</si>
  <si>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</si>
  <si>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</si>
  <si>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</si>
  <si>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</si>
  <si>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</si>
  <si>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</si>
  <si>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</si>
  <si>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</si>
  <si>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</si>
  <si>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</si>
  <si>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</si>
  <si>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</si>
  <si>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</si>
  <si>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</si>
  <si>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</si>
  <si>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</si>
  <si>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</si>
  <si>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</si>
  <si>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</si>
  <si>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</si>
  <si>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</si>
  <si>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</si>
  <si>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</si>
  <si>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</si>
  <si>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</si>
  <si>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</si>
  <si>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</si>
  <si>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</si>
  <si>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</si>
  <si>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</si>
  <si>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</si>
  <si>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</si>
  <si>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</si>
  <si>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</si>
  <si>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</si>
  <si>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</si>
  <si>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</si>
  <si>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</si>
  <si>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</si>
  <si>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</si>
  <si>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</si>
  <si>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</si>
  <si>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</si>
  <si>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</si>
  <si>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</si>
  <si>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</si>
  <si>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</si>
  <si>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</si>
  <si>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</si>
  <si>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</si>
  <si>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</si>
  <si>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</si>
  <si>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</si>
  <si>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</si>
  <si>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</si>
  <si>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</si>
  <si>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</si>
  <si>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</si>
  <si>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</si>
  <si>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</si>
  <si>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</si>
  <si>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</si>
  <si>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</si>
  <si>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</si>
  <si>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</si>
  <si>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</si>
  <si>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</si>
  <si>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</si>
  <si>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</si>
  <si>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</si>
  <si>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</si>
  <si>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</si>
  <si>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</si>
  <si>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</si>
  <si>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</si>
  <si>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</si>
  <si>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</si>
  <si>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</si>
  <si>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</si>
  <si>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</si>
  <si>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</si>
  <si>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</si>
  <si>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</si>
  <si>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</si>
  <si>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</si>
  <si>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</si>
  <si>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</si>
  <si>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</si>
  <si>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</si>
  <si>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</si>
  <si>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</si>
  <si>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</si>
  <si>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</si>
  <si>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</si>
  <si>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</si>
  <si>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</si>
  <si>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</si>
  <si>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</si>
  <si>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</si>
  <si>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</si>
  <si>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</si>
  <si>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</si>
  <si>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</si>
  <si>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</si>
  <si>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</si>
  <si>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</si>
  <si>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</si>
  <si>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</si>
  <si>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</si>
  <si>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</si>
  <si>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</si>
  <si>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</si>
  <si>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</si>
  <si>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</si>
  <si>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</si>
  <si>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</si>
  <si>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</si>
  <si>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</si>
  <si>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</si>
  <si>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</si>
  <si>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</si>
  <si>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</si>
  <si>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</si>
  <si>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</si>
  <si>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</si>
  <si>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</si>
  <si>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</si>
  <si>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</si>
  <si>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</si>
  <si>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</si>
  <si>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</si>
  <si>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</si>
  <si>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</si>
  <si>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</si>
  <si>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</si>
  <si>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</si>
  <si>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</si>
  <si>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</si>
  <si>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</si>
  <si>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</si>
  <si>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</si>
  <si>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</si>
  <si>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</si>
  <si>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</si>
  <si>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</si>
  <si>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</si>
  <si>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</si>
  <si>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</si>
  <si>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</si>
  <si>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</si>
  <si>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</si>
  <si>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</si>
  <si>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</si>
  <si>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</si>
  <si>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</si>
  <si>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</si>
  <si>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</si>
  <si>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</si>
  <si>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</si>
  <si>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</si>
  <si>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</si>
  <si>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</si>
  <si>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</si>
  <si>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</si>
  <si>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</si>
  <si>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</si>
  <si>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</si>
  <si>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</si>
  <si>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</si>
  <si>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</si>
  <si>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</si>
  <si>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</si>
  <si>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</si>
  <si>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</si>
  <si>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</si>
  <si>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</si>
  <si>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</si>
  <si>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</si>
  <si>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</si>
  <si>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</si>
  <si>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</si>
  <si>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</si>
  <si>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</si>
  <si>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</si>
  <si>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</si>
  <si>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</si>
  <si>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</si>
  <si>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</si>
  <si>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</si>
  <si>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</si>
  <si>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</si>
  <si>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</si>
  <si>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</si>
  <si>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</si>
  <si>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</si>
  <si>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</si>
  <si>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</si>
  <si>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</si>
  <si>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</si>
  <si>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</si>
  <si>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</si>
  <si>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</si>
  <si>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</si>
  <si>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</si>
  <si>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</si>
  <si>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</si>
  <si>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</si>
  <si>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</si>
  <si>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</si>
  <si>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</si>
  <si>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</si>
  <si>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</si>
  <si>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</si>
  <si>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</si>
  <si>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</si>
  <si>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</si>
  <si>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</si>
  <si>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</si>
  <si>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</si>
  <si>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</si>
  <si>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</si>
  <si>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</si>
  <si>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</si>
  <si>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</si>
  <si>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</si>
  <si>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</si>
  <si>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</si>
  <si>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</si>
  <si>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</si>
  <si>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</si>
  <si>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</si>
  <si>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</si>
  <si>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</si>
  <si>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</si>
  <si>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</si>
  <si>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</si>
  <si>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</si>
  <si>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</si>
  <si>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</si>
  <si>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</si>
  <si>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</si>
  <si>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</si>
  <si>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</si>
  <si>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</si>
  <si>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</si>
  <si>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</si>
  <si>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</si>
  <si>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</si>
  <si>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</si>
  <si>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</si>
  <si>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</si>
  <si>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</si>
  <si>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</si>
  <si>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</si>
  <si>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</si>
  <si>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</si>
  <si>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</si>
  <si>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</si>
  <si>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</si>
  <si>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</si>
  <si>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</si>
  <si>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</si>
  <si>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</si>
  <si>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</si>
  <si>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</si>
  <si>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</si>
  <si>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</si>
  <si>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</si>
  <si>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</si>
  <si>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</si>
  <si>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</si>
  <si>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</si>
  <si>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</si>
  <si>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</si>
  <si>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</si>
  <si>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</si>
  <si>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</si>
  <si>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</si>
  <si>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</si>
  <si>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</si>
  <si>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</si>
  <si>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</si>
  <si>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</si>
  <si>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</si>
  <si>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</si>
  <si>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</si>
  <si>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</si>
  <si>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</si>
  <si>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</si>
  <si>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</si>
  <si>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</si>
  <si>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</si>
  <si>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</si>
  <si>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</si>
  <si>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</si>
  <si>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</si>
  <si>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</si>
  <si>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</si>
  <si>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</si>
  <si>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</si>
  <si>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</si>
  <si>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</si>
  <si>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</si>
  <si>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</si>
  <si>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</si>
  <si>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</si>
  <si>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</si>
  <si>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</si>
  <si>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</si>
  <si>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</si>
  <si>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</si>
  <si>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</si>
  <si>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</si>
  <si>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</si>
  <si>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</si>
  <si>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</si>
  <si>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</si>
  <si>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</si>
  <si>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</si>
  <si>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</si>
  <si>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</si>
  <si>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</si>
  <si>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</si>
  <si>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</si>
  <si>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</si>
  <si>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</si>
  <si>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</si>
  <si>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</si>
  <si>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</si>
  <si>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</si>
  <si>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</si>
  <si>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</si>
  <si>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</si>
  <si>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</si>
  <si>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</si>
  <si>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</si>
  <si>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</si>
  <si>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</si>
  <si>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</si>
  <si>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</si>
  <si>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</si>
  <si>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</si>
  <si>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</si>
  <si>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</si>
  <si>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</si>
  <si>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</si>
  <si>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</si>
  <si>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</si>
  <si>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</si>
  <si>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</si>
  <si>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</si>
  <si>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</si>
  <si>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</si>
  <si>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</si>
  <si>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</si>
  <si>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</si>
  <si>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</si>
  <si>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</si>
  <si>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</si>
  <si>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</si>
  <si>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</si>
  <si>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</si>
  <si>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</si>
  <si>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</si>
  <si>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</si>
  <si>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</si>
  <si>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</si>
  <si>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</si>
  <si>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</si>
  <si>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</si>
  <si>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</si>
  <si>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</si>
  <si>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</si>
  <si>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</si>
  <si>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</si>
  <si>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</si>
  <si>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</si>
  <si>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</si>
  <si>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</si>
  <si>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</si>
  <si>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</si>
  <si>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</si>
  <si>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</si>
  <si>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</si>
  <si>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</si>
  <si>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</si>
  <si>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</si>
  <si>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</si>
  <si>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</si>
  <si>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</si>
  <si>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</si>
  <si>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</si>
  <si>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</si>
  <si>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</si>
  <si>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</si>
  <si>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</si>
  <si>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</si>
  <si>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</si>
  <si>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</si>
  <si>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</si>
  <si>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</si>
  <si>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</si>
  <si>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</si>
  <si>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</si>
  <si>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</si>
  <si>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</si>
  <si>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</si>
  <si>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</si>
  <si>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</si>
  <si>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</si>
  <si>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</si>
  <si>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</si>
  <si>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</si>
  <si>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</si>
  <si>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</si>
  <si>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</si>
  <si>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</si>
  <si>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</si>
  <si>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</si>
  <si>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</si>
  <si>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</si>
  <si>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</si>
  <si>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</si>
  <si>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</si>
  <si>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</si>
  <si>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</si>
  <si>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</si>
  <si>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</si>
  <si>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</si>
  <si>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</si>
  <si>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</si>
  <si>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</si>
  <si>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</si>
  <si>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</si>
  <si>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</si>
  <si>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</si>
  <si>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</si>
  <si>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</si>
  <si>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</si>
  <si>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</si>
  <si>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</si>
  <si>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</si>
  <si>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</si>
  <si>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</si>
  <si>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</si>
  <si>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</si>
  <si>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</si>
  <si>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</si>
  <si>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</si>
  <si>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</si>
  <si>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</si>
  <si>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</si>
  <si>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</si>
  <si>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</si>
  <si>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</si>
  <si>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</si>
  <si>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</si>
  <si>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</si>
  <si>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</si>
  <si>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</si>
  <si>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</si>
  <si>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</si>
  <si>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</si>
  <si>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</si>
  <si>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</si>
  <si>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</si>
  <si>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</si>
  <si>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</si>
  <si>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</si>
  <si>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</si>
  <si>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</si>
  <si>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</si>
  <si>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</si>
  <si>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</si>
  <si>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</si>
  <si>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</si>
  <si>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</si>
  <si>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</si>
  <si>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</si>
  <si>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</si>
  <si>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</si>
  <si>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</si>
  <si>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</si>
  <si>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</si>
  <si>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</si>
  <si>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</si>
  <si>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</si>
  <si>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</si>
  <si>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</si>
  <si>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</si>
  <si>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</si>
  <si>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</si>
  <si>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</si>
  <si>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</si>
  <si>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</si>
  <si>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</si>
  <si>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</si>
  <si>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</si>
  <si>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</si>
  <si>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</si>
  <si>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</si>
  <si>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</si>
  <si>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</si>
  <si>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</si>
  <si>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</si>
  <si>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</si>
  <si>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</si>
  <si>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</si>
  <si>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</si>
  <si>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</si>
  <si>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</si>
  <si>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</si>
  <si>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</si>
  <si>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</si>
  <si>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</si>
  <si>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</si>
  <si>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</si>
  <si>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</si>
  <si>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</si>
  <si>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</si>
  <si>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</si>
  <si>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</si>
  <si>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</si>
  <si>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</si>
  <si>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</si>
  <si>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</si>
  <si>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</si>
  <si>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</si>
  <si>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</si>
  <si>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</si>
  <si>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</si>
  <si>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</si>
  <si>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</si>
  <si>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</si>
  <si>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</si>
  <si>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</si>
  <si>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</si>
  <si>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</si>
  <si>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</si>
  <si>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</si>
  <si>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</si>
  <si>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</si>
  <si>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</si>
  <si>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</si>
  <si>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</si>
  <si>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</si>
  <si>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</si>
  <si>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</si>
  <si>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</si>
  <si>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</si>
  <si>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</si>
  <si>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</si>
  <si>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</si>
  <si>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</si>
  <si>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</si>
  <si>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</si>
  <si>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</si>
  <si>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</si>
  <si>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</si>
  <si>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</si>
  <si>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</si>
  <si>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</si>
  <si>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</si>
  <si>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</si>
  <si>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</si>
  <si>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</si>
  <si>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</si>
  <si>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</si>
  <si>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</si>
  <si>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</si>
  <si>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</si>
  <si>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</si>
  <si>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</si>
  <si>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</si>
  <si>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</si>
  <si>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</si>
  <si>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</si>
  <si>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</si>
  <si>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</si>
  <si>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</si>
  <si>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</si>
  <si>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</si>
  <si>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</si>
  <si>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</si>
  <si>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</si>
  <si>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</si>
  <si>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</si>
  <si>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</si>
  <si>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</si>
  <si>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</si>
  <si>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</si>
  <si>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</si>
  <si>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</si>
  <si>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</si>
  <si>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</si>
  <si>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</si>
  <si>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</si>
  <si>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</si>
  <si>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</si>
  <si>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</si>
  <si>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</si>
  <si>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</si>
  <si>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</si>
  <si>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</si>
  <si>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</si>
  <si>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</si>
  <si>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</si>
  <si>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</si>
  <si>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</si>
  <si>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</si>
  <si>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</si>
  <si>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</si>
  <si>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</si>
  <si>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</si>
  <si>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</si>
  <si>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</si>
  <si>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</si>
  <si>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</si>
  <si>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</si>
  <si>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</si>
  <si>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</si>
  <si>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</si>
  <si>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</si>
  <si>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</si>
  <si>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</si>
  <si>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</si>
  <si>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</si>
  <si>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</si>
  <si>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</si>
  <si>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</si>
  <si>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</si>
  <si>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</si>
  <si>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</si>
  <si>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</si>
  <si>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</si>
  <si>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</si>
  <si>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</si>
  <si>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</si>
  <si>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</si>
  <si>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</si>
  <si>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</si>
  <si>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</si>
  <si>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</si>
  <si>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</si>
  <si>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</si>
  <si>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</si>
  <si>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</si>
  <si>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</si>
  <si>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</si>
  <si>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</si>
  <si>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</si>
  <si>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</si>
  <si>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</si>
  <si>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</si>
  <si>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</si>
  <si>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</si>
  <si>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</si>
  <si>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</si>
  <si>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</si>
  <si>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</si>
  <si>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</si>
  <si>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</si>
  <si>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</si>
  <si>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</si>
  <si>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</si>
  <si>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</si>
  <si>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</si>
  <si>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</si>
  <si>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</si>
  <si>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</si>
  <si>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</si>
  <si>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</si>
  <si>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</si>
  <si>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</si>
  <si>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</si>
  <si>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</si>
  <si>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</si>
  <si>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</si>
  <si>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</si>
  <si>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</si>
  <si>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</si>
  <si>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</si>
  <si>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</si>
  <si>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</si>
  <si>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</si>
  <si>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</si>
  <si>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</si>
  <si>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</si>
  <si>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</si>
  <si>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</si>
  <si>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</si>
  <si>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</si>
  <si>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</si>
  <si>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</si>
  <si>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</si>
  <si>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</si>
  <si>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</si>
  <si>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</si>
  <si>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</si>
  <si>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</si>
  <si>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</si>
  <si>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</si>
  <si>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</si>
  <si>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</si>
  <si>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</si>
  <si>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</si>
  <si>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</si>
  <si>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</si>
  <si>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</si>
  <si>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</si>
  <si>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</si>
  <si>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</si>
  <si>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</si>
  <si>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</si>
  <si>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</si>
  <si>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</si>
  <si>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</si>
  <si>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</si>
  <si>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</si>
  <si>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</si>
  <si>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</si>
  <si>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</si>
  <si>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</si>
  <si>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</si>
  <si>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</si>
  <si>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</si>
  <si>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</si>
  <si>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</si>
  <si>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</si>
  <si>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</si>
  <si>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</si>
  <si>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</si>
  <si>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</si>
  <si>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</si>
  <si>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</si>
  <si>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</si>
  <si>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</si>
  <si>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</si>
  <si>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</si>
  <si>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</si>
  <si>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</si>
  <si>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</si>
  <si>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</si>
  <si>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</si>
  <si>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</si>
  <si>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</si>
  <si>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</si>
  <si>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</si>
  <si>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</si>
  <si>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</si>
  <si>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</si>
  <si>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</si>
  <si>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</si>
  <si>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</si>
  <si>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</si>
  <si>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</si>
  <si>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</si>
  <si>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</si>
  <si>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</si>
  <si>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</si>
  <si>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</si>
  <si>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</si>
  <si>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</si>
  <si>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</si>
  <si>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</si>
  <si>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</si>
  <si>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</si>
  <si>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</si>
  <si>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</si>
  <si>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</si>
  <si>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</si>
  <si>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</si>
  <si>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</si>
  <si>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</si>
  <si>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</si>
  <si>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</si>
  <si>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</si>
  <si>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</si>
  <si>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</si>
  <si>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</si>
  <si>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</si>
  <si>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</si>
  <si>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</si>
  <si>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</si>
  <si>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</si>
  <si>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</si>
  <si>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</si>
  <si>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</si>
  <si>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</si>
  <si>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</si>
  <si>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</si>
  <si>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</si>
  <si>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</si>
  <si>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</si>
  <si>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</si>
  <si>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</si>
  <si>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</si>
  <si>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</si>
  <si>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</si>
  <si>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</si>
  <si>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</si>
  <si>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</si>
  <si>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</si>
  <si>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</si>
  <si>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</si>
  <si>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</si>
  <si>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</si>
  <si>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</si>
  <si>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</si>
  <si>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</si>
  <si>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</si>
  <si>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</si>
  <si>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</si>
  <si>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</si>
  <si>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</si>
  <si>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</si>
  <si>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</si>
  <si>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</si>
  <si>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</si>
  <si>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</si>
  <si>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</si>
  <si>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</si>
  <si>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</si>
  <si>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</si>
  <si>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</si>
  <si>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</si>
  <si>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</si>
  <si>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</si>
  <si>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</si>
  <si>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</si>
  <si>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</si>
  <si>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</si>
  <si>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</si>
  <si>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</si>
  <si>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</si>
  <si>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</si>
  <si>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</si>
  <si>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</si>
  <si>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</si>
  <si>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</si>
  <si>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</si>
  <si>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</si>
  <si>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</si>
  <si>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</si>
  <si>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</si>
  <si>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</si>
  <si>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</si>
  <si>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</si>
  <si>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</si>
  <si>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</si>
  <si>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</si>
  <si>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</si>
  <si>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</si>
  <si>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</si>
  <si>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</si>
  <si>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</si>
  <si>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</si>
  <si>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</si>
  <si>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</si>
  <si>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</si>
  <si>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</si>
  <si>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</si>
  <si>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</si>
  <si>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</si>
  <si>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</si>
  <si>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</si>
  <si>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</si>
  <si>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</si>
  <si>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</si>
  <si>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</si>
  <si>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</si>
  <si>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</si>
  <si>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</si>
  <si>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</si>
  <si>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</si>
  <si>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</si>
  <si>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</si>
  <si>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</si>
  <si>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</si>
  <si>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</si>
  <si>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</si>
  <si>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</si>
  <si>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</si>
  <si>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</si>
  <si>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</si>
  <si>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</si>
  <si>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</si>
  <si>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</si>
  <si>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</si>
  <si>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</si>
  <si>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</si>
  <si>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</si>
  <si>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</si>
  <si>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</si>
  <si>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</si>
  <si>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</si>
  <si>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</si>
  <si>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</si>
  <si>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</si>
  <si>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</si>
  <si>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</si>
  <si>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</si>
  <si>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</si>
  <si>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</si>
  <si>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</si>
  <si>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</si>
  <si>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</si>
  <si>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</si>
  <si>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</si>
  <si>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</si>
  <si>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</si>
  <si>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</si>
  <si>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</si>
  <si>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</si>
  <si>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</si>
  <si>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</si>
  <si>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</si>
  <si>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</si>
  <si>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</si>
  <si>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</si>
  <si>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</si>
  <si>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</si>
  <si>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</si>
  <si>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</si>
  <si>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</si>
  <si>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</si>
  <si>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</si>
  <si>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</si>
  <si>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</si>
  <si>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</si>
  <si>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</si>
  <si>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</si>
  <si>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</si>
  <si>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</si>
  <si>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</si>
  <si>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</si>
  <si>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</si>
  <si>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</si>
  <si>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</si>
  <si>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</si>
  <si>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</si>
  <si>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</si>
  <si>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</si>
  <si>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</si>
  <si>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</si>
  <si>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</si>
  <si>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</si>
  <si>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</si>
  <si>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</si>
  <si>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</si>
  <si>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</si>
  <si>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</si>
  <si>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</si>
  <si>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</si>
  <si>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</si>
  <si>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</si>
  <si>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</si>
  <si>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</si>
  <si>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</si>
  <si>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</si>
  <si>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</si>
  <si>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</si>
  <si>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</si>
  <si>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</si>
  <si>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</si>
  <si>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</si>
  <si>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</si>
  <si>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</si>
  <si>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</si>
  <si>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</si>
  <si>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</si>
  <si>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</si>
  <si>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</si>
  <si>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</si>
  <si>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</si>
  <si>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</si>
  <si>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</si>
  <si>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</si>
  <si>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</si>
  <si>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</si>
  <si>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</si>
  <si>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</si>
  <si>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</si>
  <si>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</si>
  <si>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</si>
  <si>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</si>
  <si>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</si>
  <si>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</si>
  <si>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</si>
  <si>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</si>
  <si>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</si>
  <si>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</si>
  <si>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</si>
  <si>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</si>
  <si>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</si>
  <si>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</si>
  <si>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</si>
  <si>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</si>
  <si>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</si>
  <si>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</si>
  <si>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</si>
  <si>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</si>
  <si>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</si>
  <si>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</si>
  <si>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</si>
  <si>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</si>
  <si>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</si>
  <si>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</si>
  <si>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</si>
  <si>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</si>
  <si>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</si>
  <si>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</si>
  <si>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</si>
  <si>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</si>
  <si>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</si>
  <si>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</si>
  <si>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</si>
  <si>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</si>
  <si>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</si>
  <si>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</si>
  <si>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</si>
  <si>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</si>
  <si>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</si>
  <si>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</si>
  <si>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</si>
  <si>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</si>
  <si>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</si>
  <si>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</si>
  <si>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</si>
  <si>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</si>
  <si>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</si>
  <si>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</si>
  <si>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</si>
  <si>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</si>
  <si>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</si>
  <si>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</si>
  <si>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</si>
  <si>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</si>
  <si>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</si>
  <si>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</si>
  <si>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</si>
  <si>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</si>
  <si>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</si>
  <si>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</si>
  <si>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</si>
  <si>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</si>
  <si>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</si>
  <si>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</si>
  <si>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</si>
  <si>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</si>
  <si>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</si>
  <si>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</si>
  <si>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</si>
  <si>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</si>
  <si>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</si>
  <si>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</si>
  <si>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</si>
  <si>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</si>
  <si>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</si>
  <si>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</si>
  <si>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</si>
  <si>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</si>
  <si>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</si>
  <si>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</si>
  <si>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</si>
  <si>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</si>
  <si>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</si>
  <si>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</si>
  <si>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</si>
  <si>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</si>
  <si>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</si>
  <si>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</si>
  <si>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</si>
  <si>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</si>
  <si>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</si>
  <si>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</si>
  <si>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</si>
  <si>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</si>
  <si>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</si>
  <si>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</si>
  <si>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</si>
  <si>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</si>
  <si>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</si>
  <si>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</si>
  <si>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</si>
  <si>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</si>
  <si>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</si>
  <si>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</si>
  <si>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</si>
  <si>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</si>
  <si>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</si>
  <si>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</si>
  <si>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</si>
  <si>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</si>
  <si>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</si>
  <si>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</si>
  <si>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</si>
  <si>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</si>
  <si>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</si>
  <si>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</si>
  <si>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</si>
  <si>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</si>
  <si>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</si>
  <si>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</si>
  <si>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</si>
  <si>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</si>
  <si>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</si>
  <si>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</si>
  <si>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</si>
  <si>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</si>
  <si>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</si>
  <si>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</si>
  <si>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</si>
  <si>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</si>
  <si>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</si>
  <si>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</si>
  <si>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</si>
  <si>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</si>
  <si>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</si>
  <si>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</si>
  <si>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</si>
  <si>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</si>
  <si>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</si>
  <si>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</si>
  <si>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</si>
  <si>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</si>
  <si>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</si>
  <si>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</si>
  <si>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</si>
  <si>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</si>
  <si>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</si>
  <si>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</si>
  <si>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</si>
  <si>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</si>
  <si>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</si>
  <si>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</si>
  <si>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</si>
  <si>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</si>
  <si>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</si>
  <si>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</si>
  <si>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</si>
  <si>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</si>
  <si>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</si>
  <si>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</si>
  <si>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</si>
  <si>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</si>
  <si>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</si>
  <si>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</si>
  <si>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</si>
  <si>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</si>
  <si>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</si>
  <si>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</si>
  <si>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</si>
  <si>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</si>
  <si>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</si>
  <si>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</si>
  <si>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</si>
  <si>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</si>
  <si>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</si>
  <si>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</si>
  <si>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</si>
  <si>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</si>
  <si>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</si>
  <si>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</si>
  <si>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</si>
  <si>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</si>
  <si>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</si>
  <si>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</si>
  <si>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</si>
  <si>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</si>
  <si>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</si>
  <si>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</si>
  <si>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</si>
  <si>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</si>
  <si>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</si>
  <si>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</si>
  <si>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</si>
  <si>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</si>
  <si>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</si>
  <si>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</si>
  <si>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</si>
  <si>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</si>
  <si>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</si>
  <si>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</si>
  <si>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</si>
  <si>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</si>
  <si>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</si>
  <si>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</si>
  <si>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</si>
  <si>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</si>
  <si>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</si>
  <si>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</si>
  <si>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</si>
  <si>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</si>
  <si>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</si>
  <si>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</si>
  <si>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</si>
  <si>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</si>
  <si>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</si>
  <si>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</si>
  <si>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</si>
  <si>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</si>
  <si>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</si>
  <si>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</si>
  <si>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</si>
  <si>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</si>
  <si>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</si>
  <si>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</si>
  <si>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</si>
  <si>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</si>
  <si>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</si>
  <si>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</si>
  <si>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</si>
  <si>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</si>
  <si>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</si>
  <si>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</si>
  <si>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</si>
  <si>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</si>
  <si>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</si>
  <si>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</si>
  <si>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</si>
  <si>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</si>
  <si>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</si>
  <si>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</si>
  <si>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</si>
  <si>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</si>
  <si>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</si>
  <si>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</si>
  <si>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</si>
  <si>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</si>
  <si>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</si>
  <si>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</si>
  <si>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</si>
  <si>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</si>
  <si>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</si>
  <si>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</si>
  <si>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</si>
  <si>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</si>
  <si>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</si>
  <si>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</si>
  <si>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</si>
  <si>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</si>
  <si>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</si>
  <si>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</si>
  <si>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</si>
  <si>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</si>
  <si>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</si>
  <si>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</si>
  <si>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</si>
  <si>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</si>
  <si>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</si>
  <si>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</si>
  <si>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</si>
  <si>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</si>
  <si>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</si>
  <si>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</si>
  <si>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</si>
  <si>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</si>
  <si>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</si>
  <si>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</si>
  <si>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</si>
  <si>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</si>
  <si>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</si>
  <si>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</si>
  <si>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</si>
  <si>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</si>
  <si>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</si>
  <si>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</si>
  <si>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</si>
  <si>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</si>
  <si>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</si>
  <si>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</si>
  <si>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</si>
  <si>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</si>
  <si>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</si>
  <si>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</si>
  <si>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</si>
  <si>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</si>
  <si>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</si>
  <si>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</si>
  <si>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</si>
  <si>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</si>
  <si>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</si>
  <si>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</si>
  <si>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</si>
  <si>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</si>
  <si>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</si>
  <si>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</si>
  <si>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</si>
  <si>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</si>
  <si>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</si>
  <si>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</si>
  <si>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</si>
  <si>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</si>
  <si>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</si>
  <si>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</si>
  <si>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</si>
  <si>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</si>
  <si>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</si>
  <si>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</si>
  <si>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</si>
  <si>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</si>
  <si>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</si>
  <si>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</si>
  <si>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</si>
  <si>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</si>
  <si>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</si>
  <si>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</si>
  <si>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</si>
  <si>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</si>
  <si>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</si>
  <si>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</si>
  <si>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</si>
  <si>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</si>
  <si>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</si>
  <si>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</si>
  <si>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</si>
  <si>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</si>
  <si>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</si>
  <si>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</si>
  <si>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</si>
  <si>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</si>
  <si>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</si>
  <si>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</si>
  <si>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</si>
  <si>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</si>
  <si>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</si>
  <si>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</si>
  <si>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</si>
  <si>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</si>
  <si>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</si>
  <si>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</si>
  <si>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</si>
  <si>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</si>
  <si>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</si>
  <si>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</si>
  <si>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</si>
  <si>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</si>
  <si>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</si>
  <si>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</si>
  <si>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</si>
  <si>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</si>
  <si>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</si>
  <si>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</si>
  <si>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</si>
  <si>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</si>
  <si>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</si>
  <si>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</si>
  <si>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</si>
  <si>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</si>
  <si>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</si>
  <si>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</si>
  <si>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</si>
  <si>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</si>
  <si>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</si>
  <si>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</si>
  <si>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</si>
  <si>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</si>
  <si>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</si>
  <si>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</si>
  <si>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</si>
  <si>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</si>
  <si>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</si>
  <si>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</si>
  <si>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</si>
  <si>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</si>
  <si>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</si>
  <si>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</si>
  <si>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</si>
  <si>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</si>
  <si>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</si>
  <si>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</si>
  <si>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</si>
  <si>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</si>
  <si>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</si>
  <si>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</si>
  <si>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</si>
  <si>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</si>
  <si>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</si>
  <si>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</si>
  <si>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</si>
  <si>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</si>
  <si>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</si>
  <si>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</si>
  <si>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</si>
  <si>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</si>
  <si>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</si>
  <si>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</si>
  <si>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</si>
  <si>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</si>
  <si>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</si>
  <si>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</si>
  <si>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</si>
  <si>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</si>
  <si>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</si>
  <si>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</si>
  <si>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</si>
  <si>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</si>
  <si>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</si>
  <si>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</si>
  <si>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</si>
  <si>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</si>
  <si>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</si>
  <si>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</si>
  <si>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</si>
  <si>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</si>
  <si>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</si>
  <si>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</si>
  <si>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</si>
  <si>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</si>
  <si>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</si>
  <si>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</si>
  <si>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</si>
  <si>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</si>
  <si>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</si>
  <si>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</si>
  <si>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</si>
  <si>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</si>
  <si>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</si>
  <si>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</si>
  <si>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</si>
  <si>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</si>
  <si>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</si>
  <si>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</si>
  <si>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</si>
  <si>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</si>
  <si>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</si>
  <si>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</si>
  <si>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</si>
  <si>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</si>
  <si>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</si>
  <si>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</si>
  <si>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</si>
  <si>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</si>
  <si>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</si>
  <si>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</si>
  <si>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</si>
  <si>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</si>
  <si>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</si>
  <si>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</si>
  <si>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</si>
  <si>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</si>
  <si>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</si>
  <si>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</si>
  <si>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</si>
  <si>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</si>
  <si>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</si>
  <si>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</si>
  <si>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</si>
  <si>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</si>
  <si>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</si>
  <si>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</si>
  <si>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</si>
  <si>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</si>
  <si>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</si>
  <si>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</si>
  <si>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</si>
  <si>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</si>
  <si>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</si>
  <si>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</si>
  <si>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</si>
  <si>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</si>
  <si>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</si>
  <si>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</si>
  <si>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</si>
  <si>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</si>
  <si>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</si>
  <si>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</si>
  <si>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</si>
  <si>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</si>
  <si>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</si>
  <si>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</si>
  <si>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</si>
  <si>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</si>
  <si>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</si>
  <si>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</si>
  <si>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</si>
  <si>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</si>
  <si>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</si>
  <si>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</si>
  <si>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</si>
  <si>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</si>
  <si>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</si>
  <si>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</si>
  <si>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</si>
  <si>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</si>
  <si>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</si>
  <si>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</si>
  <si>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</si>
  <si>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</si>
  <si>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</si>
  <si>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</si>
  <si>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</si>
  <si>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</si>
  <si>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</si>
  <si>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</si>
  <si>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</si>
  <si>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</si>
  <si>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</si>
  <si>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</si>
  <si>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</si>
  <si>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</si>
  <si>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</si>
  <si>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</si>
  <si>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</si>
  <si>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</si>
  <si>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</si>
  <si>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</si>
  <si>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</si>
  <si>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</si>
  <si>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</si>
  <si>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</si>
  <si>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</si>
  <si>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</si>
  <si>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</si>
  <si>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</si>
  <si>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</si>
  <si>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</si>
  <si>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</si>
  <si>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</si>
  <si>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</si>
  <si>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</si>
  <si>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</si>
  <si>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</si>
  <si>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</si>
  <si>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</si>
  <si>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</si>
  <si>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</si>
  <si>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</si>
  <si>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</si>
  <si>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</si>
  <si>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</si>
  <si>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</si>
  <si>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</si>
  <si>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</si>
  <si>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</si>
  <si>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</si>
  <si>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</si>
  <si>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</si>
  <si>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</si>
  <si>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</si>
  <si>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</si>
  <si>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</si>
  <si>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</si>
  <si>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</si>
  <si>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</si>
  <si>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</si>
  <si>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</si>
  <si>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</si>
  <si>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</si>
  <si>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</si>
  <si>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</si>
  <si>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</si>
  <si>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</si>
  <si>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</si>
  <si>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</si>
  <si>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</si>
  <si>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</si>
  <si>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</si>
  <si>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</si>
  <si>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</si>
  <si>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</si>
  <si>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</si>
  <si>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</si>
  <si>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</si>
  <si>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</si>
  <si>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</si>
  <si>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</si>
  <si>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</si>
  <si>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</si>
  <si>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</si>
  <si>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</si>
  <si>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</si>
  <si>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</si>
  <si>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</si>
  <si>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</si>
  <si>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</si>
  <si>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</si>
  <si>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</si>
  <si>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</si>
  <si>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</si>
  <si>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</si>
  <si>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</si>
  <si>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</si>
  <si>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</si>
  <si>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</si>
  <si>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</si>
  <si>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</si>
  <si>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</si>
  <si>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</si>
  <si>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</si>
  <si>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</si>
  <si>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</si>
  <si>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</si>
  <si>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</si>
  <si>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</si>
  <si>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</si>
  <si>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</si>
  <si>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</si>
  <si>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</si>
  <si>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</si>
  <si>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</si>
  <si>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</si>
  <si>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</si>
  <si>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</si>
  <si>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</si>
  <si>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</si>
  <si>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</si>
  <si>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</si>
  <si>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</si>
  <si>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</si>
  <si>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</si>
  <si>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</si>
  <si>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</si>
  <si>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</si>
  <si>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</si>
  <si>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</si>
  <si>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</si>
  <si>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</si>
  <si>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</si>
  <si>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</si>
  <si>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</si>
  <si>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</si>
  <si>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</si>
  <si>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</si>
  <si>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</si>
  <si>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</si>
  <si>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</si>
  <si>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</si>
  <si>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</si>
  <si>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</si>
  <si>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</si>
  <si>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</si>
  <si>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</si>
  <si>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</si>
  <si>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</si>
  <si>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</si>
  <si>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</si>
  <si>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</si>
  <si>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</si>
  <si>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</si>
  <si>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</si>
  <si>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</si>
  <si>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</si>
  <si>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</si>
  <si>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</si>
  <si>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</si>
  <si>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</si>
  <si>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</si>
  <si>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</si>
  <si>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</si>
  <si>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</si>
  <si>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</si>
  <si>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</si>
  <si>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</si>
  <si>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</si>
  <si>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</si>
  <si>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</si>
  <si>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</si>
  <si>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</si>
  <si>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</si>
  <si>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</si>
  <si>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</si>
  <si>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</si>
  <si>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</si>
  <si>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</si>
  <si>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</si>
  <si>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</si>
  <si>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</si>
  <si>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</si>
  <si>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</si>
  <si>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</si>
  <si>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</si>
  <si>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</si>
  <si>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</si>
  <si>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</si>
  <si>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</si>
  <si>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</si>
  <si>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</si>
  <si>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</si>
  <si>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</si>
  <si>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</si>
  <si>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</si>
  <si>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</si>
  <si>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</si>
  <si>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</si>
  <si>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</si>
  <si>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</si>
  <si>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</si>
  <si>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</si>
  <si>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</si>
  <si>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</si>
  <si>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</si>
  <si>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</si>
  <si>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</si>
  <si>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</si>
  <si>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</si>
  <si>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</si>
  <si>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</si>
  <si>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</si>
  <si>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</si>
  <si>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</si>
  <si>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</si>
  <si>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</si>
  <si>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</si>
  <si>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</si>
  <si>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</si>
  <si>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</si>
  <si>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</si>
  <si>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</si>
  <si>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</si>
  <si>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</si>
  <si>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</si>
  <si>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</si>
  <si>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</si>
  <si>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</si>
  <si>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</si>
  <si>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</si>
  <si>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</si>
  <si>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</si>
  <si>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</si>
  <si>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</si>
  <si>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</si>
  <si>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</si>
  <si>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</si>
  <si>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</si>
  <si>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</si>
  <si>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</si>
  <si>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</si>
  <si>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</si>
  <si>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</si>
  <si>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</si>
  <si>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</si>
  <si>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</si>
  <si>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</si>
  <si>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</si>
  <si>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</si>
  <si>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</si>
  <si>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</si>
  <si>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</si>
  <si>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</si>
  <si>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</si>
  <si>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</si>
  <si>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</si>
  <si>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</si>
  <si>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</si>
  <si>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</si>
  <si>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</si>
  <si>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</si>
  <si>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</si>
  <si>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</si>
  <si>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</si>
  <si>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</si>
  <si>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</si>
  <si>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</si>
  <si>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</si>
  <si>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</si>
  <si>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</si>
  <si>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</si>
  <si>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</si>
  <si>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</si>
  <si>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</si>
  <si>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</si>
  <si>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</si>
  <si>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</si>
  <si>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</si>
  <si>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</si>
  <si>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</si>
  <si>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</si>
  <si>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</si>
  <si>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</si>
  <si>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</si>
  <si>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</si>
  <si>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</si>
  <si>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</si>
  <si>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</si>
  <si>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</si>
  <si>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</si>
  <si>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</si>
  <si>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</si>
  <si>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</si>
  <si>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</si>
  <si>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</si>
  <si>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</si>
  <si>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</si>
  <si>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</si>
  <si>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</si>
  <si>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</si>
  <si>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</si>
  <si>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</si>
  <si>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</si>
  <si>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</si>
  <si>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</si>
  <si>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</si>
  <si>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</si>
  <si>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</si>
  <si>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</si>
  <si>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</si>
  <si>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</si>
  <si>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</si>
  <si>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</si>
  <si>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</si>
  <si>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</si>
  <si>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</si>
  <si>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</si>
  <si>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</si>
  <si>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</si>
  <si>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</si>
  <si>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</si>
  <si>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</si>
  <si>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</si>
  <si>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</si>
  <si>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</si>
  <si>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</si>
  <si>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</si>
  <si>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</si>
  <si>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</si>
  <si>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</si>
  <si>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</si>
  <si>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</si>
  <si>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</si>
  <si>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</si>
  <si>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</si>
  <si>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</si>
  <si>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</si>
  <si>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</si>
  <si>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</si>
  <si>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</si>
  <si>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</si>
  <si>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</si>
  <si>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</si>
  <si>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</si>
  <si>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</si>
  <si>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</si>
  <si>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</si>
  <si>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</si>
  <si>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</si>
  <si>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</si>
  <si>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</si>
  <si>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</si>
  <si>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</si>
  <si>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</si>
  <si>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</si>
  <si>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</si>
  <si>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</si>
  <si>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</si>
  <si>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</si>
  <si>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</si>
  <si>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</si>
  <si>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</si>
  <si>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</si>
  <si>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</si>
  <si>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</si>
  <si>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</si>
  <si>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</si>
  <si>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</si>
  <si>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</si>
  <si>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</si>
  <si>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</si>
  <si>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</si>
  <si>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</si>
  <si>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</si>
  <si>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</si>
  <si>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</si>
  <si>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</si>
  <si>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</si>
  <si>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</si>
  <si>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</si>
  <si>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</si>
  <si>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</si>
  <si>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</si>
  <si>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</si>
  <si>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</si>
  <si>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</si>
  <si>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</si>
  <si>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</si>
  <si>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</si>
  <si>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</si>
  <si>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</si>
  <si>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</si>
  <si>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</si>
  <si>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</si>
  <si>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</si>
  <si>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</si>
  <si>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</si>
  <si>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</si>
  <si>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</si>
  <si>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</si>
  <si>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</si>
  <si>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</si>
  <si>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</si>
  <si>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</si>
  <si>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</si>
  <si>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</si>
  <si>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</si>
  <si>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</si>
  <si>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</si>
  <si>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</si>
  <si>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</si>
  <si>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</si>
  <si>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</si>
  <si>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</si>
  <si>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</si>
  <si>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</si>
  <si>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</si>
  <si>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</si>
  <si>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</si>
  <si>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</si>
  <si>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</si>
  <si>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</si>
  <si>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</si>
  <si>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</si>
  <si>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</si>
  <si>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</si>
  <si>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</si>
  <si>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</si>
  <si>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</si>
  <si>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</si>
  <si>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</si>
  <si>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</si>
  <si>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</si>
  <si>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</si>
  <si>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</si>
  <si>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</si>
  <si>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</si>
  <si>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</si>
  <si>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</si>
  <si>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</si>
  <si>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</si>
  <si>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</si>
  <si>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</si>
  <si>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</si>
  <si>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</si>
  <si>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</si>
  <si>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</si>
  <si>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</si>
  <si>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</si>
  <si>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</si>
  <si>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</si>
  <si>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</si>
  <si>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</si>
  <si>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</si>
  <si>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</si>
  <si>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</si>
  <si>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</si>
  <si>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</si>
  <si>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</si>
  <si>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</si>
  <si>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</si>
  <si>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</si>
  <si>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</si>
  <si>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</si>
  <si>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</si>
  <si>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</si>
  <si>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</si>
  <si>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</si>
  <si>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</si>
  <si>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</si>
  <si>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</si>
  <si>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</si>
  <si>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</si>
  <si>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</si>
  <si>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</si>
  <si>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</si>
  <si>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</si>
  <si>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</si>
  <si>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</si>
  <si>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</si>
  <si>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</si>
  <si>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</si>
  <si>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</si>
  <si>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</si>
  <si>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</si>
  <si>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</si>
  <si>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</si>
  <si>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</si>
  <si>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</si>
  <si>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</si>
  <si>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</si>
  <si>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</si>
  <si>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</si>
  <si>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</si>
  <si>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</si>
  <si>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</si>
  <si>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</si>
  <si>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</si>
  <si>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</si>
  <si>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</si>
  <si>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</si>
  <si>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</si>
  <si>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</si>
  <si>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</si>
  <si>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</si>
  <si>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</si>
  <si>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</si>
  <si>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</si>
  <si>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</si>
  <si>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</si>
  <si>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</si>
  <si>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</si>
  <si>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</si>
  <si>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</si>
  <si>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</si>
  <si>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</si>
  <si>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</si>
  <si>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</si>
  <si>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</si>
  <si>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</si>
  <si>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</si>
  <si>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</si>
  <si>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</si>
  <si>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</si>
  <si>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</si>
  <si>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</si>
  <si>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</si>
  <si>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</si>
  <si>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</si>
  <si>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</si>
  <si>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</si>
  <si>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</si>
  <si>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</si>
  <si>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</si>
  <si>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</si>
  <si>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</si>
  <si>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</si>
  <si>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</si>
  <si>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</si>
  <si>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</si>
  <si>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</si>
  <si>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</si>
  <si>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</si>
  <si>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</si>
  <si>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</si>
  <si>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</si>
  <si>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</si>
  <si>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</si>
  <si>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</si>
  <si>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</si>
  <si>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</si>
  <si>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</si>
  <si>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</si>
  <si>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</si>
  <si>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</si>
  <si>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</si>
  <si>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</si>
  <si>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</si>
  <si>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</si>
  <si>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</si>
  <si>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</si>
  <si>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</si>
  <si>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</si>
  <si>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</si>
  <si>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</si>
  <si>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</si>
  <si>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</si>
  <si>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</si>
  <si>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</si>
  <si>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</si>
  <si>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</si>
  <si>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</si>
  <si>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</si>
  <si>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</si>
  <si>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</si>
  <si>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</si>
  <si>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</si>
  <si>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</si>
  <si>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</si>
  <si>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</si>
  <si>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</si>
  <si>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</si>
  <si>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</si>
  <si>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</si>
  <si>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</si>
  <si>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</si>
  <si>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</si>
  <si>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</si>
  <si>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</si>
  <si>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</si>
  <si>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</si>
  <si>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</si>
  <si>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</si>
  <si>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</si>
  <si>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</si>
  <si>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</si>
  <si>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</si>
  <si>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</si>
  <si>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</si>
  <si>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</si>
  <si>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</si>
  <si>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</si>
  <si>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</si>
  <si>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</si>
  <si>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</si>
  <si>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</si>
  <si>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</si>
  <si>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</si>
  <si>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</si>
  <si>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</si>
  <si>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</si>
  <si>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</si>
  <si>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</si>
  <si>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</si>
  <si>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</si>
  <si>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</si>
  <si>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</si>
  <si>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</si>
  <si>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</si>
  <si>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</si>
  <si>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</si>
  <si>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</si>
  <si>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</si>
  <si>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</si>
  <si>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</si>
  <si>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</si>
  <si>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</si>
  <si>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</si>
  <si>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</si>
  <si>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</si>
  <si>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</si>
  <si>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</si>
  <si>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</si>
  <si>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</si>
  <si>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</si>
  <si>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</si>
  <si>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</si>
  <si>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</si>
  <si>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</si>
  <si>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</si>
  <si>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</si>
  <si>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</si>
  <si>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</si>
  <si>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</si>
  <si>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</si>
  <si>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</si>
  <si>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</si>
  <si>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</si>
  <si>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</si>
  <si>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</si>
  <si>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</si>
  <si>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</si>
  <si>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</si>
  <si>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</si>
  <si>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</si>
  <si>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</si>
  <si>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</si>
  <si>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</si>
  <si>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</si>
  <si>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</si>
  <si>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</si>
  <si>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</si>
  <si>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</si>
  <si>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</si>
  <si>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</si>
  <si>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</si>
  <si>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</si>
  <si>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</si>
  <si>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</si>
  <si>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</si>
  <si>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</si>
  <si>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</si>
  <si>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</si>
  <si>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</si>
  <si>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</si>
  <si>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</si>
  <si>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</si>
  <si>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</si>
  <si>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</si>
  <si>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</si>
  <si>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</si>
  <si>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</si>
  <si>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</si>
  <si>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</si>
  <si>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</si>
  <si>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</si>
  <si>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</si>
  <si>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</si>
  <si>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</si>
  <si>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</si>
  <si>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</si>
  <si>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</si>
  <si>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</si>
  <si>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</si>
  <si>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</si>
  <si>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</si>
  <si>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</si>
  <si>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</si>
  <si>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</si>
  <si>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</si>
  <si>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</si>
  <si>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</si>
  <si>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</si>
  <si>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</si>
  <si>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</si>
  <si>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</si>
  <si>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</si>
  <si>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</si>
  <si>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</si>
  <si>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</si>
  <si>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</si>
  <si>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</si>
  <si>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</si>
  <si>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</si>
  <si>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</si>
  <si>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</si>
  <si>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</si>
  <si>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</si>
  <si>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</si>
  <si>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</si>
  <si>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</si>
  <si>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</si>
  <si>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</si>
  <si>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</si>
  <si>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</si>
  <si>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</si>
  <si>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</si>
  <si>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</si>
  <si>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</si>
  <si>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</si>
  <si>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</si>
  <si>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</si>
  <si>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</si>
  <si>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</si>
  <si>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</si>
  <si>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</si>
  <si>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</si>
  <si>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</si>
  <si>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</si>
  <si>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</si>
  <si>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</si>
  <si>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</si>
  <si>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</si>
  <si>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</si>
  <si>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</si>
  <si>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</si>
  <si>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</si>
  <si>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</si>
  <si>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</si>
  <si>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</si>
  <si>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</si>
  <si>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</si>
  <si>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</si>
  <si>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</si>
  <si>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</si>
  <si>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</si>
  <si>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</si>
  <si>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</si>
  <si>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</si>
  <si>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</si>
  <si>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</si>
  <si>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</si>
  <si>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</si>
  <si>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</si>
  <si>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</si>
  <si>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</si>
  <si>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</si>
  <si>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</si>
  <si>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</si>
  <si>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</si>
  <si>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</si>
  <si>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</si>
  <si>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</si>
  <si>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</si>
  <si>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</si>
  <si>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</si>
  <si>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</si>
  <si>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</si>
  <si>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</si>
  <si>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</si>
  <si>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</si>
  <si>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</si>
  <si>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</si>
  <si>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</si>
  <si>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</si>
  <si>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</si>
  <si>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</si>
  <si>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</si>
  <si>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</si>
  <si>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</si>
  <si>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</si>
  <si>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</si>
  <si>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</si>
  <si>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</si>
  <si>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</si>
  <si>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</si>
  <si>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</si>
  <si>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</si>
  <si>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</si>
  <si>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</si>
  <si>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</si>
  <si>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</si>
  <si>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</si>
  <si>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</si>
  <si>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</si>
  <si>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</si>
  <si>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</si>
  <si>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</si>
  <si>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</si>
  <si>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</si>
  <si>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</si>
  <si>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</si>
  <si>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</si>
  <si>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</si>
  <si>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</si>
  <si>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</si>
  <si>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</si>
  <si>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</si>
  <si>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</si>
  <si>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</si>
  <si>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</si>
  <si>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</si>
  <si>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</si>
  <si>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</si>
  <si>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</si>
  <si>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</si>
  <si>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</si>
  <si>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</si>
  <si>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</si>
  <si>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</si>
  <si>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</si>
  <si>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</si>
  <si>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</si>
  <si>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</si>
  <si>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</si>
  <si>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</si>
  <si>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</si>
  <si>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</si>
  <si>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</si>
  <si>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</si>
  <si>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</si>
  <si>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</si>
  <si>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</si>
  <si>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</si>
  <si>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</si>
  <si>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</si>
  <si>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</si>
  <si>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</si>
  <si>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</si>
  <si>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</si>
  <si>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</si>
  <si>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</si>
  <si>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</si>
  <si>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</si>
  <si>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</si>
  <si>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</si>
  <si>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</si>
  <si>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</si>
  <si>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</si>
  <si>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</si>
  <si>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</si>
  <si>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</si>
  <si>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</si>
  <si>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</si>
  <si>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</si>
  <si>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</si>
  <si>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</si>
  <si>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</si>
  <si>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</si>
  <si>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</si>
  <si>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</si>
  <si>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</si>
  <si>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</si>
  <si>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</si>
  <si>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</si>
  <si>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</si>
  <si>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</si>
  <si>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</si>
  <si>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</si>
  <si>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</si>
  <si>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</si>
  <si>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</si>
  <si>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</si>
  <si>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</si>
  <si>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</si>
  <si>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</si>
  <si>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</si>
  <si>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</si>
  <si>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</si>
  <si>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</si>
  <si>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</si>
  <si>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</si>
  <si>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</si>
  <si>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</si>
  <si>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</si>
  <si>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</si>
  <si>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</si>
  <si>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</si>
  <si>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</si>
  <si>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</si>
  <si>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</si>
  <si>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</si>
  <si>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</si>
  <si>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</si>
  <si>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</si>
  <si>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</si>
  <si>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</si>
  <si>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</si>
  <si>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</si>
  <si>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</si>
  <si>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</si>
  <si>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</si>
  <si>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</si>
  <si>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</si>
  <si>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</si>
  <si>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</si>
  <si>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</si>
  <si>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</si>
  <si>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</si>
  <si>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</si>
  <si>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</si>
  <si>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</si>
  <si>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</si>
  <si>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</si>
  <si>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</si>
  <si>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</si>
  <si>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</si>
  <si>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</si>
  <si>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</si>
  <si>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</si>
  <si>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</si>
  <si>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</si>
  <si>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</si>
  <si>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</si>
  <si>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</si>
  <si>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</si>
  <si>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</si>
  <si>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</si>
  <si>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</si>
  <si>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</si>
  <si>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</si>
  <si>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</si>
  <si>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</si>
  <si>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</si>
  <si>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</si>
  <si>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</si>
  <si>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</si>
  <si>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</si>
  <si>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</si>
  <si>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</si>
  <si>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</si>
  <si>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</si>
  <si>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</si>
  <si>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</si>
  <si>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</si>
  <si>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</si>
  <si>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</si>
  <si>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</si>
  <si>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</si>
  <si>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</si>
  <si>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</si>
  <si>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</si>
  <si>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</si>
  <si>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</si>
  <si>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</si>
  <si>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</si>
  <si>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</si>
  <si>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</si>
  <si>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</si>
  <si>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</si>
  <si>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</si>
  <si>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</si>
  <si>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</si>
  <si>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</si>
  <si>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</si>
  <si>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</si>
  <si>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</si>
  <si>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</si>
  <si>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</si>
  <si>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</si>
  <si>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</si>
  <si>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</si>
  <si>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</si>
  <si>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</si>
  <si>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</si>
  <si>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</si>
  <si>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</si>
  <si>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</si>
  <si>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</si>
  <si>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</si>
  <si>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</si>
  <si>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</si>
  <si>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</si>
  <si>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</si>
  <si>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</si>
  <si>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</si>
  <si>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</si>
  <si>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</si>
  <si>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</si>
  <si>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</si>
  <si>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</si>
  <si>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</si>
  <si>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</si>
  <si>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</si>
  <si>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</si>
  <si>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</si>
  <si>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</si>
  <si>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</si>
  <si>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</si>
  <si>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</si>
  <si>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</si>
  <si>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</si>
  <si>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</si>
  <si>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</si>
  <si>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</si>
  <si>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</si>
  <si>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</si>
  <si>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</si>
  <si>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</si>
  <si>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</si>
  <si>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</si>
  <si>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</si>
  <si>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</si>
  <si>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</si>
  <si>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</si>
  <si>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</si>
  <si>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</si>
  <si>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</si>
  <si>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</si>
  <si>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</si>
  <si>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</si>
  <si>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</si>
  <si>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</si>
  <si>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</si>
  <si>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</si>
  <si>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</si>
  <si>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</si>
  <si>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</si>
  <si>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</si>
  <si>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</si>
  <si>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</si>
  <si>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</si>
  <si>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</si>
  <si>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</si>
  <si>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</si>
  <si>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</si>
  <si>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</si>
  <si>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</si>
  <si>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</si>
  <si>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</si>
  <si>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</si>
  <si>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</si>
  <si>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</si>
  <si>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</si>
  <si>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</si>
  <si>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</si>
  <si>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</si>
  <si>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</si>
  <si>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</si>
  <si>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</si>
  <si>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</si>
  <si>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</si>
  <si>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</si>
  <si>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</si>
  <si>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</si>
  <si>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</si>
  <si>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</si>
  <si>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</si>
  <si>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</si>
  <si>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</si>
  <si>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</si>
  <si>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</si>
  <si>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</si>
  <si>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</si>
  <si>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</si>
  <si>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</si>
  <si>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</si>
  <si>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</si>
  <si>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</si>
  <si>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</si>
  <si>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</si>
  <si>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</si>
  <si>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</si>
  <si>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</si>
  <si>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</si>
  <si>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</si>
  <si>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</si>
  <si>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</si>
  <si>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</si>
  <si>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</si>
  <si>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</si>
  <si>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</si>
  <si>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</si>
  <si>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</si>
  <si>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</si>
  <si>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</si>
  <si>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</si>
  <si>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</si>
  <si>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</si>
  <si>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</si>
  <si>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</si>
  <si>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</si>
  <si>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</si>
  <si>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</si>
  <si>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</si>
  <si>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</si>
  <si>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</si>
  <si>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</si>
  <si>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</si>
  <si>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</si>
  <si>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</si>
  <si>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</si>
  <si>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</si>
  <si>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</si>
  <si>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</si>
  <si>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</si>
  <si>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</si>
  <si>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</si>
  <si>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</si>
  <si>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</si>
  <si>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</si>
  <si>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</si>
  <si>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</si>
  <si>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</si>
  <si>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</si>
  <si>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</si>
  <si>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</si>
  <si>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</si>
  <si>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</si>
  <si>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</si>
  <si>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</si>
  <si>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</si>
  <si>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</si>
  <si>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</si>
  <si>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</si>
  <si>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</si>
  <si>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</si>
  <si>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</si>
  <si>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</si>
  <si>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</si>
  <si>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</si>
  <si>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</si>
  <si>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</si>
  <si>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</si>
  <si>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</si>
  <si>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</si>
  <si>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</si>
  <si>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</si>
  <si>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</si>
  <si>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</si>
  <si>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</si>
  <si>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</si>
  <si>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</si>
  <si>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</si>
  <si>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</si>
  <si>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</si>
  <si>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</si>
  <si>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</si>
  <si>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</si>
  <si>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</si>
  <si>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</si>
  <si>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</si>
  <si>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</si>
  <si>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</si>
  <si>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</si>
  <si>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</si>
  <si>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</si>
  <si>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</si>
  <si>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</si>
  <si>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</si>
  <si>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</si>
  <si>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</si>
  <si>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</si>
  <si>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</si>
  <si>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</si>
  <si>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</si>
  <si>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</si>
  <si>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</si>
  <si>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</si>
  <si>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</si>
  <si>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</si>
  <si>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</si>
  <si>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</si>
  <si>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</si>
  <si>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</si>
  <si>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</si>
  <si>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</si>
  <si>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</si>
  <si>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</si>
  <si>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</si>
  <si>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</si>
  <si>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</si>
  <si>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</si>
  <si>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</si>
  <si>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</si>
  <si>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</si>
  <si>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</si>
  <si>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</si>
  <si>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</si>
  <si>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</si>
  <si>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</si>
  <si>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</si>
  <si>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</si>
  <si>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</si>
  <si>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</si>
  <si>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</si>
  <si>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</si>
  <si>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</si>
  <si>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</si>
  <si>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</si>
  <si>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</si>
  <si>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</si>
  <si>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</si>
  <si>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</si>
  <si>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</si>
  <si>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</si>
  <si>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</si>
  <si>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</si>
  <si>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</si>
  <si>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</si>
  <si>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</si>
  <si>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</si>
  <si>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</si>
  <si>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</si>
  <si>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</si>
  <si>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</si>
  <si>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</si>
  <si>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</si>
  <si>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</si>
  <si>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</si>
  <si>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</si>
  <si>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</si>
  <si>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</si>
  <si>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</si>
  <si>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</si>
  <si>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</si>
  <si>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</si>
  <si>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</si>
  <si>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</si>
  <si>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</si>
  <si>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</si>
  <si>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</si>
  <si>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</si>
  <si>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</si>
  <si>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</si>
  <si>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</si>
  <si>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</si>
  <si>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</si>
  <si>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</si>
  <si>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</si>
  <si>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</si>
  <si>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</si>
  <si>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</si>
  <si>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</si>
  <si>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</si>
  <si>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</si>
  <si>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</si>
  <si>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</si>
  <si>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</si>
  <si>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</si>
  <si>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</si>
  <si>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</si>
  <si>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</si>
  <si>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</si>
  <si>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</si>
  <si>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</si>
  <si>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</si>
  <si>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</si>
  <si>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</si>
  <si>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</si>
  <si>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</si>
  <si>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</si>
  <si>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</si>
  <si>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</si>
  <si>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</si>
  <si>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</si>
  <si>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</si>
  <si>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</si>
  <si>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</si>
  <si>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</si>
  <si>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</si>
  <si>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</si>
  <si>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</si>
  <si>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</si>
  <si>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</si>
  <si>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</si>
  <si>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</si>
  <si>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</si>
  <si>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</si>
  <si>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</si>
  <si>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</si>
  <si>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</si>
  <si>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</si>
  <si>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</si>
  <si>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</si>
  <si>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</si>
  <si>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</si>
  <si>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</si>
  <si>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</si>
  <si>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</si>
  <si>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</si>
  <si>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</si>
  <si>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</si>
  <si>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</si>
  <si>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</si>
  <si>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</si>
  <si>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</si>
  <si>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</si>
  <si>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</si>
  <si>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</si>
  <si>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</si>
  <si>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</si>
  <si>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</si>
  <si>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</si>
  <si>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</si>
  <si>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</si>
  <si>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</si>
  <si>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</si>
  <si>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</si>
  <si>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</si>
  <si>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</si>
  <si>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</si>
  <si>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</si>
  <si>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</si>
  <si>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</si>
  <si>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</si>
  <si>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</si>
  <si>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</si>
  <si>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</si>
  <si>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</si>
  <si>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</si>
  <si>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</si>
  <si>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</si>
  <si>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</si>
  <si>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</si>
  <si>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中国建设银行股份有限公司江苏分行太仓支行</t>
    <phoneticPr fontId="6" type="noConversion"/>
  </si>
  <si>
    <t>抵押</t>
  </si>
  <si>
    <t>房地产抵押价值</t>
  </si>
  <si>
    <t>北京市</t>
  </si>
  <si>
    <t>企业</t>
  </si>
  <si>
    <t>出让</t>
  </si>
  <si>
    <r>
      <rPr>
        <sz val="12"/>
        <color theme="9" tint="-0.249977111117893"/>
        <rFont val="宋体"/>
        <family val="3"/>
        <charset val="134"/>
      </rPr>
      <t>《房屋所有权证》</t>
    </r>
    <r>
      <rPr>
        <sz val="12"/>
        <color theme="9" tint="-0.249977111117893"/>
        <rFont val="Arial"/>
        <family val="2"/>
      </rPr>
      <t/>
    </r>
    <phoneticPr fontId="6" type="noConversion"/>
  </si>
  <si>
    <t>是</t>
  </si>
  <si>
    <t>原件</t>
  </si>
  <si>
    <t>商业项目</t>
  </si>
  <si>
    <t>无</t>
  </si>
  <si>
    <t>否</t>
  </si>
  <si>
    <t>现房</t>
  </si>
  <si>
    <t>《国有土地使用证》、《北京匠心置业有限公司丰台区马家堡东路168号院面积分摊计算说明》</t>
    <phoneticPr fontId="6" type="noConversion"/>
  </si>
  <si>
    <t>中国建设银行股份有限公司太仓分行</t>
    <phoneticPr fontId="3" type="noConversion"/>
  </si>
  <si>
    <t>通路</t>
  </si>
  <si>
    <t>通电</t>
  </si>
  <si>
    <t>通讯</t>
  </si>
  <si>
    <t>通上水</t>
  </si>
  <si>
    <t>通下水</t>
  </si>
  <si>
    <t>燃气</t>
  </si>
  <si>
    <t>1-2</t>
    <phoneticPr fontId="3" type="noConversion"/>
  </si>
  <si>
    <t>1-6</t>
    <phoneticPr fontId="3" type="noConversion"/>
  </si>
  <si>
    <t>1-7</t>
    <phoneticPr fontId="3" type="noConversion"/>
  </si>
  <si>
    <t>1-11</t>
    <phoneticPr fontId="3" type="noConversion"/>
  </si>
  <si>
    <t>1-12</t>
    <phoneticPr fontId="3" type="noConversion"/>
  </si>
  <si>
    <t>1-13</t>
    <phoneticPr fontId="3" type="noConversion"/>
  </si>
  <si>
    <t>1-15</t>
    <phoneticPr fontId="3" type="noConversion"/>
  </si>
  <si>
    <t>地上</t>
  </si>
  <si>
    <t>底商</t>
  </si>
  <si>
    <t>周边商业有集美家居、银泰百货，人流量一般，商业繁华度一般</t>
    <phoneticPr fontId="3" type="noConversion"/>
  </si>
  <si>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</si>
  <si>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</si>
  <si>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</si>
  <si>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</si>
  <si>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</si>
  <si>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</si>
  <si>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</si>
  <si>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</si>
  <si>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</si>
  <si>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</si>
  <si>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</si>
  <si>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</si>
  <si>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</si>
  <si>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</si>
  <si>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</si>
  <si>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</si>
  <si>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</si>
  <si>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</si>
  <si>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</si>
  <si>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</si>
  <si>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</si>
  <si>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</si>
  <si>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</si>
  <si>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</si>
  <si>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</si>
  <si>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</si>
  <si>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</si>
  <si>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</si>
  <si>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</si>
  <si>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</si>
  <si>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</si>
  <si>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</si>
  <si>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</si>
  <si>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</si>
  <si>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</si>
  <si>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</si>
  <si>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</si>
  <si>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</si>
  <si>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</si>
  <si>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</si>
  <si>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</si>
  <si>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</si>
  <si>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</si>
  <si>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</si>
  <si>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</si>
  <si>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</si>
  <si>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</si>
  <si>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</si>
  <si>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</si>
  <si>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</si>
  <si>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</si>
  <si>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</si>
  <si>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</si>
  <si>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</si>
  <si>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</si>
  <si>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</si>
  <si>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</si>
  <si>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</si>
  <si>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</si>
  <si>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</si>
  <si>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</si>
  <si>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</si>
  <si>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</si>
  <si>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</si>
  <si>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</si>
  <si>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</si>
  <si>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</si>
  <si>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</si>
  <si>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</si>
  <si>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</si>
  <si>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单面临街</t>
    <phoneticPr fontId="3" type="noConversion"/>
  </si>
  <si>
    <t>可视性</t>
    <phoneticPr fontId="3" type="noConversion"/>
  </si>
  <si>
    <t>较好</t>
    <phoneticPr fontId="3" type="noConversion"/>
  </si>
  <si>
    <t>人流量</t>
    <phoneticPr fontId="3" type="noConversion"/>
  </si>
  <si>
    <t>精装</t>
  </si>
  <si>
    <t>较大</t>
  </si>
  <si>
    <t>较大</t>
    <phoneticPr fontId="3" type="noConversion"/>
  </si>
  <si>
    <t>一般</t>
    <phoneticPr fontId="25" type="noConversion"/>
  </si>
  <si>
    <t>房号</t>
  </si>
  <si>
    <t>建筑面积</t>
  </si>
  <si>
    <t>年租金</t>
  </si>
  <si>
    <t>终止年限</t>
  </si>
  <si>
    <t>楼层</t>
  </si>
  <si>
    <t>市场租金</t>
  </si>
  <si>
    <t>已出租</t>
  </si>
  <si>
    <t>未出租</t>
  </si>
  <si>
    <t>收益法-已出租</t>
    <phoneticPr fontId="3" type="noConversion"/>
  </si>
  <si>
    <t>收益法-未出租</t>
    <phoneticPr fontId="3" type="noConversion"/>
  </si>
  <si>
    <t>典型户型修正</t>
    <phoneticPr fontId="3" type="noConversion"/>
  </si>
  <si>
    <t xml:space="preserve">2018-1-0069-F02DYGJ1 </t>
    <phoneticPr fontId="6"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</si>
  <si>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10</t>
    </r>
    <r>
      <rPr>
        <sz val="12"/>
        <color theme="9" tint="-0.249977111117893"/>
        <rFont val="宋体"/>
        <family val="3"/>
        <charset val="134"/>
      </rPr>
      <t>号楼</t>
    </r>
    <phoneticPr fontId="6" type="noConversion"/>
  </si>
  <si>
    <r>
      <t>1</t>
    </r>
    <r>
      <rPr>
        <sz val="11"/>
        <color theme="1"/>
        <rFont val="宋体"/>
        <family val="3"/>
        <charset val="134"/>
        <scheme val="minor"/>
      </rPr>
      <t>-2</t>
    </r>
    <phoneticPr fontId="143" type="noConversion"/>
  </si>
  <si>
    <r>
      <t>1</t>
    </r>
    <r>
      <rPr>
        <sz val="11"/>
        <color theme="1"/>
        <rFont val="宋体"/>
        <family val="3"/>
        <charset val="134"/>
        <scheme val="minor"/>
      </rPr>
      <t>-4</t>
    </r>
    <phoneticPr fontId="143" type="noConversion"/>
  </si>
  <si>
    <t>1-1</t>
    <phoneticPr fontId="143" type="noConversion"/>
  </si>
  <si>
    <t>1-6</t>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</si>
  <si>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</si>
  <si>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-11</t>
    </r>
    <phoneticPr fontId="143" type="noConversion"/>
  </si>
  <si>
    <r>
      <t>1</t>
    </r>
    <r>
      <rPr>
        <sz val="11"/>
        <color theme="1"/>
        <rFont val="宋体"/>
        <family val="3"/>
        <charset val="134"/>
        <scheme val="minor"/>
      </rPr>
      <t>-12</t>
    </r>
    <phoneticPr fontId="143" type="noConversion"/>
  </si>
  <si>
    <t>1-13</t>
    <phoneticPr fontId="143" type="noConversion"/>
  </si>
  <si>
    <t>1-15-1</t>
    <phoneticPr fontId="143" type="noConversion"/>
  </si>
  <si>
    <t>1-15-2</t>
    <phoneticPr fontId="143" type="noConversion"/>
  </si>
  <si>
    <t>1-1</t>
    <phoneticPr fontId="3" type="noConversion"/>
  </si>
  <si>
    <t>1-2</t>
    <phoneticPr fontId="3" type="noConversion"/>
  </si>
  <si>
    <t>1-3</t>
    <phoneticPr fontId="3" type="noConversion"/>
  </si>
  <si>
    <t>1-4</t>
    <phoneticPr fontId="3" type="noConversion"/>
  </si>
  <si>
    <t>1-5</t>
    <phoneticPr fontId="3" type="noConversion"/>
  </si>
  <si>
    <t>出租</t>
    <phoneticPr fontId="3" type="noConversion"/>
  </si>
  <si>
    <t>出租</t>
    <phoneticPr fontId="3" type="noConversion"/>
  </si>
  <si>
    <t>出租</t>
    <phoneticPr fontId="3" type="noConversion"/>
  </si>
  <si>
    <t>出租</t>
    <phoneticPr fontId="3" type="noConversion"/>
  </si>
  <si>
    <t>已出租</t>
    <phoneticPr fontId="3" type="noConversion"/>
  </si>
  <si>
    <t>未出租</t>
    <phoneticPr fontId="7" type="noConversion"/>
  </si>
  <si>
    <t>收益法-已出租</t>
  </si>
  <si>
    <t>收益法-未出租</t>
  </si>
  <si>
    <t>需扣减承租人权益</t>
  </si>
  <si>
    <t>典型户型修正</t>
  </si>
  <si>
    <t>收益法（汇总）</t>
  </si>
  <si>
    <t>项目局部</t>
  </si>
  <si>
    <t>成新度</t>
  </si>
  <si>
    <t>土地面积</t>
  </si>
  <si>
    <t>建筑物价值</t>
  </si>
  <si>
    <t>自定义</t>
  </si>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</sst>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59999389629810485"/>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17" borderId="0" xfId="0" applyFont="1" applyFill="1" applyAlignment="1" applyProtection="1">
      <alignment horizontal="center" vertical="center" wrapText="1"/>
      <protection locked="0"/>
    </xf>
    <xf numFmtId="0" fontId="48" fillId="6" borderId="1" xfId="0" applyFont="1" applyFill="1" applyBorder="1" applyAlignment="1" applyProtection="1">
      <alignment horizontal="center" vertical="center"/>
      <protection locked="0"/>
    </xf>
    <xf numFmtId="49" fontId="47" fillId="18" borderId="2" xfId="0" applyNumberFormat="1" applyFont="1" applyFill="1" applyBorder="1" applyAlignment="1" applyProtection="1">
      <alignment horizontal="center" vertical="center" wrapText="1"/>
      <protection locked="0"/>
    </xf>
    <xf numFmtId="0" fontId="11" fillId="18" borderId="2" xfId="0" applyFont="1" applyFill="1" applyBorder="1" applyAlignment="1" applyProtection="1">
      <alignment horizontal="center" vertical="center" wrapText="1"/>
      <protection locked="0"/>
    </xf>
    <xf numFmtId="176" fontId="50" fillId="18" borderId="1" xfId="0" applyNumberFormat="1" applyFont="1" applyFill="1" applyBorder="1" applyAlignment="1" applyProtection="1">
      <alignment horizontal="center" vertical="center" wrapText="1"/>
    </xf>
    <xf numFmtId="176" fontId="50" fillId="18" borderId="2" xfId="0" applyNumberFormat="1" applyFont="1" applyFill="1" applyBorder="1" applyAlignment="1" applyProtection="1">
      <alignment horizontal="center" vertical="center" wrapText="1"/>
      <protection locked="0"/>
    </xf>
    <xf numFmtId="176" fontId="50" fillId="18" borderId="2" xfId="0" applyNumberFormat="1" applyFont="1" applyFill="1" applyBorder="1" applyAlignment="1" applyProtection="1">
      <alignment horizontal="center" vertical="center" wrapText="1"/>
    </xf>
    <xf numFmtId="176" fontId="50" fillId="18" borderId="13" xfId="0" applyNumberFormat="1" applyFont="1" applyFill="1" applyBorder="1" applyAlignment="1" applyProtection="1">
      <alignment horizontal="center" vertical="center" wrapText="1"/>
    </xf>
    <xf numFmtId="176" fontId="47" fillId="18" borderId="1" xfId="0" applyNumberFormat="1" applyFont="1" applyFill="1" applyBorder="1" applyAlignment="1" applyProtection="1">
      <alignment vertical="center" wrapText="1"/>
      <protection locked="0"/>
    </xf>
    <xf numFmtId="176" fontId="47" fillId="18" borderId="1" xfId="0" applyNumberFormat="1" applyFont="1" applyFill="1" applyBorder="1" applyAlignment="1" applyProtection="1">
      <alignment horizontal="center" vertical="center" wrapText="1"/>
    </xf>
    <xf numFmtId="176" fontId="47" fillId="18" borderId="2" xfId="0" applyNumberFormat="1" applyFont="1" applyFill="1" applyBorder="1" applyAlignment="1" applyProtection="1">
      <alignment horizontal="center" vertical="center" wrapText="1"/>
      <protection locked="0"/>
    </xf>
    <xf numFmtId="176" fontId="47" fillId="18" borderId="2" xfId="0" applyNumberFormat="1" applyFont="1" applyFill="1" applyBorder="1" applyAlignment="1" applyProtection="1">
      <alignment horizontal="center" vertical="center" wrapText="1"/>
    </xf>
    <xf numFmtId="176" fontId="47" fillId="18" borderId="13" xfId="0" applyNumberFormat="1" applyFont="1" applyFill="1" applyBorder="1" applyAlignment="1" applyProtection="1">
      <alignment horizontal="center" vertical="center" wrapText="1"/>
    </xf>
    <xf numFmtId="0" fontId="80" fillId="19"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4" fontId="0" fillId="0" borderId="0" xfId="0" applyNumberFormat="1" applyProtection="1">
      <alignment vertical="center"/>
      <protection locked="0"/>
    </xf>
    <xf numFmtId="0" fontId="50" fillId="18"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lignment vertical="center"/>
    </xf>
    <xf numFmtId="49" fontId="99" fillId="0" borderId="1" xfId="0" applyNumberFormat="1" applyFont="1" applyBorder="1">
      <alignment vertical="center"/>
    </xf>
    <xf numFmtId="192" fontId="0" fillId="0" borderId="1" xfId="0" applyNumberFormat="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30</xdr:row>
      <xdr:rowOff>94596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5238096"/>
        </a:xfrm>
        <a:prstGeom prst="rect">
          <a:avLst/>
        </a:prstGeom>
      </xdr:spPr>
    </xdr:pic>
    <xdr:clientData/>
  </xdr:twoCellAnchor>
  <xdr:twoCellAnchor editAs="oneCell">
    <xdr:from>
      <xdr:col>0</xdr:col>
      <xdr:colOff>0</xdr:colOff>
      <xdr:row>31</xdr:row>
      <xdr:rowOff>0</xdr:rowOff>
    </xdr:from>
    <xdr:to>
      <xdr:col>13</xdr:col>
      <xdr:colOff>151267</xdr:colOff>
      <xdr:row>73</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74</xdr:row>
      <xdr:rowOff>0</xdr:rowOff>
    </xdr:from>
    <xdr:to>
      <xdr:col>11</xdr:col>
      <xdr:colOff>189534</xdr:colOff>
      <xdr:row>94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172</xdr:row>
      <xdr:rowOff>0</xdr:rowOff>
    </xdr:from>
    <xdr:to>
      <xdr:col>12</xdr:col>
      <xdr:colOff>179924</xdr:colOff>
      <xdr:row>199</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200</xdr:row>
      <xdr:rowOff>0</xdr:rowOff>
    </xdr:from>
    <xdr:to>
      <xdr:col>12</xdr:col>
      <xdr:colOff>684686</xdr:colOff>
      <xdr:row>221</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95</xdr:row>
      <xdr:rowOff>0</xdr:rowOff>
    </xdr:from>
    <xdr:to>
      <xdr:col>12</xdr:col>
      <xdr:colOff>522782</xdr:colOff>
      <xdr:row>126</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127</xdr:row>
      <xdr:rowOff>0</xdr:rowOff>
    </xdr:from>
    <xdr:to>
      <xdr:col>13</xdr:col>
      <xdr:colOff>113172</xdr:colOff>
      <xdr:row>154</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155</xdr:row>
      <xdr:rowOff>0</xdr:rowOff>
    </xdr:from>
    <xdr:to>
      <xdr:col>11</xdr:col>
      <xdr:colOff>322867</xdr:colOff>
      <xdr:row>174</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771;&#34385;&#31199;&#32422;-&#28023;&#19978;&#28023;&#33457;&#22253;&#8212;6&#21495;&#27004;-&#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已出租"/>
      <sheetName val="收益法-未出租"/>
      <sheetName val="比较法-租金"/>
      <sheetName val="成本法（废）"/>
      <sheetName val="区片价"/>
      <sheetName val="因素修正幅度"/>
      <sheetName val="存贷款利率"/>
      <sheetName val="区片价（范围）"/>
      <sheetName val="案例"/>
      <sheetName val="租赁情况"/>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16915</v>
          </cell>
        </row>
      </sheetData>
      <sheetData sheetId="18"/>
      <sheetData sheetId="19"/>
      <sheetData sheetId="20"/>
      <sheetData sheetId="21"/>
      <sheetData sheetId="22">
        <row r="20">
          <cell r="B20">
            <v>18681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北京市丰台区马家堡东路168号院10号楼房地产抵押价值预评估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康正预评字2018-1-0069-F02DYGJ1 号</v>
      </c>
    </row>
    <row r="6" spans="1:2" s="1589" customFormat="1" ht="15" thickTop="1">
      <c r="A6" s="1587" t="s">
        <v>1224</v>
      </c>
      <c r="B6" s="1588" t="str">
        <f>'预评函-1'!A4</f>
        <v>受贵公司委托，我公司对北京市丰台区马家堡东路168号院10号楼房地产抵押价值进行了预评估。</v>
      </c>
    </row>
    <row r="7" spans="1:2" s="1592" customFormat="1">
      <c r="A7" s="1590" t="s">
        <v>1264</v>
      </c>
      <c r="B7" s="1591" t="str">
        <f>'预评函-1'!A7</f>
        <v>估价对象为北京市丰台区马家堡东路168号院10号楼房地产，为北京匠心置业有限公司所有。根据《国有土地使用证》、《北京匠心置业有限公司丰台区马家堡东路168号院面积分摊计算说明》，估价对象（分摊）出让国有建设用地使用权面积为666.75平方米。根据《房屋所有权证》，估价对象建筑面积为2661.36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10号楼房地产,属北京匠心置业有限公司开发建设的商业项目，该项目尚在开发建设中。根据《国有土地使用证》、《北京匠心置业有限公司丰台区马家堡东路168号院面积分摊计算说明》，估价对象（分摊）出让国有建设用地使用权面积为666.75平方米。根据《房屋所有权证》，估价对象规划建筑面积为2661.36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为估价委托人在向中国建设银行股份有限公司江苏分行太仓支行办理贷款手续过程中，确定房地产抵押贷款额度提供参考依据而评估房地产抵押价值。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本次评估采用的主估价方法为基准地价系数修正法和收益法。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10302</v>
      </c>
    </row>
    <row r="21" spans="1:2" s="1592" customFormat="1">
      <c r="A21" s="1590" t="s">
        <v>1235</v>
      </c>
      <c r="B21" s="1591">
        <f ca="1">'预评函-2'!D7</f>
        <v>38710</v>
      </c>
    </row>
    <row r="22" spans="1:2" s="1592" customFormat="1">
      <c r="A22" s="1590" t="s">
        <v>1236</v>
      </c>
      <c r="B22" s="1591" t="str">
        <f ca="1">'预评函-2'!D6</f>
        <v>壹亿零叁佰零贰万元整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10302</v>
      </c>
    </row>
    <row r="31" spans="1:2" s="1592" customFormat="1">
      <c r="A31" s="1590" t="s">
        <v>1274</v>
      </c>
      <c r="B31" s="1591">
        <f ca="1">'预评函-2'!D15</f>
        <v>38710</v>
      </c>
    </row>
    <row r="32" spans="1:2" s="1592" customFormat="1">
      <c r="A32" s="1590" t="s">
        <v>1241</v>
      </c>
      <c r="B32" s="1591" t="str">
        <f ca="1">'预评函-2'!D14</f>
        <v>壹亿零叁佰零贰万元整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北京市丰台区马家堡东路168号院10号楼房地产</v>
      </c>
    </row>
    <row r="42" spans="1:2" s="1592" customFormat="1">
      <c r="A42" s="1590" t="s">
        <v>1288</v>
      </c>
      <c r="B42" s="1591" t="str">
        <f>'预评函-3'!B2</f>
        <v>建筑面积</v>
      </c>
    </row>
    <row r="43" spans="1:2" s="1592" customFormat="1">
      <c r="A43" s="1590" t="s">
        <v>1289</v>
      </c>
      <c r="B43" s="1591">
        <f>'预评函-3'!B4</f>
        <v>2661.36</v>
      </c>
    </row>
    <row r="44" spans="1:2" s="1592" customFormat="1">
      <c r="A44" s="1590" t="s">
        <v>1273</v>
      </c>
      <c r="B44" s="1591" t="str">
        <f>'预评函-3'!C2</f>
        <v>(分摊)土地面积</v>
      </c>
    </row>
    <row r="45" spans="1:2" s="1592" customFormat="1">
      <c r="A45" s="1590" t="s">
        <v>1245</v>
      </c>
      <c r="B45" s="1591">
        <f>'预评函-3'!C4</f>
        <v>666.75</v>
      </c>
    </row>
    <row r="46" spans="1:2" s="1592" customFormat="1">
      <c r="A46" s="1590" t="s">
        <v>1271</v>
      </c>
      <c r="B46" s="1591" t="str">
        <f>'预评函-3'!D2</f>
        <v>出让国有建设用地使用权价值</v>
      </c>
    </row>
    <row r="47" spans="1:2" s="1592" customFormat="1">
      <c r="A47" s="1590" t="s">
        <v>1246</v>
      </c>
      <c r="B47" s="1591">
        <f ca="1">'预评函-3'!D4</f>
        <v>9241</v>
      </c>
    </row>
    <row r="48" spans="1:2" s="1592" customFormat="1">
      <c r="A48" s="1590" t="s">
        <v>1247</v>
      </c>
      <c r="B48" s="1591">
        <f ca="1">'预评函-3'!E4</f>
        <v>34723</v>
      </c>
    </row>
    <row r="49" spans="1:2" s="1592" customFormat="1">
      <c r="A49" s="1590" t="s">
        <v>1248</v>
      </c>
      <c r="B49" s="1591" t="str">
        <f ca="1">'预评函-3'!D5</f>
        <v>玖仟贰佰肆拾壹万元整</v>
      </c>
    </row>
    <row r="50" spans="1:2" s="1592" customFormat="1">
      <c r="A50" s="1590" t="s">
        <v>1272</v>
      </c>
      <c r="B50" s="1591" t="str">
        <f>'预评函-3'!F2</f>
        <v>建筑物价值</v>
      </c>
    </row>
    <row r="51" spans="1:2" s="1592" customFormat="1">
      <c r="A51" s="1590" t="s">
        <v>1249</v>
      </c>
      <c r="B51" s="1591">
        <f ca="1">'预评函-3'!F4</f>
        <v>1061</v>
      </c>
    </row>
    <row r="52" spans="1:2" s="1592" customFormat="1">
      <c r="A52" s="1590" t="s">
        <v>1250</v>
      </c>
      <c r="B52" s="1591">
        <f ca="1">'预评函-3'!G4</f>
        <v>3987</v>
      </c>
    </row>
    <row r="53" spans="1:2" s="1592" customFormat="1">
      <c r="A53" s="1590" t="s">
        <v>1278</v>
      </c>
      <c r="B53" s="1591" t="str">
        <f ca="1">'预评函-3'!F5</f>
        <v>壹仟零陆拾壹万元整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3148</v>
      </c>
      <c r="C17" s="2013"/>
    </row>
    <row r="18" spans="1:3">
      <c r="A18" s="2012" t="s">
        <v>1768</v>
      </c>
      <c r="B18" s="2012" t="s">
        <v>3149</v>
      </c>
      <c r="C18" s="2013"/>
    </row>
    <row r="19" spans="1:3">
      <c r="A19" s="2012" t="s">
        <v>1769</v>
      </c>
      <c r="B19" s="2012" t="s">
        <v>3150</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为估价委托人在向中国建设银行股份有限公司江苏分行太仓支行办理贷款手续过程中，确定房地产抵押贷款额度提供参考依据而评估房地产抵押价值。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10号楼房地产作为抵押担保物，向中国建设银行股份有限公司江苏分行太仓支行办理贷款手续。中国建设银行股份有限公司江苏分行太仓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46"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0" t="s">
        <v>864</v>
      </c>
      <c r="C54" s="2017" t="s">
        <v>1281</v>
      </c>
    </row>
    <row r="55" spans="1:4">
      <c r="A55" s="3046"/>
      <c r="B55" s="2020" t="s">
        <v>865</v>
      </c>
      <c r="C55" s="2017" t="s">
        <v>1282</v>
      </c>
    </row>
    <row r="56" spans="1:4">
      <c r="A56" s="3046"/>
      <c r="B56" s="2020" t="s">
        <v>866</v>
      </c>
      <c r="C56" s="2017" t="s">
        <v>1286</v>
      </c>
    </row>
    <row r="57" spans="1:4">
      <c r="A57" s="3046"/>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1777</v>
      </c>
      <c r="B1" s="3047" t="str">
        <f>IF(B10="北京市","北京市",C10)&amp;F10&amp;IF(结果表!G1="在建","出让国有建设用地使用权及在建建筑物",IF(结果表!G1="土地","出让国有建设用地使用权",))&amp;B9&amp;"预评估"</f>
        <v>北京市丰台区马家堡东路168号院10号楼房地产抵押价值预评估</v>
      </c>
      <c r="C1" s="3048"/>
      <c r="D1" s="3048"/>
      <c r="E1" s="3048"/>
      <c r="F1" s="3048"/>
      <c r="G1" s="3048"/>
      <c r="H1" s="3048"/>
      <c r="I1" s="304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北京市丰台区马家堡东路168号院10号楼房地产抵押价值</v>
      </c>
    </row>
    <row r="2" spans="1:19" ht="18" customHeight="1">
      <c r="A2" s="2024" t="s">
        <v>1778</v>
      </c>
      <c r="B2" s="2942" t="s">
        <v>3151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北京市丰台区马家堡东路168号院10号楼房地产</v>
      </c>
    </row>
    <row r="3" spans="1:19" ht="18" customHeight="1">
      <c r="A3" s="2033" t="s">
        <v>1779</v>
      </c>
      <c r="B3" s="2034">
        <v>43132</v>
      </c>
      <c r="C3" s="2035" t="s">
        <v>1780</v>
      </c>
      <c r="D3" s="2034">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3028</v>
      </c>
      <c r="C4" s="1039">
        <f ca="1">SUMIF(注册房地产估价师,B4,估价师及机构信息!B3:B24)</f>
        <v>1120000080</v>
      </c>
      <c r="D4" s="2037" t="s">
        <v>3029</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43" t="s">
        <v>3030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44" t="s">
        <v>3031</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3032</v>
      </c>
      <c r="C8" s="2052"/>
      <c r="D8" s="3050" t="s">
        <v>1786</v>
      </c>
      <c r="E8" s="2053" t="s">
        <v>3033</v>
      </c>
      <c r="F8" s="2054"/>
      <c r="G8" s="2024"/>
      <c r="H8" s="2024"/>
      <c r="I8" s="2024"/>
      <c r="J8" s="2040"/>
      <c r="K8" s="2041"/>
      <c r="L8" s="2026"/>
      <c r="M8" s="2026"/>
      <c r="N8" s="2027"/>
      <c r="O8" s="2028"/>
      <c r="P8" s="2027"/>
      <c r="Q8" s="2027"/>
      <c r="R8" s="2027"/>
    </row>
    <row r="9" spans="1:19" ht="18" customHeight="1" thickBot="1">
      <c r="A9" s="2038" t="s">
        <v>1787</v>
      </c>
      <c r="B9" s="2055" t="s">
        <v>3033</v>
      </c>
      <c r="C9" s="2056"/>
      <c r="D9" s="3051"/>
      <c r="E9" s="2055"/>
      <c r="F9" s="2057"/>
      <c r="G9" s="2058"/>
      <c r="H9" s="2058"/>
      <c r="I9" s="2058"/>
      <c r="J9" s="2040"/>
      <c r="K9" s="2050"/>
      <c r="L9" s="2026"/>
      <c r="M9" s="2026"/>
      <c r="N9" s="2027"/>
      <c r="O9" s="2028"/>
      <c r="P9" s="2027"/>
      <c r="Q9" s="2027"/>
      <c r="R9" s="2027"/>
    </row>
    <row r="10" spans="1:19" ht="18" customHeight="1" thickTop="1">
      <c r="A10" s="2059" t="s">
        <v>1788</v>
      </c>
      <c r="B10" s="2060" t="s">
        <v>3034</v>
      </c>
      <c r="C10" s="2061"/>
      <c r="D10" s="2044"/>
      <c r="E10" s="2062" t="s">
        <v>1789</v>
      </c>
      <c r="F10" s="2063" t="s">
        <v>3152</v>
      </c>
      <c r="G10" s="2064"/>
      <c r="H10" s="2065"/>
      <c r="I10" s="2044"/>
      <c r="J10" s="2040"/>
      <c r="K10" s="2050"/>
      <c r="L10" s="2026"/>
      <c r="M10" s="2026"/>
      <c r="N10" s="2027"/>
      <c r="O10" s="2028"/>
      <c r="P10" s="2027"/>
      <c r="Q10" s="2027"/>
      <c r="R10" s="2027"/>
    </row>
    <row r="11" spans="1:19" ht="18" customHeight="1">
      <c r="A11" s="2066" t="s">
        <v>1790</v>
      </c>
      <c r="B11" s="2067" t="s">
        <v>3035</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1791</v>
      </c>
      <c r="B12" s="2067" t="s">
        <v>3036</v>
      </c>
      <c r="C12" s="2071" t="s">
        <v>1792</v>
      </c>
      <c r="D12" s="2072" t="s">
        <v>1793</v>
      </c>
      <c r="E12" s="2072" t="s">
        <v>1794</v>
      </c>
      <c r="F12" s="2072" t="s">
        <v>1795</v>
      </c>
      <c r="G12" s="2072" t="s">
        <v>1796</v>
      </c>
      <c r="H12" s="2072" t="s">
        <v>1797</v>
      </c>
      <c r="I12" s="2072" t="s">
        <v>1798</v>
      </c>
      <c r="J12" s="2040"/>
      <c r="K12" s="2050"/>
      <c r="L12" s="2026"/>
      <c r="M12" s="2026"/>
      <c r="N12" s="2027"/>
      <c r="O12" s="2028"/>
      <c r="P12" s="2027"/>
      <c r="Q12" s="2027"/>
      <c r="R12" s="2027"/>
    </row>
    <row r="13" spans="1:19" ht="18" customHeight="1">
      <c r="A13" s="2073"/>
      <c r="B13" s="2074"/>
      <c r="C13" s="2075" t="s">
        <v>1799</v>
      </c>
      <c r="D13" s="2076"/>
      <c r="E13" s="2076">
        <v>54147</v>
      </c>
      <c r="F13" s="2076"/>
      <c r="G13" s="2076"/>
      <c r="H13" s="2076"/>
      <c r="I13" s="3001">
        <v>44361</v>
      </c>
      <c r="J13" s="2040"/>
      <c r="K13" s="2050"/>
      <c r="L13" s="2026"/>
      <c r="M13" s="2026"/>
      <c r="N13" s="2027"/>
      <c r="O13" s="2028"/>
      <c r="P13" s="2027"/>
      <c r="Q13" s="2027"/>
      <c r="R13" s="2027"/>
    </row>
    <row r="14" spans="1:19" ht="18" customHeight="1">
      <c r="A14" s="2073"/>
      <c r="B14" s="2074"/>
      <c r="C14" s="2075" t="s">
        <v>1800</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1801</v>
      </c>
      <c r="D15" s="1049" t="str">
        <f>IF(B12="出让",IF(D13="","",ROUNDDOWN(MIN((D13-$D$3)/365,D14),2)),D14)</f>
        <v/>
      </c>
      <c r="E15" s="1049">
        <f>IF(B12="出让",IF(E13="","",ROUNDDOWN(MIN((E13-$D$3)/365,E14),2)),E14)</f>
        <v>30.17</v>
      </c>
      <c r="F15" s="1049" t="str">
        <f>IF(B12="出让",IF(F13="","",ROUNDDOWN(MIN((F13-$D$3)/365,F14),2)),F14)</f>
        <v/>
      </c>
      <c r="G15" s="1049" t="str">
        <f>IF(B12="出让",IF(G13="","",ROUNDDOWN(MIN((G13-$D$3)/365,G14),2)),G14)</f>
        <v/>
      </c>
      <c r="H15" s="1049" t="str">
        <f>IF(B12="出让",IF(H13="","",ROUNDDOWN(MIN((H13-$D$3)/365,H14),2)),H14)</f>
        <v/>
      </c>
      <c r="I15" s="1049">
        <f>IF(B12="出让",IF(I13="","",ROUNDDOWN(MIN((I13-$D$3)/365,I14),2)),I14)</f>
        <v>3.36</v>
      </c>
      <c r="J15" s="2040"/>
      <c r="K15" s="2079"/>
      <c r="L15" s="2080"/>
      <c r="M15" s="2080"/>
      <c r="N15" s="2081"/>
      <c r="O15" s="2080"/>
      <c r="P15" s="2081"/>
      <c r="Q15" s="2027"/>
      <c r="R15" s="2027"/>
    </row>
    <row r="16" spans="1:19" ht="30.75" customHeight="1">
      <c r="A16" s="2062" t="s">
        <v>1802</v>
      </c>
      <c r="B16" s="3057"/>
      <c r="C16" s="3058"/>
      <c r="D16" s="3059"/>
      <c r="E16" s="2082" t="s">
        <v>1803</v>
      </c>
      <c r="F16" s="3060"/>
      <c r="G16" s="3061"/>
      <c r="H16" s="3061"/>
      <c r="I16" s="3062"/>
      <c r="J16" s="2027"/>
      <c r="K16" s="2079"/>
      <c r="L16" s="2080"/>
      <c r="M16" s="2080"/>
      <c r="N16" s="2081"/>
      <c r="O16" s="2080"/>
      <c r="P16" s="2081"/>
      <c r="Q16" s="2027"/>
      <c r="R16" s="2027"/>
    </row>
    <row r="17" spans="1:22" ht="18" customHeight="1">
      <c r="A17" s="2083" t="s">
        <v>1804</v>
      </c>
      <c r="B17" s="2033" t="s">
        <v>1805</v>
      </c>
      <c r="C17" s="1054">
        <f>'数据-汇总表'!E3</f>
        <v>2661.36</v>
      </c>
      <c r="D17" s="2084" t="s">
        <v>1806</v>
      </c>
      <c r="E17" s="3063" t="s">
        <v>3037</v>
      </c>
      <c r="F17" s="3064"/>
      <c r="G17" s="3064"/>
      <c r="H17" s="3064"/>
      <c r="I17" s="3065"/>
      <c r="J17" s="2027"/>
      <c r="K17" s="2085"/>
      <c r="L17" s="2080"/>
      <c r="M17" s="2080"/>
      <c r="N17" s="2081"/>
      <c r="O17" s="2080"/>
      <c r="P17" s="2081"/>
      <c r="Q17" s="2027"/>
      <c r="R17" s="2027"/>
      <c r="S17" s="2027"/>
      <c r="T17" s="2027"/>
      <c r="U17" s="2027"/>
      <c r="V17" s="2027"/>
    </row>
    <row r="18" spans="1:22" ht="36" customHeight="1" thickBot="1">
      <c r="A18" s="2086" t="s">
        <v>70</v>
      </c>
      <c r="B18" s="2036" t="s">
        <v>1807</v>
      </c>
      <c r="C18" s="1443">
        <f>'数据-汇总表'!D3</f>
        <v>666.75</v>
      </c>
      <c r="D18" s="2087" t="s">
        <v>1806</v>
      </c>
      <c r="E18" s="3066" t="s">
        <v>3044</v>
      </c>
      <c r="F18" s="3067"/>
      <c r="G18" s="3067"/>
      <c r="H18" s="3067"/>
      <c r="I18" s="3068"/>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t="s">
        <v>3038</v>
      </c>
      <c r="D19" s="2089" t="s">
        <v>1810</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1811</v>
      </c>
      <c r="B20" s="3053" t="s">
        <v>1812</v>
      </c>
      <c r="C20" s="3054"/>
      <c r="D20" s="3055" t="s">
        <v>1813</v>
      </c>
      <c r="E20" s="3056"/>
      <c r="F20" s="2094" t="s">
        <v>1814</v>
      </c>
      <c r="G20" s="2040"/>
      <c r="H20" s="2040"/>
      <c r="I20" s="2040"/>
      <c r="J20" s="2040"/>
      <c r="K20" s="3052" t="s">
        <v>1815</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6"/>
      <c r="N20" s="2081"/>
      <c r="O20" s="2080"/>
      <c r="P20" s="2081"/>
      <c r="Q20" s="2027"/>
      <c r="R20" s="2027"/>
      <c r="S20" s="2027"/>
      <c r="T20" s="2027"/>
      <c r="U20" s="2027"/>
      <c r="V20" s="2027"/>
    </row>
    <row r="21" spans="1:22" ht="24.75" customHeight="1">
      <c r="A21" s="2093"/>
      <c r="B21" s="2095" t="s">
        <v>1816</v>
      </c>
      <c r="C21" s="2096" t="s">
        <v>1817</v>
      </c>
      <c r="D21" s="2097"/>
      <c r="E21" s="2098" t="s">
        <v>70</v>
      </c>
      <c r="F21" s="2099"/>
      <c r="G21" s="2040"/>
      <c r="H21" s="2040"/>
      <c r="I21" s="2040"/>
      <c r="J21" s="2040"/>
      <c r="K21" s="305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1818</v>
      </c>
      <c r="C22" s="2096" t="s">
        <v>3039</v>
      </c>
      <c r="D22" s="2024"/>
      <c r="E22" s="2024"/>
      <c r="F22" s="2101"/>
      <c r="G22" s="2040"/>
      <c r="H22" s="2040"/>
      <c r="I22" s="2040"/>
      <c r="J22" s="2040"/>
      <c r="K22" s="305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1819</v>
      </c>
      <c r="B23" s="183" t="s">
        <v>1820</v>
      </c>
      <c r="C23" s="2945">
        <v>41793</v>
      </c>
      <c r="D23" s="2103" t="s">
        <v>1820</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1821</v>
      </c>
      <c r="C24" s="2946" t="s">
        <v>3045</v>
      </c>
      <c r="D24" s="2102" t="s">
        <v>1821</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1822</v>
      </c>
      <c r="C25" s="2107"/>
      <c r="D25" s="2102" t="s">
        <v>1822</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1823</v>
      </c>
      <c r="C26" s="2111"/>
      <c r="D26" s="2112" t="s">
        <v>1824</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70" t="s">
        <v>1825</v>
      </c>
      <c r="B27" s="2059" t="s">
        <v>1826</v>
      </c>
      <c r="C27" s="2115" t="s">
        <v>3040</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70"/>
      <c r="B28" s="2033" t="s">
        <v>1827</v>
      </c>
      <c r="C28" s="2117" t="s">
        <v>3041</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70"/>
      <c r="B29" s="2033" t="s">
        <v>1828</v>
      </c>
      <c r="C29" s="2120" t="s">
        <v>3042</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71"/>
      <c r="B30" s="2033" t="s">
        <v>1829</v>
      </c>
      <c r="C30" s="3072"/>
      <c r="D30" s="307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74" t="s">
        <v>1830</v>
      </c>
      <c r="B31" s="2122" t="s">
        <v>3043</v>
      </c>
      <c r="C31" s="2123" t="str">
        <f>IF(B31="现房","成新及维护状况正常否",IF(B31="在建","工程状态是否正常",IF(B31="土地","是否闲置","-")))</f>
        <v>成新及维护状况正常否</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75"/>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75"/>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1831</v>
      </c>
      <c r="B34" s="2129" t="s">
        <v>3046</v>
      </c>
      <c r="C34" s="2129" t="s">
        <v>3047</v>
      </c>
      <c r="D34" s="2129" t="s">
        <v>3048</v>
      </c>
      <c r="E34" s="2129" t="s">
        <v>3049</v>
      </c>
      <c r="F34" s="2129" t="s">
        <v>3050</v>
      </c>
      <c r="G34" s="2129" t="s">
        <v>3051</v>
      </c>
      <c r="H34" s="2129"/>
      <c r="I34" s="2040"/>
      <c r="J34" s="2040"/>
      <c r="K34" s="1793">
        <f>COUNTIF(B34:H34,"——")</f>
        <v>0</v>
      </c>
      <c r="L34" s="2071" t="s">
        <v>1832</v>
      </c>
      <c r="M34" s="2071" t="s">
        <v>1833</v>
      </c>
      <c r="N34" s="2071" t="s">
        <v>1834</v>
      </c>
      <c r="O34" s="2071" t="s">
        <v>1835</v>
      </c>
      <c r="P34" s="2071" t="s">
        <v>1836</v>
      </c>
      <c r="Q34" s="2071" t="s">
        <v>1837</v>
      </c>
      <c r="R34" s="2071" t="s">
        <v>1838</v>
      </c>
      <c r="S34" s="3069" t="s">
        <v>1839</v>
      </c>
      <c r="T34" s="2130" t="str">
        <f>NUMBERSTRING(7-K34,1)&amp;"通"</f>
        <v>七通</v>
      </c>
      <c r="U34" s="2027"/>
      <c r="V34" s="2027"/>
    </row>
    <row r="35" spans="1:22" ht="18" customHeight="1">
      <c r="A35" s="2131"/>
      <c r="B35" s="3076" t="s">
        <v>1840</v>
      </c>
      <c r="C35" s="3076"/>
      <c r="D35" s="3076"/>
      <c r="E35" s="3076"/>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9"/>
      <c r="T35" s="48" t="str">
        <f>IF(T34="一通",L35,IF(T34="二通",M35,IF(T34="三通",N35,IF(T34="四通",O35,IF(T34="五通",P35,IF(T34="六通",Q35,R35))))))</f>
        <v>通路、通电、通讯、通上水、通下水、燃气、</v>
      </c>
      <c r="U35" s="2027"/>
      <c r="V35" s="2027"/>
    </row>
    <row r="36" spans="1:22" ht="18" customHeight="1">
      <c r="A36" s="2133"/>
      <c r="B36" s="2132" t="s">
        <v>1841</v>
      </c>
      <c r="C36" s="2132" t="s">
        <v>1842</v>
      </c>
      <c r="D36" s="2132" t="s">
        <v>1843</v>
      </c>
      <c r="E36" s="2132" t="s">
        <v>1844</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1845</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1846</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1848</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1849</v>
      </c>
      <c r="B42" s="1793" t="s">
        <v>1850</v>
      </c>
      <c r="C42" s="1793" t="s">
        <v>1851</v>
      </c>
      <c r="D42" s="1793" t="s">
        <v>1852</v>
      </c>
      <c r="E42" s="1793" t="s">
        <v>1853</v>
      </c>
      <c r="F42" s="1793" t="s">
        <v>1854</v>
      </c>
      <c r="G42" s="1793" t="s">
        <v>1855</v>
      </c>
      <c r="H42" s="1793" t="s">
        <v>1856</v>
      </c>
      <c r="I42" s="1793" t="s">
        <v>1857</v>
      </c>
      <c r="J42" s="2148" t="s">
        <v>1858</v>
      </c>
      <c r="K42" s="2072" t="s">
        <v>1859</v>
      </c>
      <c r="L42" s="2072" t="s">
        <v>1860</v>
      </c>
      <c r="M42" s="2072" t="s">
        <v>1861</v>
      </c>
      <c r="N42" s="1793" t="s">
        <v>1862</v>
      </c>
      <c r="O42" s="1793" t="s">
        <v>1863</v>
      </c>
      <c r="P42" s="1793" t="s">
        <v>1864</v>
      </c>
      <c r="Q42" s="2071" t="s">
        <v>1865</v>
      </c>
      <c r="R42" s="2071" t="s">
        <v>1866</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666.75</v>
      </c>
      <c r="B3" s="14">
        <f>IF(C3="否",G5-AT5,G5)</f>
        <v>2661.36</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1876</v>
      </c>
      <c r="B5" s="1801"/>
      <c r="C5" s="1801"/>
      <c r="D5" s="1804"/>
      <c r="E5" s="16" t="s">
        <v>1</v>
      </c>
      <c r="F5" s="16">
        <f>SUM(F13:F587)</f>
        <v>0</v>
      </c>
      <c r="G5" s="16">
        <f>SUM(G13:G587)</f>
        <v>2661.36</v>
      </c>
      <c r="H5" s="16">
        <f t="shared" ref="H5:AT5" si="0">SUM(H13:H656)</f>
        <v>2661.36</v>
      </c>
      <c r="I5" s="16">
        <f t="shared" si="0"/>
        <v>2661.36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2661.36</v>
      </c>
      <c r="BA5" s="18">
        <f t="shared" si="1"/>
        <v>2661.36</v>
      </c>
      <c r="BB5" s="18">
        <f t="shared" si="1"/>
        <v>2661.36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1877</v>
      </c>
      <c r="B6" s="2170"/>
      <c r="C6" s="2170"/>
      <c r="D6" s="2171"/>
      <c r="E6" s="16">
        <f>H6+AC6+AT6</f>
        <v>666.75</v>
      </c>
      <c r="F6" s="16" t="s">
        <v>1</v>
      </c>
      <c r="G6" s="16" t="s">
        <v>2</v>
      </c>
      <c r="H6" s="20">
        <f>SUMIF(I$12:AB$12,"总值",I6:AB6)</f>
        <v>666.75</v>
      </c>
      <c r="I6" s="16">
        <f t="shared" ref="I6:AB6" si="2">ROUND($A$3*I5/$B$3,2)</f>
        <v>666.75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1877</v>
      </c>
      <c r="AW6" s="2170"/>
      <c r="AX6" s="2170"/>
      <c r="AY6" s="21">
        <f>IF(AY3&gt;0,AY3,ROUND($A$3*AZ5/$B$3,2))</f>
        <v>666.75</v>
      </c>
      <c r="AZ6" s="16" t="s">
        <v>3</v>
      </c>
      <c r="BA6" s="16">
        <f>ROUND($AY$6*BA5/$AZ$5,2)</f>
        <v>666.75</v>
      </c>
      <c r="BB6" s="16">
        <f>ROUND($AY$6*BB5/$AZ$5,2)</f>
        <v>666.75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1885</v>
      </c>
      <c r="AV7" s="23" t="s">
        <v>1886</v>
      </c>
      <c r="AW7" s="2162" t="s">
        <v>1887</v>
      </c>
      <c r="AX7" s="23" t="s">
        <v>1880</v>
      </c>
      <c r="AY7" s="1801"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6"/>
      <c r="K8" s="1816"/>
      <c r="L8" s="1816"/>
      <c r="M8" s="1816"/>
      <c r="N8" s="1816"/>
      <c r="O8" s="1816"/>
      <c r="P8" s="1816"/>
      <c r="Q8" s="1816"/>
      <c r="R8" s="1816"/>
      <c r="S8" s="1816"/>
      <c r="T8" s="1816"/>
      <c r="U8" s="1816"/>
      <c r="V8" s="2182"/>
      <c r="W8" s="1816"/>
      <c r="X8" s="1816"/>
      <c r="Y8" s="1816"/>
      <c r="Z8" s="1816"/>
      <c r="AA8" s="2182"/>
      <c r="AB8" s="2183"/>
      <c r="AC8" s="983" t="s">
        <v>1891</v>
      </c>
      <c r="AD8" s="2184"/>
      <c r="AE8" s="2176"/>
      <c r="AF8" s="1816"/>
      <c r="AG8" s="1816"/>
      <c r="AH8" s="1816"/>
      <c r="AI8" s="1816"/>
      <c r="AJ8" s="1816"/>
      <c r="AK8" s="1816"/>
      <c r="AL8" s="1816"/>
      <c r="AM8" s="1816"/>
      <c r="AN8" s="1816"/>
      <c r="AO8" s="1816"/>
      <c r="AP8" s="1816"/>
      <c r="AQ8" s="1816"/>
      <c r="AR8" s="1816"/>
      <c r="AS8" s="1816"/>
      <c r="AT8" s="1291" t="s">
        <v>1892</v>
      </c>
      <c r="AU8" s="2178" t="s">
        <v>1893</v>
      </c>
      <c r="AV8" s="1291"/>
      <c r="AW8" s="2161"/>
      <c r="AX8" s="1291"/>
      <c r="AY8" s="2162"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1"/>
      <c r="H9" s="2186" t="s">
        <v>1896</v>
      </c>
      <c r="I9" s="2950" t="s">
        <v>3059</v>
      </c>
      <c r="J9" s="983"/>
      <c r="K9" s="2187"/>
      <c r="L9" s="983"/>
      <c r="M9" s="2187"/>
      <c r="N9" s="983"/>
      <c r="O9" s="2187"/>
      <c r="P9" s="983"/>
      <c r="Q9" s="2187"/>
      <c r="R9" s="983"/>
      <c r="S9" s="2187"/>
      <c r="T9" s="983"/>
      <c r="U9" s="2187"/>
      <c r="V9" s="983"/>
      <c r="W9" s="2187"/>
      <c r="X9" s="2188"/>
      <c r="Y9" s="2187"/>
      <c r="Z9" s="983"/>
      <c r="AA9" s="2187"/>
      <c r="AB9" s="983"/>
      <c r="AC9" s="2179"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89"/>
      <c r="AT9" s="2178"/>
      <c r="AU9" s="2178" t="s">
        <v>1899</v>
      </c>
      <c r="AV9" s="1291"/>
      <c r="AW9" s="2161"/>
      <c r="AX9" s="1291"/>
      <c r="AY9" s="28"/>
      <c r="AZ9" s="28" t="s">
        <v>1889</v>
      </c>
      <c r="BA9" s="2190" t="s">
        <v>1900</v>
      </c>
      <c r="BB9" s="2191"/>
      <c r="BC9" s="1337"/>
      <c r="BD9" s="1337"/>
      <c r="BE9" s="1337"/>
      <c r="BF9" s="1337"/>
      <c r="BG9" s="1337"/>
      <c r="BH9" s="1337"/>
      <c r="BI9" s="1337"/>
      <c r="BJ9" s="1337"/>
      <c r="BK9" s="2192"/>
      <c r="BL9" s="15" t="s">
        <v>1901</v>
      </c>
      <c r="BM9" s="1816"/>
      <c r="BN9" s="2181"/>
      <c r="BO9" s="1816"/>
      <c r="BP9" s="1816"/>
      <c r="BQ9" s="1816"/>
      <c r="BR9" s="1816"/>
      <c r="BS9" s="1816"/>
      <c r="BT9" s="26"/>
    </row>
    <row r="10" spans="1:72" s="2185" customFormat="1" ht="12.75">
      <c r="A10" s="2178"/>
      <c r="B10" s="2178"/>
      <c r="C10" s="2178"/>
      <c r="D10" s="2178"/>
      <c r="E10" s="2178"/>
      <c r="F10" s="2178"/>
      <c r="G10" s="1291"/>
      <c r="H10" s="28"/>
      <c r="I10" s="2950" t="s">
        <v>1377</v>
      </c>
      <c r="J10" s="983"/>
      <c r="K10" s="2193"/>
      <c r="L10" s="983"/>
      <c r="M10" s="2193"/>
      <c r="N10" s="983"/>
      <c r="O10" s="2193"/>
      <c r="P10" s="983"/>
      <c r="Q10" s="2193"/>
      <c r="R10" s="983"/>
      <c r="S10" s="2193"/>
      <c r="T10" s="983"/>
      <c r="U10" s="2193"/>
      <c r="V10" s="983"/>
      <c r="W10" s="2193"/>
      <c r="X10" s="983"/>
      <c r="Y10" s="2193"/>
      <c r="Z10" s="983"/>
      <c r="AA10" s="2193"/>
      <c r="AB10" s="983"/>
      <c r="AC10" s="1291"/>
      <c r="AD10" s="15" t="s">
        <v>1902</v>
      </c>
      <c r="AE10" s="2194"/>
      <c r="AF10" s="15" t="s">
        <v>1902</v>
      </c>
      <c r="AG10" s="2194"/>
      <c r="AH10" s="15" t="s">
        <v>1903</v>
      </c>
      <c r="AI10" s="2194"/>
      <c r="AJ10" s="15" t="s">
        <v>1903</v>
      </c>
      <c r="AK10" s="2194"/>
      <c r="AL10" s="15" t="s">
        <v>1904</v>
      </c>
      <c r="AM10" s="1297"/>
      <c r="AN10" s="15" t="s">
        <v>1904</v>
      </c>
      <c r="AO10" s="1297"/>
      <c r="AP10" s="15" t="s">
        <v>1905</v>
      </c>
      <c r="AQ10" s="1297"/>
      <c r="AR10" s="15" t="s">
        <v>1905</v>
      </c>
      <c r="AS10" s="1297"/>
      <c r="AT10" s="2178"/>
      <c r="AU10" s="2178"/>
      <c r="AV10" s="1291"/>
      <c r="AW10" s="2161"/>
      <c r="AX10" s="1291"/>
      <c r="AY10" s="28"/>
      <c r="AZ10" s="28"/>
      <c r="BA10" s="2195" t="s">
        <v>1896</v>
      </c>
      <c r="BB10" s="2196"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1"/>
      <c r="H11" s="2195"/>
      <c r="I11" s="2951" t="s">
        <v>3060</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1906</v>
      </c>
      <c r="AE11" s="1817"/>
      <c r="AF11" s="2200" t="s">
        <v>1906</v>
      </c>
      <c r="AG11" s="1817"/>
      <c r="AH11" s="2200" t="s">
        <v>1907</v>
      </c>
      <c r="AI11" s="2201"/>
      <c r="AJ11" s="2200" t="s">
        <v>1907</v>
      </c>
      <c r="AK11" s="1817"/>
      <c r="AL11" s="1815"/>
      <c r="AM11" s="1817"/>
      <c r="AN11" s="1815"/>
      <c r="AO11" s="1817"/>
      <c r="AP11" s="1815"/>
      <c r="AQ11" s="1817"/>
      <c r="AR11" s="1815"/>
      <c r="AS11" s="1817"/>
      <c r="AT11" s="2161"/>
      <c r="AU11" s="2178"/>
      <c r="AV11" s="1291"/>
      <c r="AW11" s="2161"/>
      <c r="AX11" s="1291"/>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5"/>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3" t="s">
        <v>1909</v>
      </c>
      <c r="AT12" s="2206"/>
      <c r="AU12" s="2203"/>
      <c r="AV12" s="31"/>
      <c r="AW12" s="2162"/>
      <c r="AX12" s="31"/>
      <c r="AY12" s="2207"/>
      <c r="AZ12" s="28"/>
      <c r="BA12" s="2195"/>
      <c r="BB12" s="24" t="str">
        <f>I11</f>
        <v>底商</v>
      </c>
      <c r="BC12" s="2208">
        <f>K11</f>
        <v>0</v>
      </c>
      <c r="BD12" s="2208">
        <f>M11</f>
        <v>0</v>
      </c>
      <c r="BE12" s="2183">
        <f>O11</f>
        <v>0</v>
      </c>
      <c r="BF12" s="2183">
        <f>Q11</f>
        <v>0</v>
      </c>
      <c r="BG12" s="2183">
        <f>S11</f>
        <v>0</v>
      </c>
      <c r="BH12" s="2183">
        <f>U11</f>
        <v>0</v>
      </c>
      <c r="BI12" s="2183">
        <f>W11</f>
        <v>0</v>
      </c>
      <c r="BJ12" s="2183">
        <f>Y11</f>
        <v>0</v>
      </c>
      <c r="BK12" s="2183">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1271"/>
      <c r="B13" s="2999" t="s">
        <v>3168</v>
      </c>
      <c r="C13" s="2988" t="s">
        <v>3163</v>
      </c>
      <c r="D13" s="2989" t="s">
        <v>3038</v>
      </c>
      <c r="E13" s="2990">
        <f>IF($C$3="是",ROUND($A$3*G13/$B$3,2),ROUND($A$3*(G13-AT13)/$B$3,2))</f>
        <v>65.62</v>
      </c>
      <c r="F13" s="2991"/>
      <c r="G13" s="2992">
        <f>H13+AC13+AT13</f>
        <v>261.92</v>
      </c>
      <c r="H13" s="2993">
        <f>SUMIF(I$12:AB$12,"总值",I13:AB13)</f>
        <v>261.92</v>
      </c>
      <c r="I13" s="2994">
        <v>261.92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t="str">
        <f t="shared" si="6"/>
        <v>出租</v>
      </c>
      <c r="AX13" s="11" t="str">
        <f t="shared" si="6"/>
        <v>1-1</v>
      </c>
      <c r="AY13" s="1804">
        <f>ROUND($AY$6*AZ13/$AZ$5,2)</f>
        <v>65.62</v>
      </c>
      <c r="AZ13" s="16">
        <f>BA13+BL13</f>
        <v>261.92</v>
      </c>
      <c r="BA13" s="16">
        <f>SUM(BB13:BK13)</f>
        <v>261.92</v>
      </c>
      <c r="BB13" s="16">
        <f>IF($D13="是",I13-J13,0)</f>
        <v>261.92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c r="A14" s="1271"/>
      <c r="B14" s="2999" t="s">
        <v>3169</v>
      </c>
      <c r="C14" s="2988" t="s">
        <v>3164</v>
      </c>
      <c r="D14" s="2989" t="s">
        <v>3038</v>
      </c>
      <c r="E14" s="2990">
        <f>IF($C$3="是",ROUND($A$3*G14/$B$3,2),ROUND($A$3*(G14-AT14)/$B$3,2))</f>
        <v>79.09</v>
      </c>
      <c r="F14" s="2991"/>
      <c r="G14" s="2992">
        <f>H14+AC14+AT14</f>
        <v>315.70999999999998</v>
      </c>
      <c r="H14" s="2993">
        <f>SUMIF(I$12:AB$12,"总值",I14:AB14)</f>
        <v>315.70999999999998</v>
      </c>
      <c r="I14" s="2994">
        <v>315.70999999999998</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t="str">
        <f t="shared" si="6"/>
        <v>出租</v>
      </c>
      <c r="AX14" s="11" t="str">
        <f t="shared" si="6"/>
        <v>1-2</v>
      </c>
      <c r="AY14" s="1804">
        <f>ROUND($AY$6*AZ14/$AZ$5,2)</f>
        <v>79.09</v>
      </c>
      <c r="AZ14" s="16">
        <f>BA14+BL14</f>
        <v>315.70999999999998</v>
      </c>
      <c r="BA14" s="16">
        <f>SUM(BB14:BK14)</f>
        <v>315.70999999999998</v>
      </c>
      <c r="BB14" s="16">
        <f>IF($D14="是",I14-J14,0)</f>
        <v>315.70999999999998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c r="A15" s="1271"/>
      <c r="B15" s="1271"/>
      <c r="C15" s="2949" t="s">
        <v>3165</v>
      </c>
      <c r="D15" s="2980" t="s">
        <v>3038</v>
      </c>
      <c r="E15" s="16">
        <f>IF($C$3="是",ROUND($A$3*G15/$B$3,2),ROUND($A$3*(G15-AT15)/$B$3,2))</f>
        <v>53.96</v>
      </c>
      <c r="F15" s="32"/>
      <c r="G15" s="33">
        <f>H15+AC15+AT15</f>
        <v>215.38</v>
      </c>
      <c r="H15" s="20">
        <f>SUMIF(I$12:AB$12,"总值",I15:AB15)</f>
        <v>215.38</v>
      </c>
      <c r="I15" s="39">
        <v>215.38</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1-3</v>
      </c>
      <c r="AY15" s="1804">
        <f>ROUND($AY$6*AZ15/$AZ$5,2)</f>
        <v>53.96</v>
      </c>
      <c r="AZ15" s="16">
        <f>BA15+BL15</f>
        <v>215.38</v>
      </c>
      <c r="BA15" s="16">
        <f>SUM(BB15:BK15)</f>
        <v>215.38</v>
      </c>
      <c r="BB15" s="16">
        <f>IF($D15="是",I15-J15,0)</f>
        <v>215.38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1271"/>
      <c r="B16" s="2999" t="s">
        <v>3168</v>
      </c>
      <c r="C16" s="2988" t="s">
        <v>3166</v>
      </c>
      <c r="D16" s="2989" t="s">
        <v>3038</v>
      </c>
      <c r="E16" s="2990">
        <f>IF($C$3="是",ROUND($A$3*G16/$B$3,2),ROUND($A$3*(G16-AT16)/$B$3,2))</f>
        <v>72.400000000000006</v>
      </c>
      <c r="F16" s="2991"/>
      <c r="G16" s="2992">
        <f>H16+AC16+AT16</f>
        <v>289</v>
      </c>
      <c r="H16" s="2993">
        <f>SUMIF(I$12:AB$12,"总值",I16:AB16)</f>
        <v>289</v>
      </c>
      <c r="I16" s="2994">
        <v>289</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t="str">
        <f t="shared" si="6"/>
        <v>出租</v>
      </c>
      <c r="AX16" s="11" t="str">
        <f t="shared" si="6"/>
        <v>1-4</v>
      </c>
      <c r="AY16" s="1804">
        <f>ROUND($AY$6*AZ16/$AZ$5,2)</f>
        <v>72.400000000000006</v>
      </c>
      <c r="AZ16" s="16">
        <f>BA16+BL16</f>
        <v>289</v>
      </c>
      <c r="BA16" s="16">
        <f>SUM(BB16:BK16)</f>
        <v>289</v>
      </c>
      <c r="BB16" s="16">
        <f>IF($D16="是",I16-J16,0)</f>
        <v>289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1271"/>
      <c r="B17" s="1271"/>
      <c r="C17" s="2949" t="s">
        <v>3167</v>
      </c>
      <c r="D17" s="2980" t="s">
        <v>3038</v>
      </c>
      <c r="E17" s="16">
        <f>IF($C$3="是",ROUND($A$3*G17/$B$3,2),ROUND($A$3*(G17-AT17)/$B$3,2))</f>
        <v>47.62</v>
      </c>
      <c r="F17" s="32"/>
      <c r="G17" s="33">
        <f>H17+AC17+AT17</f>
        <v>190.09</v>
      </c>
      <c r="H17" s="20">
        <f>SUMIF(I$12:AB$12,"总值",I17:AB17)</f>
        <v>190.09</v>
      </c>
      <c r="I17" s="39">
        <v>190.09</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1-5</v>
      </c>
      <c r="AY17" s="1804">
        <f>ROUND($AY$6*AZ17/$AZ$5,2)</f>
        <v>47.62</v>
      </c>
      <c r="AZ17" s="16">
        <f>BA17+BL17</f>
        <v>190.09</v>
      </c>
      <c r="BA17" s="16">
        <f>SUM(BB17:BK17)</f>
        <v>190.09</v>
      </c>
      <c r="BB17" s="16">
        <f>IF($D17="是",I17-J17,0)</f>
        <v>190.09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99" t="s">
        <v>3168</v>
      </c>
      <c r="C18" s="2988" t="s">
        <v>3053</v>
      </c>
      <c r="D18" s="2989" t="s">
        <v>3038</v>
      </c>
      <c r="E18" s="2995">
        <f t="shared" ref="E18:E112" si="7">IF($C$3="是",ROUND($A$3*G18/$B$3,2),ROUND($A$3*(G18-AT18)/$B$3,2))</f>
        <v>46.71</v>
      </c>
      <c r="F18" s="2996"/>
      <c r="G18" s="2997">
        <f t="shared" ref="G18:G109" si="8">H18+AC18+AT18</f>
        <v>186.43</v>
      </c>
      <c r="H18" s="2998">
        <f t="shared" ref="H18:H109" si="9">SUMIF(I$12:AB$12,"总值",I18:AB18)</f>
        <v>186.43</v>
      </c>
      <c r="I18" s="2994">
        <v>186.43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t="str">
        <f t="shared" ref="AW18:AW112" si="12">B18</f>
        <v>出租</v>
      </c>
      <c r="AX18" s="1793" t="str">
        <f t="shared" ref="AX18:AX112" si="13">C18</f>
        <v>1-6</v>
      </c>
      <c r="AY18" s="42">
        <f t="shared" ref="AY18:AY109" si="14">ROUND($AY$6*AZ18/$AZ$5,2)</f>
        <v>46.71</v>
      </c>
      <c r="AZ18" s="35">
        <f t="shared" ref="AZ18:AZ109" si="15">BA18+BL18</f>
        <v>186.43</v>
      </c>
      <c r="BA18" s="35">
        <f t="shared" ref="BA18:BA109" si="16">SUM(BB18:BK18)</f>
        <v>186.43</v>
      </c>
      <c r="BB18" s="35">
        <f t="shared" ref="BB18:BB109" si="17">IF($D18="是",I18-J18,0)</f>
        <v>186.43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99" t="s">
        <v>3170</v>
      </c>
      <c r="C19" s="2988" t="s">
        <v>3054</v>
      </c>
      <c r="D19" s="2989" t="s">
        <v>3038</v>
      </c>
      <c r="E19" s="2995">
        <f t="shared" si="7"/>
        <v>69.53</v>
      </c>
      <c r="F19" s="2996"/>
      <c r="G19" s="2997">
        <f t="shared" si="8"/>
        <v>277.52</v>
      </c>
      <c r="H19" s="2998">
        <f t="shared" si="9"/>
        <v>277.52</v>
      </c>
      <c r="I19" s="2994">
        <v>277.52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t="str">
        <f t="shared" si="12"/>
        <v>出租</v>
      </c>
      <c r="AX19" s="1793" t="str">
        <f t="shared" si="13"/>
        <v>1-7</v>
      </c>
      <c r="AY19" s="42">
        <f t="shared" si="14"/>
        <v>69.53</v>
      </c>
      <c r="AZ19" s="35">
        <f t="shared" si="15"/>
        <v>277.52</v>
      </c>
      <c r="BA19" s="35">
        <f t="shared" si="16"/>
        <v>277.52</v>
      </c>
      <c r="BB19" s="35">
        <f t="shared" si="17"/>
        <v>277.52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99" t="s">
        <v>3171</v>
      </c>
      <c r="C20" s="2988" t="s">
        <v>3055</v>
      </c>
      <c r="D20" s="2989" t="s">
        <v>3038</v>
      </c>
      <c r="E20" s="2995">
        <f t="shared" si="7"/>
        <v>46.32</v>
      </c>
      <c r="F20" s="2996"/>
      <c r="G20" s="2997">
        <f t="shared" si="8"/>
        <v>184.87</v>
      </c>
      <c r="H20" s="2998">
        <f t="shared" si="9"/>
        <v>184.87</v>
      </c>
      <c r="I20" s="2994">
        <v>184.87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t="str">
        <f t="shared" si="12"/>
        <v>出租</v>
      </c>
      <c r="AX20" s="1793" t="str">
        <f t="shared" si="13"/>
        <v>1-11</v>
      </c>
      <c r="AY20" s="42">
        <f t="shared" si="14"/>
        <v>46.32</v>
      </c>
      <c r="AZ20" s="35">
        <f t="shared" si="15"/>
        <v>184.87</v>
      </c>
      <c r="BA20" s="35">
        <f t="shared" si="16"/>
        <v>184.87</v>
      </c>
      <c r="BB20" s="35">
        <f t="shared" si="17"/>
        <v>184.87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99" t="s">
        <v>3171</v>
      </c>
      <c r="C21" s="2988" t="s">
        <v>3056</v>
      </c>
      <c r="D21" s="2989" t="s">
        <v>3038</v>
      </c>
      <c r="E21" s="2995">
        <f t="shared" si="7"/>
        <v>47.71</v>
      </c>
      <c r="F21" s="2996"/>
      <c r="G21" s="2997">
        <f t="shared" si="8"/>
        <v>190.44</v>
      </c>
      <c r="H21" s="2998">
        <f t="shared" si="9"/>
        <v>190.44</v>
      </c>
      <c r="I21" s="2994">
        <v>190.44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t="str">
        <f t="shared" si="12"/>
        <v>出租</v>
      </c>
      <c r="AX21" s="1793" t="str">
        <f t="shared" si="13"/>
        <v>1-12</v>
      </c>
      <c r="AY21" s="42">
        <f t="shared" si="14"/>
        <v>47.71</v>
      </c>
      <c r="AZ21" s="35">
        <f t="shared" si="15"/>
        <v>190.44</v>
      </c>
      <c r="BA21" s="35">
        <f t="shared" si="16"/>
        <v>190.44</v>
      </c>
      <c r="BB21" s="35">
        <f t="shared" si="17"/>
        <v>190.44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99" t="s">
        <v>3171</v>
      </c>
      <c r="C22" s="2988" t="s">
        <v>3057</v>
      </c>
      <c r="D22" s="2989" t="s">
        <v>3038</v>
      </c>
      <c r="E22" s="2995">
        <f t="shared" si="7"/>
        <v>70.86</v>
      </c>
      <c r="F22" s="2996"/>
      <c r="G22" s="2997">
        <f t="shared" si="8"/>
        <v>282.83</v>
      </c>
      <c r="H22" s="2998">
        <f t="shared" si="9"/>
        <v>282.83</v>
      </c>
      <c r="I22" s="2994">
        <v>282.83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t="str">
        <f t="shared" si="12"/>
        <v>出租</v>
      </c>
      <c r="AX22" s="1793" t="str">
        <f t="shared" si="13"/>
        <v>1-13</v>
      </c>
      <c r="AY22" s="42">
        <f t="shared" si="14"/>
        <v>70.86</v>
      </c>
      <c r="AZ22" s="35">
        <f t="shared" si="15"/>
        <v>282.83</v>
      </c>
      <c r="BA22" s="35">
        <f t="shared" si="16"/>
        <v>282.83</v>
      </c>
      <c r="BB22" s="35">
        <f t="shared" si="17"/>
        <v>282.83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99" t="s">
        <v>3171</v>
      </c>
      <c r="C23" s="2988" t="s">
        <v>3058</v>
      </c>
      <c r="D23" s="2989" t="s">
        <v>3038</v>
      </c>
      <c r="E23" s="2995">
        <f t="shared" si="7"/>
        <v>66.930000000000007</v>
      </c>
      <c r="F23" s="2996"/>
      <c r="G23" s="2997">
        <f t="shared" si="8"/>
        <v>267.17</v>
      </c>
      <c r="H23" s="2998">
        <f t="shared" si="9"/>
        <v>267.17</v>
      </c>
      <c r="I23" s="2994">
        <v>267.17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t="str">
        <f t="shared" si="12"/>
        <v>出租</v>
      </c>
      <c r="AX23" s="1793" t="str">
        <f t="shared" si="13"/>
        <v>1-15</v>
      </c>
      <c r="AY23" s="42">
        <f t="shared" si="14"/>
        <v>66.930000000000007</v>
      </c>
      <c r="AZ23" s="35">
        <f t="shared" si="15"/>
        <v>267.17</v>
      </c>
      <c r="BA23" s="35">
        <f t="shared" si="16"/>
        <v>267.17</v>
      </c>
      <c r="BB23" s="35">
        <f t="shared" si="17"/>
        <v>267.17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1935</v>
      </c>
      <c r="B1" s="1391"/>
      <c r="C1" s="1391"/>
      <c r="D1" s="1391"/>
      <c r="E1" s="1391"/>
      <c r="F1" s="1391"/>
      <c r="G1" s="1391"/>
      <c r="H1" s="1391"/>
      <c r="I1" s="1391"/>
      <c r="J1" s="1391"/>
      <c r="K1" s="1391"/>
      <c r="L1" s="1391"/>
      <c r="M1" s="1391"/>
      <c r="N1" s="1391"/>
      <c r="O1" s="1391"/>
      <c r="P1" s="1391"/>
    </row>
    <row r="2" spans="1:16" ht="15">
      <c r="A2" s="3088" t="s">
        <v>1936</v>
      </c>
      <c r="B2" s="3088"/>
      <c r="C2" s="3088"/>
      <c r="D2" s="969" t="s">
        <v>1912</v>
      </c>
      <c r="E2" s="2222" t="s">
        <v>1913</v>
      </c>
      <c r="F2" s="1391"/>
      <c r="G2" s="2223"/>
      <c r="H2" s="2224"/>
      <c r="I2" s="2225" t="s">
        <v>1937</v>
      </c>
      <c r="J2" s="1391"/>
      <c r="K2" s="1391"/>
      <c r="L2" s="1391"/>
      <c r="M2" s="1391"/>
      <c r="N2" s="1426"/>
      <c r="O2" s="1391"/>
      <c r="P2" s="1391"/>
    </row>
    <row r="3" spans="1:16" ht="15.75" thickBot="1">
      <c r="A3" s="3089" t="s">
        <v>1910</v>
      </c>
      <c r="B3" s="3089"/>
      <c r="C3" s="3089"/>
      <c r="D3" s="46">
        <f>'数据-基础表'!AY6</f>
        <v>666.75</v>
      </c>
      <c r="E3" s="46">
        <f>'数据-基础表'!AZ5</f>
        <v>2661.36</v>
      </c>
      <c r="F3" s="1391"/>
      <c r="G3" s="1398"/>
      <c r="H3" s="1246" t="s">
        <v>1911</v>
      </c>
      <c r="I3" s="55">
        <f>ROUND('数据-基础表'!B3/'数据-基础表'!A3,2)</f>
        <v>3.99</v>
      </c>
      <c r="J3" s="1391"/>
      <c r="K3" s="1391"/>
      <c r="L3" s="1391"/>
      <c r="M3" s="1391"/>
      <c r="N3" s="1426"/>
      <c r="O3" s="1391"/>
      <c r="P3" s="1391"/>
    </row>
    <row r="4" spans="1:16" ht="15">
      <c r="A4" s="3090"/>
      <c r="B4" s="3091"/>
      <c r="C4" s="3092"/>
      <c r="D4" s="2226" t="s">
        <v>1912</v>
      </c>
      <c r="E4" s="2227" t="s">
        <v>1913</v>
      </c>
      <c r="F4" s="1391"/>
      <c r="G4" s="2228" t="s">
        <v>1938</v>
      </c>
      <c r="H4" s="1246" t="s">
        <v>1918</v>
      </c>
      <c r="I4" s="55">
        <f>ROUND(SUMIF('数据-基础表'!I9:AS9,"地上",'数据-基础表'!I5:AS5)/'数据-基础表'!A3,2)</f>
        <v>3.99</v>
      </c>
      <c r="J4" s="1391"/>
      <c r="K4" s="1391"/>
      <c r="L4" s="1391"/>
      <c r="M4" s="1391"/>
      <c r="N4" s="1426"/>
      <c r="O4" s="1391"/>
      <c r="P4" s="1391"/>
    </row>
    <row r="5" spans="1:16">
      <c r="A5" s="47" t="s">
        <v>1914</v>
      </c>
      <c r="B5" s="3093" t="s">
        <v>1915</v>
      </c>
      <c r="C5" s="3093"/>
      <c r="D5" s="48">
        <f>ROUND($D$3*E5/$E$3,2)</f>
        <v>0</v>
      </c>
      <c r="E5" s="49">
        <f>SUMIF('数据-基础表'!$11:$11,"住宅",'数据-基础表'!$5:$5)</f>
        <v>0</v>
      </c>
      <c r="F5" s="1391"/>
      <c r="G5" s="1398"/>
      <c r="H5" s="1246" t="s">
        <v>1911</v>
      </c>
      <c r="I5" s="55">
        <f>ROUND(E31/D31,2)</f>
        <v>3.99</v>
      </c>
      <c r="J5" s="1391"/>
      <c r="K5" s="1391"/>
      <c r="L5" s="1391"/>
      <c r="M5" s="1391"/>
      <c r="N5" s="1391"/>
      <c r="O5" s="1391"/>
      <c r="P5" s="1391"/>
    </row>
    <row r="6" spans="1:16" ht="15" thickBot="1">
      <c r="A6" s="2229"/>
      <c r="B6" s="3093" t="s">
        <v>1916</v>
      </c>
      <c r="C6" s="3093"/>
      <c r="D6" s="48">
        <f>ROUND($D$3*E6/$E$3,2)</f>
        <v>666.75</v>
      </c>
      <c r="E6" s="49">
        <f>E3-E5</f>
        <v>2661.36</v>
      </c>
      <c r="F6" s="1391"/>
      <c r="G6" s="2230" t="s">
        <v>1917</v>
      </c>
      <c r="H6" s="1398" t="s">
        <v>1918</v>
      </c>
      <c r="I6" s="941">
        <f>ROUND(F31/D31,2)</f>
        <v>3.99</v>
      </c>
      <c r="J6" s="1391"/>
      <c r="K6" s="1391"/>
      <c r="L6" s="1391"/>
      <c r="M6" s="1391"/>
      <c r="N6" s="1391"/>
      <c r="O6" s="1391"/>
      <c r="P6" s="1391"/>
    </row>
    <row r="7" spans="1:16" ht="15">
      <c r="A7" s="3085"/>
      <c r="B7" s="3086"/>
      <c r="C7" s="3087"/>
      <c r="D7" s="2226" t="s">
        <v>1912</v>
      </c>
      <c r="E7" s="2231" t="s">
        <v>1919</v>
      </c>
      <c r="F7" s="1391"/>
      <c r="G7" s="2223" t="s">
        <v>1920</v>
      </c>
      <c r="H7" s="64"/>
      <c r="I7" s="420"/>
      <c r="J7" s="1391"/>
      <c r="K7" s="1391"/>
      <c r="L7" s="1391"/>
      <c r="M7" s="1391"/>
      <c r="N7" s="1391"/>
      <c r="O7" s="1391"/>
      <c r="P7" s="1391"/>
    </row>
    <row r="8" spans="1:16">
      <c r="A8" s="47" t="s">
        <v>1921</v>
      </c>
      <c r="B8" s="50" t="s">
        <v>1922</v>
      </c>
      <c r="C8" s="48" t="s">
        <v>1923</v>
      </c>
      <c r="D8" s="48">
        <f t="shared" ref="D8:D15" si="0">ROUND($D$3*E8/$E$3,2)</f>
        <v>666.75</v>
      </c>
      <c r="E8" s="51">
        <f>SUMIF('数据-基础表'!BB10:BK10,"地上",'数据-基础表'!BB5:BK5)</f>
        <v>2661.36</v>
      </c>
      <c r="F8" s="1391"/>
      <c r="G8" s="2232"/>
      <c r="H8" s="2232"/>
      <c r="I8" s="1391"/>
      <c r="J8" s="1391"/>
      <c r="K8" s="1391"/>
      <c r="L8" s="1391"/>
      <c r="M8" s="1391"/>
      <c r="N8" s="1391"/>
      <c r="O8" s="1391"/>
      <c r="P8" s="1391"/>
    </row>
    <row r="9" spans="1:16">
      <c r="A9" s="2233"/>
      <c r="B9" s="2234"/>
      <c r="C9" s="48" t="s">
        <v>1924</v>
      </c>
      <c r="D9" s="48">
        <f t="shared" si="0"/>
        <v>0</v>
      </c>
      <c r="E9" s="52">
        <v>0</v>
      </c>
      <c r="F9" s="1391"/>
      <c r="G9" s="2232"/>
      <c r="H9" s="2232"/>
      <c r="I9" s="1391"/>
      <c r="J9" s="1391"/>
      <c r="K9" s="1391"/>
      <c r="L9" s="1391"/>
      <c r="M9" s="1391"/>
      <c r="N9" s="1391"/>
      <c r="O9" s="1391"/>
      <c r="P9" s="1391"/>
    </row>
    <row r="10" spans="1:16">
      <c r="A10" s="2233"/>
      <c r="B10" s="2234"/>
      <c r="C10" s="48" t="s">
        <v>1933</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1925</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1926</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1927</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1939</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1934</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1928</v>
      </c>
      <c r="D16" s="50">
        <f>SUM(D8:D15)</f>
        <v>666.75</v>
      </c>
      <c r="E16" s="53">
        <f>SUM(E8:E15)</f>
        <v>2661.36</v>
      </c>
      <c r="F16" s="1391"/>
      <c r="G16" s="2232"/>
      <c r="H16" s="2235" t="s">
        <v>1940</v>
      </c>
      <c r="I16" s="2236"/>
      <c r="J16" s="1391"/>
      <c r="K16" s="3082" t="s">
        <v>1940</v>
      </c>
      <c r="L16" s="3083"/>
      <c r="M16" s="3083"/>
      <c r="N16" s="3083"/>
      <c r="O16" s="3083"/>
      <c r="P16" s="3084"/>
    </row>
    <row r="17" spans="1:19" ht="15">
      <c r="A17" s="2237" t="s">
        <v>1941</v>
      </c>
      <c r="B17" s="2238" t="s">
        <v>1942</v>
      </c>
      <c r="C17" s="2239" t="s">
        <v>1943</v>
      </c>
      <c r="D17" s="2240" t="s">
        <v>1931</v>
      </c>
      <c r="E17" s="2241" t="s">
        <v>1932</v>
      </c>
      <c r="F17" s="2242"/>
      <c r="G17" s="2243"/>
      <c r="H17" s="2244" t="s">
        <v>1944</v>
      </c>
      <c r="I17" s="2245" t="s">
        <v>1929</v>
      </c>
      <c r="J17" s="1391"/>
      <c r="K17" s="3079" t="s">
        <v>1945</v>
      </c>
      <c r="L17" s="3080"/>
      <c r="M17" s="3081"/>
      <c r="N17" s="3079" t="s">
        <v>1946</v>
      </c>
      <c r="O17" s="3080"/>
      <c r="P17" s="3081"/>
      <c r="R17" s="2223" t="s">
        <v>1947</v>
      </c>
      <c r="S17" s="64"/>
    </row>
    <row r="18" spans="1:19" ht="15">
      <c r="A18" s="2233"/>
      <c r="B18" s="2246"/>
      <c r="C18" s="2247"/>
      <c r="D18" s="2248"/>
      <c r="E18" s="2249" t="s">
        <v>1948</v>
      </c>
      <c r="F18" s="2250" t="s">
        <v>1949</v>
      </c>
      <c r="G18" s="2251" t="s">
        <v>1950</v>
      </c>
      <c r="H18" s="1261" t="s">
        <v>1951</v>
      </c>
      <c r="I18" s="2252" t="s">
        <v>1952</v>
      </c>
      <c r="J18" s="1391"/>
      <c r="K18" s="1261" t="s">
        <v>1953</v>
      </c>
      <c r="L18" s="2253" t="s">
        <v>1954</v>
      </c>
      <c r="M18" s="1047" t="s">
        <v>1955</v>
      </c>
      <c r="N18" s="1261" t="s">
        <v>1953</v>
      </c>
      <c r="O18" s="2253" t="s">
        <v>1954</v>
      </c>
      <c r="P18" s="1047" t="s">
        <v>1955</v>
      </c>
      <c r="R18" s="1246" t="s">
        <v>1956</v>
      </c>
      <c r="S18" s="1246" t="s">
        <v>1957</v>
      </c>
    </row>
    <row r="19" spans="1:19">
      <c r="A19" s="2254"/>
      <c r="B19" s="50" t="s">
        <v>1930</v>
      </c>
      <c r="C19" s="2952" t="s">
        <v>3172</v>
      </c>
      <c r="D19" s="48">
        <f>ROUND($D$3*E19/$E$3,2)</f>
        <v>565.16999999999996</v>
      </c>
      <c r="E19" s="56">
        <f t="shared" ref="E19:E26" si="1">SUM(F19:G19)</f>
        <v>2255.8900000000003</v>
      </c>
      <c r="F19" s="57">
        <f>E3-F20</f>
        <v>2255.8900000000003</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565.16999999999996</v>
      </c>
      <c r="S19" s="1247">
        <f t="shared" si="5"/>
        <v>2255.8900000000003</v>
      </c>
    </row>
    <row r="20" spans="1:19">
      <c r="A20" s="2258"/>
      <c r="B20" s="50" t="s">
        <v>1958</v>
      </c>
      <c r="C20" s="3000" t="s">
        <v>3173</v>
      </c>
      <c r="D20" s="48">
        <f t="shared" ref="D20:D26" si="6">ROUND($D$3*E20/$E$3,2)</f>
        <v>101.58</v>
      </c>
      <c r="E20" s="56">
        <f t="shared" si="1"/>
        <v>405.47</v>
      </c>
      <c r="F20" s="57">
        <f>'数据-基础表'!I15+'数据-基础表'!I17</f>
        <v>405.47</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101.58</v>
      </c>
      <c r="S20" s="1247">
        <f t="shared" si="5"/>
        <v>405.47</v>
      </c>
    </row>
    <row r="21" spans="1:19">
      <c r="A21" s="2258"/>
      <c r="B21" s="50" t="s">
        <v>1958</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1958</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1958</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1958</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1959</v>
      </c>
      <c r="D27" s="1392">
        <f>SUM(D19:D26)</f>
        <v>666.75</v>
      </c>
      <c r="E27" s="1393">
        <f>IF(SUM(E19:E26)='数据-基础表'!BA5,SUM(E19:E26),IF(F27="地上面积有误","面积有误","地下面积有误"))</f>
        <v>2661.3600000000006</v>
      </c>
      <c r="F27" s="1392">
        <f>IF(SUM(F19:F26)=E8,SUM(F19:F26),"地上面积有误")</f>
        <v>2661.3600000000006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666.75</v>
      </c>
      <c r="S27" s="1246">
        <f>IF(SUM(S19:S26)=$E$3,SUM(S19:S26),SUM(S19:S26)&amp;"误差"&amp;ROUND(SUM(S19:S26)-E3,2))</f>
        <v>2661.3600000000006</v>
      </c>
    </row>
    <row r="28" spans="1:19">
      <c r="A28" s="2258"/>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1960</v>
      </c>
      <c r="C29" s="2262"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9" t="s">
        <v>1963</v>
      </c>
      <c r="D31" s="728">
        <f>D27+D30</f>
        <v>666.75</v>
      </c>
      <c r="E31" s="728">
        <f>E27+E30</f>
        <v>2661.3600000000006</v>
      </c>
      <c r="F31" s="729">
        <f>F27+F30</f>
        <v>2661.3600000000006</v>
      </c>
      <c r="G31" s="730">
        <f>G27+G30</f>
        <v>0</v>
      </c>
      <c r="H31" s="1391"/>
      <c r="I31" s="1391"/>
      <c r="J31" s="1391"/>
      <c r="K31" s="1391"/>
      <c r="L31" s="1391"/>
      <c r="M31" s="1391"/>
      <c r="N31" s="1391"/>
      <c r="O31" s="1391"/>
      <c r="P31" s="1391"/>
    </row>
    <row r="32" spans="1:19">
      <c r="A32" s="2228"/>
      <c r="B32" s="2228" t="s">
        <v>1964</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27"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1965</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1966</v>
      </c>
      <c r="B2" s="1265">
        <f>项目基本情况!D3</f>
        <v>43132</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1967</v>
      </c>
      <c r="B4" s="2276"/>
      <c r="C4" s="2277"/>
      <c r="D4" s="2278"/>
      <c r="E4" s="2277" t="s">
        <v>1968</v>
      </c>
      <c r="F4" s="2277"/>
      <c r="G4" s="2277"/>
      <c r="H4" s="2277"/>
      <c r="I4" s="2277"/>
      <c r="J4" s="2279"/>
      <c r="K4" s="2280"/>
      <c r="L4" s="2281"/>
      <c r="M4" s="2277"/>
      <c r="N4" s="2277" t="s">
        <v>1969</v>
      </c>
      <c r="O4" s="2277"/>
      <c r="P4" s="2277"/>
      <c r="Q4" s="2277"/>
      <c r="R4" s="2277"/>
      <c r="S4" s="2279"/>
      <c r="T4" s="2282" t="str">
        <f>'数据-汇总表'!I17</f>
        <v>按面积比例</v>
      </c>
      <c r="U4" s="2276" t="s">
        <v>1970</v>
      </c>
      <c r="V4" s="2277"/>
      <c r="W4" s="2277"/>
      <c r="X4" s="2277"/>
      <c r="Y4" s="2279"/>
      <c r="Z4" s="2239" t="s">
        <v>1971</v>
      </c>
      <c r="AA4" s="2239"/>
      <c r="AB4" s="2239"/>
      <c r="AC4" s="2239"/>
      <c r="AD4" s="2239"/>
      <c r="AE4" s="2237" t="s">
        <v>1972</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1973</v>
      </c>
      <c r="B5" s="2285" t="s">
        <v>1974</v>
      </c>
      <c r="C5" s="2286" t="s">
        <v>1975</v>
      </c>
      <c r="D5" s="2287" t="s">
        <v>1976</v>
      </c>
      <c r="E5" s="1267" t="s">
        <v>1977</v>
      </c>
      <c r="F5" s="2288" t="s">
        <v>1978</v>
      </c>
      <c r="G5" s="1267" t="s">
        <v>1979</v>
      </c>
      <c r="H5" s="1267" t="s">
        <v>1980</v>
      </c>
      <c r="I5" s="1267" t="s">
        <v>1981</v>
      </c>
      <c r="J5" s="2289" t="s">
        <v>1982</v>
      </c>
      <c r="K5" s="2290" t="s">
        <v>1983</v>
      </c>
      <c r="L5" s="2291" t="s">
        <v>1984</v>
      </c>
      <c r="M5" s="2292" t="s">
        <v>1985</v>
      </c>
      <c r="N5" s="2293" t="s">
        <v>3180</v>
      </c>
      <c r="O5" s="2291" t="s">
        <v>1986</v>
      </c>
      <c r="P5" s="2294" t="s">
        <v>1987</v>
      </c>
      <c r="Q5" s="69" t="s">
        <v>1988</v>
      </c>
      <c r="R5" s="2295" t="s">
        <v>1989</v>
      </c>
      <c r="S5" s="2296" t="s">
        <v>1990</v>
      </c>
      <c r="T5" s="2297" t="s">
        <v>1991</v>
      </c>
      <c r="U5" s="1266" t="s">
        <v>1992</v>
      </c>
      <c r="V5" s="1267" t="s">
        <v>1993</v>
      </c>
      <c r="W5" s="1267" t="s">
        <v>1994</v>
      </c>
      <c r="X5" s="71"/>
      <c r="Y5" s="70" t="s">
        <v>1995</v>
      </c>
      <c r="Z5" s="2298" t="s">
        <v>1992</v>
      </c>
      <c r="AA5" s="1267" t="s">
        <v>1993</v>
      </c>
      <c r="AB5" s="1267" t="s">
        <v>1994</v>
      </c>
      <c r="AC5" s="71"/>
      <c r="AD5" s="71" t="s">
        <v>1995</v>
      </c>
      <c r="AE5" s="1266" t="s">
        <v>1996</v>
      </c>
      <c r="AF5" s="1267" t="s">
        <v>1997</v>
      </c>
      <c r="AG5" s="70" t="s">
        <v>1998</v>
      </c>
      <c r="AH5" s="1266" t="s">
        <v>1999</v>
      </c>
      <c r="AI5" s="2298" t="s">
        <v>2000</v>
      </c>
      <c r="AJ5" s="2298" t="s">
        <v>2001</v>
      </c>
      <c r="AK5" s="1267" t="s">
        <v>2002</v>
      </c>
      <c r="AL5" s="1267" t="s">
        <v>2003</v>
      </c>
      <c r="AM5" s="70" t="s">
        <v>2004</v>
      </c>
      <c r="AN5" s="2299" t="s">
        <v>2005</v>
      </c>
      <c r="AO5" s="2071" t="s">
        <v>2006</v>
      </c>
      <c r="AP5" s="1248" t="s">
        <v>2007</v>
      </c>
      <c r="AQ5" s="2300" t="s">
        <v>2008</v>
      </c>
      <c r="AR5" s="2300"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已出租</v>
      </c>
      <c r="B6" s="2302" t="str">
        <f>IF(A6=0,"","经营性")</f>
        <v>经营性</v>
      </c>
      <c r="C6" s="2303" t="s">
        <v>1377</v>
      </c>
      <c r="D6" s="1051">
        <f>SUMIF(项目基本情况!D$12:I$12,C6,项目基本情况!D$14:I$14)</f>
        <v>40</v>
      </c>
      <c r="E6" s="1048">
        <f>IF(B6="","",SUMIF(项目基本情况!D$12:I$12,C6,项目基本情况!D$13:I$13))</f>
        <v>54147</v>
      </c>
      <c r="F6" s="72">
        <f>SUMIF(项目基本情况!D$12:I$12,C6,项目基本情况!D$15:I$15)</f>
        <v>30.17</v>
      </c>
      <c r="G6" s="73">
        <f>IF(ISERROR(ROUND(POWER(1+H6,D6-F6)*(POWER(1+H6,F6)-1)/(POWER(1+H6,D6)-1),3)),0,ROUND(POWER(1+H6,D6-F6)*(POWER(1+H6,F6)-1)/(POWER(1+H6,D6)-1),3))</f>
        <v>0.88800000000000001</v>
      </c>
      <c r="H6" s="801">
        <v>4.4999999999999998E-2</v>
      </c>
      <c r="I6" s="801">
        <v>0.06</v>
      </c>
      <c r="J6" s="74">
        <v>8.5000000000000006E-2</v>
      </c>
      <c r="K6" s="1250">
        <f>SUMIF('数据-汇总表'!C$19:C$33,A6,'数据-汇总表'!E$19:E$33)</f>
        <v>2255.8900000000003</v>
      </c>
      <c r="L6" s="802">
        <v>3000</v>
      </c>
      <c r="M6" s="75">
        <f t="shared" ref="M6:M14" si="0">ROUND(K6*L6/10000,0)</f>
        <v>677</v>
      </c>
      <c r="N6" s="800">
        <f>ROUND(1-(1-0%)*(2018-2010)/60,2)</f>
        <v>0.87</v>
      </c>
      <c r="O6" s="75" t="str">
        <f>IF($N$5="成新度","——",ROUND(M6*N6,0))</f>
        <v>——</v>
      </c>
      <c r="P6" s="76" t="str">
        <f>IF($N$5="成新度","——",M6-O6)</f>
        <v>——</v>
      </c>
      <c r="Q6" s="803">
        <v>0.2</v>
      </c>
      <c r="R6" s="77">
        <f ca="1">SUMIF('数据-汇总表'!C$19:C$33,A6,'数据-汇总表'!R$19:R$27)</f>
        <v>565.16999999999996</v>
      </c>
      <c r="S6" s="54">
        <f>IF('数据-汇总表'!$I$17="按面积比例",SUMIF('数据-汇总表'!C$19:C$33,A6,'数据-汇总表'!K$19:K$33),SUMIF('数据-汇总表'!C$19:C$33,A6,'数据-汇总表'!N$19:N$33))</f>
        <v>0</v>
      </c>
      <c r="T6" s="1442">
        <f>ROUND($L$14*S6/10000,0)</f>
        <v>0</v>
      </c>
      <c r="U6" s="78">
        <f>租赁情况!D14</f>
        <v>3.1</v>
      </c>
      <c r="V6" s="79">
        <v>0</v>
      </c>
      <c r="W6" s="79">
        <v>0</v>
      </c>
      <c r="X6" s="1260"/>
      <c r="Y6" s="80">
        <f>N6</f>
        <v>0.87</v>
      </c>
      <c r="Z6" s="81">
        <f>ROUND(U7*(1+AA6)^AF6,1)</f>
        <v>6</v>
      </c>
      <c r="AA6" s="74">
        <f>V7</f>
        <v>0.03</v>
      </c>
      <c r="AB6" s="74">
        <f>W7</f>
        <v>0.1</v>
      </c>
      <c r="AC6" s="1260"/>
      <c r="AD6" s="82">
        <f>ROUND(1-(1-0%)*(2021-2010)/60,2)</f>
        <v>0.82</v>
      </c>
      <c r="AE6" s="1261">
        <f ca="1">IF(AN6="",0,SUMIF(INDIRECT("'"&amp;AN6&amp;"'"&amp;"!E:E"),$AE$5,INDIRECT("'"&amp;AN6&amp;"'"&amp;"!F:F")))</f>
        <v>30.17</v>
      </c>
      <c r="AF6" s="1802">
        <f>项目基本情况!I15</f>
        <v>3.36</v>
      </c>
      <c r="AG6" s="147">
        <f ca="1">IF(AF6="",0,AE6-AF6)</f>
        <v>26.810000000000002</v>
      </c>
      <c r="AH6" s="83"/>
      <c r="AI6" s="85">
        <v>365</v>
      </c>
      <c r="AJ6" s="86"/>
      <c r="AK6" s="87">
        <v>1.4999999999999999E-2</v>
      </c>
      <c r="AL6" s="88">
        <v>1.5E-3</v>
      </c>
      <c r="AM6" s="89">
        <v>0.01</v>
      </c>
      <c r="AN6" s="2953" t="s">
        <v>3174</v>
      </c>
      <c r="AO6" s="55">
        <f ca="1">SUMIF(INDIRECT("'"&amp;AN6&amp;"'"&amp;"!A:A"),"总价",INDIRECT("'"&amp;AN6&amp;"'"&amp;"!B:B"))</f>
        <v>6429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未出租</v>
      </c>
      <c r="B7" s="2302" t="str">
        <f t="shared" ref="B7:B13" si="1">IF(A7=0,"","经营性")</f>
        <v>经营性</v>
      </c>
      <c r="C7" s="2303" t="s">
        <v>1377</v>
      </c>
      <c r="D7" s="1051">
        <f>SUMIF(项目基本情况!D$12:I$12,C7,项目基本情况!D$14:I$14)</f>
        <v>40</v>
      </c>
      <c r="E7" s="1048">
        <f>IF(B7="","",SUMIF(项目基本情况!D$12:I$12,C7,项目基本情况!D$13:I$13))</f>
        <v>54147</v>
      </c>
      <c r="F7" s="72">
        <f>SUMIF(项目基本情况!D$12:I$12,C7,项目基本情况!D$15:I$15)</f>
        <v>30.17</v>
      </c>
      <c r="G7" s="73">
        <f t="shared" ref="G7:G11" si="2">IF(ISERROR(ROUND(POWER(1+H7,D7-F7)*(POWER(1+H7,F7)-1)/(POWER(1+H7,D7)-1),3)),0,ROUND(POWER(1+H7,D7-F7)*(POWER(1+H7,F7)-1)/(POWER(1+H7,D7)-1),3))</f>
        <v>0.88800000000000001</v>
      </c>
      <c r="H7" s="801">
        <f>H6</f>
        <v>4.4999999999999998E-2</v>
      </c>
      <c r="I7" s="801">
        <f>I6</f>
        <v>0.06</v>
      </c>
      <c r="J7" s="74">
        <f>J6</f>
        <v>8.5000000000000006E-2</v>
      </c>
      <c r="K7" s="1250">
        <f>SUMIF('数据-汇总表'!C$19:C$33,A7,'数据-汇总表'!E$19:E$33)</f>
        <v>405.47</v>
      </c>
      <c r="L7" s="802">
        <f>L6</f>
        <v>3000</v>
      </c>
      <c r="M7" s="75">
        <f t="shared" si="0"/>
        <v>122</v>
      </c>
      <c r="N7" s="800">
        <f>N6</f>
        <v>0.87</v>
      </c>
      <c r="O7" s="75" t="str">
        <f t="shared" ref="O7:O14" si="3">IF($N$5="成新度","——",ROUND(M7*N7,0))</f>
        <v>——</v>
      </c>
      <c r="P7" s="76" t="str">
        <f t="shared" ref="P7:P14" si="4">IF($N$5="成新度","——",M7-O7)</f>
        <v>——</v>
      </c>
      <c r="Q7" s="803">
        <f>Q6</f>
        <v>0.2</v>
      </c>
      <c r="R7" s="77">
        <f ca="1">SUMIF('数据-汇总表'!C$19:C$33,A7,'数据-汇总表'!R$19:R$27)</f>
        <v>101.58</v>
      </c>
      <c r="S7" s="54">
        <f>IF('数据-汇总表'!$I$17="按面积比例",SUMIF('数据-汇总表'!C$19:C$33,A7,'数据-汇总表'!K$19:K$33),SUMIF('数据-汇总表'!C$19:C$33,A7,'数据-汇总表'!N$19:N$33))</f>
        <v>0</v>
      </c>
      <c r="T7" s="1442">
        <f t="shared" ref="T7:T13" si="5">ROUND($L$14*S7/10000,0)</f>
        <v>0</v>
      </c>
      <c r="U7" s="78">
        <v>5.4</v>
      </c>
      <c r="V7" s="79">
        <v>0.03</v>
      </c>
      <c r="W7" s="79">
        <v>0.1</v>
      </c>
      <c r="X7" s="1260"/>
      <c r="Y7" s="80">
        <f>Y6</f>
        <v>0.87</v>
      </c>
      <c r="Z7" s="81"/>
      <c r="AA7" s="74"/>
      <c r="AB7" s="74"/>
      <c r="AC7" s="1260"/>
      <c r="AD7" s="82"/>
      <c r="AE7" s="1261">
        <f t="shared" ref="AE7:AE13" ca="1" si="6">IF(AN7="",0,SUMIF(INDIRECT("'"&amp;AN7&amp;"'"&amp;"!E:E"),$AE$5,INDIRECT("'"&amp;AN7&amp;"'"&amp;"!F:F")))</f>
        <v>30.17</v>
      </c>
      <c r="AF7" s="1802"/>
      <c r="AG7" s="147">
        <f t="shared" ref="AG7:AG13" si="7">IF(AF7="",0,AE7-AF7)</f>
        <v>0</v>
      </c>
      <c r="AH7" s="83"/>
      <c r="AI7" s="85">
        <v>365</v>
      </c>
      <c r="AJ7" s="86"/>
      <c r="AK7" s="87">
        <f>AK6</f>
        <v>1.4999999999999999E-2</v>
      </c>
      <c r="AL7" s="88">
        <f>AL6</f>
        <v>1.5E-3</v>
      </c>
      <c r="AM7" s="89">
        <f>AM6</f>
        <v>0.01</v>
      </c>
      <c r="AN7" s="2304" t="s">
        <v>3175</v>
      </c>
      <c r="AO7" s="55">
        <f t="shared" ref="AO7:AO13" ca="1" si="8">SUMIF(INDIRECT("'"&amp;AN7&amp;"'"&amp;"!A:A"),"总价",INDIRECT("'"&amp;AN7&amp;"'"&amp;"!B:B"))</f>
        <v>1222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2010</v>
      </c>
      <c r="B14" s="2302" t="s">
        <v>2011</v>
      </c>
      <c r="C14" s="2307" t="s">
        <v>2010</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2012</v>
      </c>
      <c r="B15" s="2302" t="s">
        <v>2011</v>
      </c>
      <c r="C15" s="2307" t="s">
        <v>2013</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2014</v>
      </c>
      <c r="B16" s="97"/>
      <c r="C16" s="1007"/>
      <c r="D16" s="2309"/>
      <c r="E16" s="97"/>
      <c r="F16" s="97"/>
      <c r="G16" s="98">
        <f>ROUND(SUMPRODUCT(G6:G13,K6:K13)/SUMPRODUCT((G6:G13&gt;0)*(K6:K13)),3)</f>
        <v>0.88800000000000001</v>
      </c>
      <c r="H16" s="99">
        <f>ROUND(SUMPRODUCT(H6:H13,K6:K13)/SUMPRODUCT((H6:H13&gt;0)*(K6:K13)),3)</f>
        <v>4.4999999999999998E-2</v>
      </c>
      <c r="I16" s="100"/>
      <c r="J16" s="100"/>
      <c r="K16" s="101">
        <f>SUM(K6:K15)</f>
        <v>2661.3600000000006</v>
      </c>
      <c r="L16" s="102">
        <f>ROUND(M16*10000/SUM(K6:K14),0)</f>
        <v>3002</v>
      </c>
      <c r="M16" s="102">
        <f>SUM(M6:M14)</f>
        <v>799</v>
      </c>
      <c r="N16" s="103">
        <f>ROUND(SUMPRODUCT(M6:M14,N6:N14)/M16,3)</f>
        <v>0.87</v>
      </c>
      <c r="O16" s="102">
        <f>SUM(O6:O14)</f>
        <v>0</v>
      </c>
      <c r="P16" s="102">
        <f>SUM(P6:P14)</f>
        <v>0</v>
      </c>
      <c r="Q16" s="104">
        <f>ROUND(SUMPRODUCT(Q6:Q13,K6:K13)/SUMPRODUCT((Q6:Q13&gt;0)*(K6:K13)),2)</f>
        <v>0.2</v>
      </c>
      <c r="R16" s="1254">
        <f ca="1">SUM(R6:R13)</f>
        <v>666.75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2016</v>
      </c>
      <c r="B19" s="112">
        <v>0</v>
      </c>
      <c r="C19" s="2272" t="s">
        <v>2017</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2018</v>
      </c>
      <c r="B20" s="113">
        <v>2</v>
      </c>
      <c r="C20" s="2272" t="s">
        <v>2019</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2020</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2021</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2022</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2027</v>
      </c>
      <c r="B27" s="116"/>
      <c r="C27" s="1763" t="s">
        <v>2028</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2029</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2030</v>
      </c>
      <c r="B29" s="121">
        <f>ROUND(B28*K16/10000,0)</f>
        <v>53</v>
      </c>
      <c r="C29" s="1763" t="s">
        <v>2031</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2032</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2033</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2034</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2035</v>
      </c>
      <c r="B33" s="725">
        <v>0.05</v>
      </c>
      <c r="C33" s="1762" t="s">
        <v>2036</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2037</v>
      </c>
      <c r="B34" s="122">
        <v>0</v>
      </c>
      <c r="C34" s="1762" t="s">
        <v>2038</v>
      </c>
      <c r="D34" s="2273" t="s">
        <v>2039</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2040</v>
      </c>
      <c r="B35" s="119">
        <v>200</v>
      </c>
      <c r="C35" s="1762" t="s">
        <v>2041</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2042</v>
      </c>
      <c r="B36" s="123">
        <v>1.4999999999999999E-2</v>
      </c>
      <c r="C36" s="1762" t="s">
        <v>2043</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2044</v>
      </c>
      <c r="B37" s="124">
        <v>0.01</v>
      </c>
      <c r="C37" s="1762" t="s">
        <v>2045</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2046</v>
      </c>
      <c r="B38" s="122">
        <v>0.01</v>
      </c>
      <c r="C38" s="1762" t="s">
        <v>2045</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2047</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299">
        <f ca="1">存贷款利率!G1</f>
        <v>4.7500000000000001E-2</v>
      </c>
      <c r="C40" s="1762" t="s">
        <v>2049</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2050</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2051</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2052</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2053</v>
      </c>
      <c r="B44" s="128">
        <v>7.0000000000000007E-2</v>
      </c>
      <c r="C44" s="1762" t="s">
        <v>2054</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2055</v>
      </c>
      <c r="B45" s="126">
        <v>0.03</v>
      </c>
      <c r="C45" s="1763" t="s">
        <v>2056</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2057</v>
      </c>
      <c r="B46" s="126">
        <v>0.02</v>
      </c>
      <c r="C46" s="1763" t="s">
        <v>2058</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9"/>
      <c r="C47" s="1763" t="s">
        <v>2060</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2061</v>
      </c>
      <c r="B48" s="130">
        <v>0.03</v>
      </c>
      <c r="C48" s="1769" t="s">
        <v>2062</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6">
        <v>5.0000000000000001E-4</v>
      </c>
      <c r="C49" s="1769" t="s">
        <v>2064</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2065</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2067</v>
      </c>
      <c r="B52" s="133">
        <f>SUMIF(A54:A63,B53,B54:B63)</f>
        <v>3</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2068</v>
      </c>
      <c r="B53" s="2331" t="s">
        <v>523</v>
      </c>
      <c r="C53" s="1426" t="s">
        <v>2069</v>
      </c>
      <c r="D53" s="2332" t="s">
        <v>2070</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2071</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2072</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2073</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2074</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2075</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2076</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2077</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2078</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2079</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094" t="s">
        <v>2081</v>
      </c>
      <c r="B1" s="3095"/>
      <c r="C1" s="3095"/>
      <c r="D1" s="3095"/>
      <c r="E1" s="3095"/>
      <c r="F1" s="3095"/>
      <c r="G1" s="309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27">
      <c r="A3" s="415" t="s">
        <v>2084</v>
      </c>
      <c r="B3" s="1267" t="s">
        <v>2085</v>
      </c>
      <c r="C3" s="2954"/>
      <c r="D3" s="2365"/>
      <c r="E3" s="431" t="s">
        <v>2084</v>
      </c>
      <c r="F3" s="2366" t="s">
        <v>2086</v>
      </c>
      <c r="G3" s="2367"/>
      <c r="H3" s="2363"/>
      <c r="I3" s="2363"/>
      <c r="J3" s="2363"/>
      <c r="K3" s="2363"/>
      <c r="L3" s="2363"/>
      <c r="M3" s="2363"/>
      <c r="N3" s="2363"/>
      <c r="O3" s="2363"/>
      <c r="P3" s="2363"/>
      <c r="Q3" s="2363"/>
      <c r="R3" s="2363"/>
    </row>
    <row r="4" spans="1:29" ht="40.5">
      <c r="A4" s="431"/>
      <c r="B4" s="1793" t="s">
        <v>2087</v>
      </c>
      <c r="C4" s="2955" t="s">
        <v>3061</v>
      </c>
      <c r="D4" s="2365"/>
      <c r="E4" s="2368"/>
      <c r="F4" s="42" t="s">
        <v>2088</v>
      </c>
      <c r="G4" s="2369"/>
      <c r="H4" s="2363"/>
      <c r="I4" s="2363"/>
      <c r="J4" s="2363"/>
      <c r="K4" s="2363"/>
      <c r="L4" s="2363"/>
      <c r="M4" s="2363"/>
      <c r="N4" s="2363"/>
      <c r="O4" s="2363"/>
      <c r="P4" s="2363"/>
      <c r="Q4" s="2363"/>
      <c r="R4" s="2363"/>
    </row>
    <row r="5" spans="1:29" ht="15">
      <c r="A5" s="431"/>
      <c r="B5" s="1793" t="s">
        <v>2089</v>
      </c>
      <c r="C5" s="2955"/>
      <c r="D5" s="2365"/>
      <c r="E5" s="2368"/>
      <c r="F5" s="1793" t="s">
        <v>2090</v>
      </c>
      <c r="G5" s="2369"/>
      <c r="H5" s="2363"/>
      <c r="I5" s="2363"/>
      <c r="J5" s="2363"/>
      <c r="K5" s="2363"/>
      <c r="L5" s="2363"/>
      <c r="M5" s="2363"/>
      <c r="N5" s="2363"/>
      <c r="O5" s="2363"/>
      <c r="P5" s="2363"/>
      <c r="Q5" s="2363"/>
      <c r="R5" s="2363"/>
    </row>
    <row r="6" spans="1:29" ht="81">
      <c r="A6" s="431"/>
      <c r="B6" s="1793" t="s">
        <v>2091</v>
      </c>
      <c r="C6" s="2956" t="s">
        <v>3062</v>
      </c>
      <c r="D6" s="2365"/>
      <c r="E6" s="2368"/>
      <c r="F6" s="1793" t="s">
        <v>2092</v>
      </c>
      <c r="G6" s="2369"/>
      <c r="H6" s="2363"/>
      <c r="I6" s="2363"/>
      <c r="J6" s="2363"/>
      <c r="K6" s="2363"/>
      <c r="L6" s="2363"/>
      <c r="M6" s="2363"/>
      <c r="N6" s="2363"/>
      <c r="O6" s="2363"/>
      <c r="P6" s="2363"/>
      <c r="Q6" s="2363"/>
      <c r="R6" s="2363"/>
    </row>
    <row r="7" spans="1:29" ht="68.25" thickBot="1">
      <c r="A7" s="431"/>
      <c r="B7" s="1793" t="s">
        <v>2090</v>
      </c>
      <c r="C7" s="2956" t="s">
        <v>3063</v>
      </c>
      <c r="D7" s="2370"/>
      <c r="E7" s="2371"/>
      <c r="F7" s="2372" t="s">
        <v>2093</v>
      </c>
      <c r="G7" s="2373"/>
      <c r="H7" s="2363"/>
      <c r="I7" s="2363"/>
      <c r="J7" s="2363"/>
      <c r="K7" s="2363"/>
      <c r="L7" s="2363"/>
      <c r="M7" s="2363"/>
      <c r="N7" s="2363"/>
      <c r="O7" s="2363"/>
      <c r="P7" s="2363"/>
      <c r="Q7" s="2363"/>
      <c r="R7" s="2363"/>
    </row>
    <row r="8" spans="1:29" ht="15">
      <c r="A8" s="431"/>
      <c r="B8" s="1793" t="s">
        <v>2092</v>
      </c>
      <c r="C8" s="2956" t="s">
        <v>3064</v>
      </c>
      <c r="D8" s="2370"/>
      <c r="E8" s="2370"/>
      <c r="F8" s="1132"/>
      <c r="G8" s="1132"/>
      <c r="H8" s="2363"/>
      <c r="I8" s="2363"/>
      <c r="J8" s="2363"/>
      <c r="K8" s="2363"/>
      <c r="L8" s="2363"/>
      <c r="M8" s="2363"/>
      <c r="N8" s="2363"/>
      <c r="O8" s="2363"/>
      <c r="P8" s="2363"/>
      <c r="Q8" s="2363"/>
      <c r="R8" s="2363"/>
    </row>
    <row r="9" spans="1:29" ht="27">
      <c r="A9" s="431"/>
      <c r="B9" s="1793" t="s">
        <v>2094</v>
      </c>
      <c r="C9" s="2955" t="s">
        <v>3065</v>
      </c>
      <c r="D9" s="2365"/>
      <c r="E9" s="2370"/>
      <c r="F9" s="1132"/>
      <c r="G9" s="1132"/>
      <c r="H9" s="2363"/>
      <c r="I9" s="2363"/>
      <c r="J9" s="2363"/>
      <c r="K9" s="2363"/>
      <c r="L9" s="2363"/>
      <c r="M9" s="2363"/>
      <c r="N9" s="2363"/>
      <c r="O9" s="2363"/>
      <c r="P9" s="2363"/>
      <c r="Q9" s="2363"/>
      <c r="R9" s="2363"/>
    </row>
    <row r="10" spans="1:29" s="117" customFormat="1" ht="15.75" thickBot="1">
      <c r="A10" s="2374"/>
      <c r="B10" s="2375" t="s">
        <v>2095</v>
      </c>
      <c r="C10" s="2957" t="s">
        <v>3066</v>
      </c>
      <c r="D10" s="2365"/>
      <c r="E10" s="2365"/>
      <c r="F10" s="1132"/>
      <c r="G10" s="1132"/>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0"/>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0"/>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2096</v>
      </c>
      <c r="B13" s="2380"/>
      <c r="C13" s="2380"/>
      <c r="D13" s="2387"/>
      <c r="E13" s="2380"/>
      <c r="F13" s="2380"/>
      <c r="G13" s="2380"/>
    </row>
    <row r="14" spans="1:29" ht="15.75" thickBot="1">
      <c r="A14" s="2391"/>
      <c r="B14" s="2392"/>
      <c r="C14" s="2393" t="s">
        <v>2097</v>
      </c>
      <c r="D14" s="2365"/>
      <c r="E14" s="2394"/>
      <c r="F14" s="2394"/>
      <c r="G14" s="2360" t="s">
        <v>2098</v>
      </c>
    </row>
    <row r="15" spans="1:29" ht="27">
      <c r="A15" s="68" t="s">
        <v>2099</v>
      </c>
      <c r="B15" s="1266" t="s">
        <v>2085</v>
      </c>
      <c r="C15" s="2395">
        <f>C3</f>
        <v>0</v>
      </c>
      <c r="D15" s="2365"/>
      <c r="E15" s="2396" t="s">
        <v>2100</v>
      </c>
      <c r="F15" s="1266" t="s">
        <v>2101</v>
      </c>
      <c r="G15" s="135">
        <f>G3</f>
        <v>0</v>
      </c>
    </row>
    <row r="16" spans="1:29" ht="42.75">
      <c r="A16" s="645"/>
      <c r="B16" s="2397" t="s">
        <v>2087</v>
      </c>
      <c r="C16" s="2398" t="str">
        <f>C4</f>
        <v>周边商业有集美家居、银泰百货，人流量一般，商业繁华度一般</v>
      </c>
      <c r="D16" s="2365"/>
      <c r="E16" s="2399"/>
      <c r="F16" s="2400" t="s">
        <v>2088</v>
      </c>
      <c r="G16" s="136">
        <f>G4</f>
        <v>0</v>
      </c>
    </row>
    <row r="17" spans="1:18" ht="15">
      <c r="A17" s="645"/>
      <c r="B17" s="2397" t="s">
        <v>2089</v>
      </c>
      <c r="C17" s="2398">
        <f>C5</f>
        <v>0</v>
      </c>
      <c r="D17" s="2370"/>
      <c r="E17" s="2399"/>
      <c r="F17" s="2400" t="s">
        <v>2102</v>
      </c>
      <c r="G17" s="1568"/>
    </row>
    <row r="18" spans="1:18" ht="71.25">
      <c r="A18" s="645"/>
      <c r="B18" s="2400" t="s">
        <v>2091</v>
      </c>
      <c r="C18" s="136" t="str">
        <f>C6</f>
        <v>估价对象周边有485、501、602、736、957路及地铁十号线等、公共交通通达情况较好、停车便捷程度较好，综合评价交通便捷度较好</v>
      </c>
      <c r="D18" s="2370"/>
      <c r="E18" s="2399"/>
      <c r="F18" s="2400" t="s">
        <v>2093</v>
      </c>
      <c r="G18" s="136">
        <f>G7</f>
        <v>0</v>
      </c>
    </row>
    <row r="19" spans="1:18" ht="15">
      <c r="A19" s="645"/>
      <c r="B19" s="2400" t="s">
        <v>2103</v>
      </c>
      <c r="C19" s="1568"/>
      <c r="D19" s="2365"/>
      <c r="E19" s="2399"/>
      <c r="F19" s="1793" t="s">
        <v>2090</v>
      </c>
      <c r="G19" s="136">
        <f>G5</f>
        <v>0</v>
      </c>
    </row>
    <row r="20" spans="1:18" ht="28.5">
      <c r="A20" s="645"/>
      <c r="B20" s="2400" t="s">
        <v>2104</v>
      </c>
      <c r="C20" s="2398" t="str">
        <f>C9</f>
        <v>周边有桃苑公园自然及人文环境一般</v>
      </c>
      <c r="D20" s="2370"/>
      <c r="E20" s="2399"/>
      <c r="F20" s="1793" t="s">
        <v>2105</v>
      </c>
      <c r="G20" s="136">
        <f>G6</f>
        <v>0</v>
      </c>
    </row>
    <row r="21" spans="1:18" ht="71.25">
      <c r="A21" s="645"/>
      <c r="B21" s="1793" t="s">
        <v>2090</v>
      </c>
      <c r="C21" s="136" t="str">
        <f>C7</f>
        <v>周边有中国建设银行、广东发展银行、集美家居、物美超市、西马金润小学、丰台第一小学远洋分校等，公共配套设施较齐备</v>
      </c>
      <c r="D21" s="2365"/>
      <c r="E21" s="2399"/>
      <c r="F21" s="2400" t="s">
        <v>2106</v>
      </c>
      <c r="G21" s="2401"/>
    </row>
    <row r="22" spans="1:18" ht="13.5" customHeight="1">
      <c r="A22" s="645"/>
      <c r="B22" s="1793" t="s">
        <v>2092</v>
      </c>
      <c r="C22" s="136" t="str">
        <f>C8</f>
        <v>七通</v>
      </c>
      <c r="D22" s="2365"/>
      <c r="E22" s="2399"/>
      <c r="F22" s="2400" t="s">
        <v>2095</v>
      </c>
      <c r="G22" s="1568"/>
    </row>
    <row r="23" spans="1:18" s="2363" customFormat="1" ht="15.75" thickBot="1">
      <c r="A23" s="645"/>
      <c r="B23" s="2400" t="s">
        <v>2106</v>
      </c>
      <c r="C23" s="2401"/>
      <c r="D23" s="2388"/>
      <c r="E23" s="2402"/>
      <c r="F23" s="2403" t="s">
        <v>2107</v>
      </c>
      <c r="G23" s="2404"/>
      <c r="H23" s="2388"/>
      <c r="I23" s="2389"/>
      <c r="J23" s="2388"/>
      <c r="K23" s="2388"/>
      <c r="L23" s="2389"/>
      <c r="M23" s="2388"/>
      <c r="N23" s="2388"/>
      <c r="O23" s="2389"/>
      <c r="P23" s="2388"/>
      <c r="Q23" s="2388"/>
      <c r="R23" s="2390"/>
    </row>
    <row r="24" spans="1:18" s="2363" customFormat="1" ht="15.75" thickBot="1">
      <c r="A24" s="2405"/>
      <c r="B24" s="2403" t="s">
        <v>2108</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2661.36</v>
      </c>
      <c r="C1" s="1741"/>
      <c r="D1" s="1741"/>
      <c r="E1" s="1741"/>
      <c r="F1" s="1741"/>
      <c r="G1" s="1739"/>
    </row>
    <row r="2" spans="1:10" ht="16.5">
      <c r="A2" s="1742" t="s">
        <v>1353</v>
      </c>
      <c r="B2" s="1742">
        <f>SUM(C14:C23)</f>
        <v>666.75</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10302</v>
      </c>
      <c r="C5" s="1742">
        <f ca="1">ROUND(B5*10000/$B$1,0)</f>
        <v>38710</v>
      </c>
      <c r="D5" s="1742">
        <f ca="1">ROUND(B5*10000/$B$2,0)</f>
        <v>154511</v>
      </c>
      <c r="E5" s="1741"/>
      <c r="F5" s="1739"/>
      <c r="G5" s="1739"/>
    </row>
    <row r="6" spans="1:10" ht="16.5">
      <c r="A6" s="1742" t="s">
        <v>1356</v>
      </c>
      <c r="B6" s="1742">
        <f ca="1">SUM(G14:G23)</f>
        <v>10302</v>
      </c>
      <c r="C6" s="1742">
        <f ca="1">ROUND(B6*10000/$B$1,0)</f>
        <v>38710</v>
      </c>
      <c r="D6" s="1742">
        <f ca="1">ROUND(B6*10000/$B$2,0)</f>
        <v>154511</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2661.36</v>
      </c>
      <c r="C14" s="1740">
        <f>结果表!C118</f>
        <v>666.75</v>
      </c>
      <c r="D14" s="1740">
        <f ca="1">结果表!H118</f>
        <v>10302</v>
      </c>
      <c r="E14" s="1740">
        <f ca="1">ROUND(D14*10000/B14,0)</f>
        <v>38710</v>
      </c>
      <c r="F14" s="1740">
        <f ca="1">ROUND(D14*10000/C14,0)</f>
        <v>154511</v>
      </c>
      <c r="G14" s="1740">
        <f ca="1">结果表!D122</f>
        <v>10302</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K101" sqref="K101"/>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2109</v>
      </c>
      <c r="B1" s="2411"/>
      <c r="C1" s="2412"/>
      <c r="D1" s="2411"/>
      <c r="E1" s="2411"/>
      <c r="F1" s="2413" t="s">
        <v>2110</v>
      </c>
      <c r="G1" s="2067" t="s">
        <v>3043</v>
      </c>
      <c r="H1" s="2414" t="str">
        <f>IF(G1="现房","——","估价对象范围")</f>
        <v>——</v>
      </c>
      <c r="I1" s="2415" t="s">
        <v>3179</v>
      </c>
    </row>
    <row r="2" spans="1:12" ht="21.75" customHeight="1" thickBot="1">
      <c r="A2" s="3168" t="str">
        <f>项目基本情况!S2</f>
        <v>北京市丰台区马家堡东路168号院10号楼房地产</v>
      </c>
      <c r="B2" s="3169"/>
      <c r="C2" s="3169"/>
      <c r="D2" s="3169"/>
      <c r="E2" s="3169"/>
      <c r="F2" s="3169"/>
      <c r="G2" s="3169"/>
      <c r="H2" s="3169"/>
      <c r="I2" s="3170"/>
    </row>
    <row r="3" spans="1:12" ht="12.75">
      <c r="A3" s="3171" t="s">
        <v>2111</v>
      </c>
      <c r="B3" s="3172"/>
      <c r="C3" s="3172"/>
      <c r="D3" s="3172"/>
      <c r="E3" s="3172"/>
      <c r="F3" s="3172"/>
      <c r="G3" s="3172"/>
      <c r="H3" s="3172"/>
      <c r="I3" s="3172"/>
    </row>
    <row r="4" spans="1:12" ht="14.25">
      <c r="A4" s="2418" t="s">
        <v>2112</v>
      </c>
      <c r="B4" s="2419" t="s">
        <v>2113</v>
      </c>
      <c r="C4" s="2420" t="s">
        <v>3177</v>
      </c>
      <c r="D4" s="2420" t="s">
        <v>3178</v>
      </c>
      <c r="E4" s="3152" t="s">
        <v>2114</v>
      </c>
      <c r="F4" s="3165"/>
      <c r="G4" s="3165"/>
      <c r="H4" s="3165"/>
      <c r="I4" s="3153"/>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43" t="s">
        <v>2115</v>
      </c>
      <c r="B5" s="3069">
        <v>25</v>
      </c>
      <c r="C5" s="3173"/>
      <c r="D5" s="3161"/>
      <c r="E5" s="140" t="s">
        <v>2116</v>
      </c>
      <c r="F5" s="2422"/>
      <c r="G5" s="2422"/>
      <c r="H5" s="2422"/>
      <c r="I5" s="1829"/>
    </row>
    <row r="6" spans="1:12" ht="12.75">
      <c r="A6" s="3143"/>
      <c r="B6" s="3069"/>
      <c r="C6" s="3175"/>
      <c r="D6" s="3161"/>
      <c r="E6" s="140" t="s">
        <v>2117</v>
      </c>
      <c r="F6" s="2422"/>
      <c r="G6" s="2422"/>
      <c r="H6" s="2422"/>
      <c r="I6" s="1829"/>
    </row>
    <row r="7" spans="1:12" ht="12.75">
      <c r="A7" s="3143"/>
      <c r="B7" s="3069"/>
      <c r="C7" s="3174"/>
      <c r="D7" s="3161"/>
      <c r="E7" s="140" t="s">
        <v>2118</v>
      </c>
      <c r="F7" s="2422"/>
      <c r="G7" s="2422"/>
      <c r="H7" s="2422"/>
      <c r="I7" s="1829"/>
    </row>
    <row r="8" spans="1:12" ht="12.75">
      <c r="A8" s="3143" t="s">
        <v>2119</v>
      </c>
      <c r="B8" s="3069">
        <v>15</v>
      </c>
      <c r="C8" s="3173"/>
      <c r="D8" s="3161"/>
      <c r="E8" s="140" t="s">
        <v>2120</v>
      </c>
      <c r="F8" s="2422"/>
      <c r="G8" s="2422"/>
      <c r="H8" s="2422"/>
      <c r="I8" s="1829"/>
    </row>
    <row r="9" spans="1:12" ht="12.75">
      <c r="A9" s="3143"/>
      <c r="B9" s="3069"/>
      <c r="C9" s="3174"/>
      <c r="D9" s="3161"/>
      <c r="E9" s="140" t="s">
        <v>2121</v>
      </c>
      <c r="F9" s="2422"/>
      <c r="G9" s="2422"/>
      <c r="H9" s="2422"/>
      <c r="I9" s="1829"/>
    </row>
    <row r="10" spans="1:12" ht="12.75">
      <c r="A10" s="3143" t="s">
        <v>2122</v>
      </c>
      <c r="B10" s="3069">
        <v>15</v>
      </c>
      <c r="C10" s="3173"/>
      <c r="D10" s="3161"/>
      <c r="E10" s="140" t="s">
        <v>2123</v>
      </c>
      <c r="F10" s="2422"/>
      <c r="G10" s="2422"/>
      <c r="H10" s="2422"/>
      <c r="I10" s="1829"/>
    </row>
    <row r="11" spans="1:12" ht="12.75">
      <c r="A11" s="3143"/>
      <c r="B11" s="3069"/>
      <c r="C11" s="3174"/>
      <c r="D11" s="3161"/>
      <c r="E11" s="140" t="s">
        <v>2124</v>
      </c>
      <c r="F11" s="2422"/>
      <c r="G11" s="2422"/>
      <c r="H11" s="2422"/>
      <c r="I11" s="1829"/>
    </row>
    <row r="12" spans="1:12" ht="12.75">
      <c r="A12" s="3143" t="s">
        <v>2125</v>
      </c>
      <c r="B12" s="3069">
        <v>15</v>
      </c>
      <c r="C12" s="3173"/>
      <c r="D12" s="3161"/>
      <c r="E12" s="140" t="s">
        <v>2126</v>
      </c>
      <c r="F12" s="2422"/>
      <c r="G12" s="2422"/>
      <c r="H12" s="2422"/>
      <c r="I12" s="1829"/>
    </row>
    <row r="13" spans="1:12" ht="12.75">
      <c r="A13" s="3143"/>
      <c r="B13" s="3069"/>
      <c r="C13" s="3174"/>
      <c r="D13" s="3161"/>
      <c r="E13" s="140" t="s">
        <v>2127</v>
      </c>
      <c r="F13" s="2422"/>
      <c r="G13" s="2422"/>
      <c r="H13" s="2422"/>
      <c r="I13" s="1829"/>
    </row>
    <row r="14" spans="1:12" ht="12.75">
      <c r="A14" s="3143" t="s">
        <v>2128</v>
      </c>
      <c r="B14" s="3069">
        <v>30</v>
      </c>
      <c r="C14" s="3173">
        <v>7</v>
      </c>
      <c r="D14" s="3161">
        <v>3</v>
      </c>
      <c r="E14" s="140" t="s">
        <v>2129</v>
      </c>
      <c r="F14" s="2422"/>
      <c r="G14" s="2422"/>
      <c r="H14" s="2422"/>
      <c r="I14" s="1829"/>
    </row>
    <row r="15" spans="1:12" ht="12.75">
      <c r="A15" s="3143"/>
      <c r="B15" s="3069"/>
      <c r="C15" s="3175"/>
      <c r="D15" s="3161"/>
      <c r="E15" s="140" t="s">
        <v>2130</v>
      </c>
      <c r="F15" s="2422"/>
      <c r="G15" s="2422"/>
      <c r="H15" s="2422"/>
      <c r="I15" s="1829"/>
    </row>
    <row r="16" spans="1:12" ht="12.75">
      <c r="A16" s="3143"/>
      <c r="B16" s="3069"/>
      <c r="C16" s="3174"/>
      <c r="D16" s="3161"/>
      <c r="E16" s="140" t="s">
        <v>2131</v>
      </c>
      <c r="F16" s="2422"/>
      <c r="G16" s="2422"/>
      <c r="H16" s="2422"/>
      <c r="I16" s="1829"/>
    </row>
    <row r="17" spans="1:35" ht="15">
      <c r="A17" s="2423" t="s">
        <v>2132</v>
      </c>
      <c r="B17" s="64"/>
      <c r="C17" s="141">
        <f>SUM(C5:C16)</f>
        <v>7</v>
      </c>
      <c r="D17" s="141">
        <f>SUM(D5:D16)</f>
        <v>3</v>
      </c>
      <c r="E17" s="138"/>
      <c r="F17" s="138"/>
      <c r="G17" s="138"/>
      <c r="H17" s="138"/>
      <c r="I17" s="138"/>
      <c r="K17" s="2421"/>
      <c r="L17" s="2424" t="s">
        <v>2133</v>
      </c>
      <c r="M17" s="2424" t="s">
        <v>2134</v>
      </c>
    </row>
    <row r="18" spans="1:35" ht="15.75" thickBot="1">
      <c r="A18" s="2425" t="s">
        <v>2135</v>
      </c>
      <c r="B18" s="2426"/>
      <c r="C18" s="142">
        <f>ROUND(C17/SUM(C17:D17),2)</f>
        <v>0.7</v>
      </c>
      <c r="D18" s="142">
        <f>1-C18</f>
        <v>0.30000000000000004</v>
      </c>
      <c r="E18" s="138"/>
      <c r="F18" s="138"/>
      <c r="G18" s="138"/>
      <c r="H18" s="138"/>
      <c r="I18" s="138"/>
      <c r="K18" s="2421" t="s">
        <v>2136</v>
      </c>
      <c r="L18" s="2421">
        <f>IF(C1="",'数据-汇总表'!E3,SUMIF(项目类型,C1,'数据-汇总表'!E17:E26)+SUMIF(项目类型,C1,'数据-汇总表'!I17:I26))</f>
        <v>2661.36</v>
      </c>
      <c r="M18" s="2421">
        <f>IF(C1="",'数据-汇总表'!E3,SUMIF(项目类型,C1,'数据-汇总表'!E17:E26))</f>
        <v>2661.36</v>
      </c>
    </row>
    <row r="19" spans="1:35" ht="15.75">
      <c r="A19" s="2427" t="s">
        <v>2137</v>
      </c>
      <c r="B19" s="2428" t="s">
        <v>2138</v>
      </c>
      <c r="C19" s="143">
        <f ca="1">SUMIF(INDIRECT("'"&amp;C4&amp;"'"&amp;"!A:A"),结果表!B19,INDIRECT("'"&amp;C4&amp;"'"&amp;"!B:B"))</f>
        <v>11438</v>
      </c>
      <c r="D19" s="144">
        <f ca="1">SUMIF(INDIRECT("'"&amp;D4&amp;"'"&amp;"!A:A"),结果表!B19,INDIRECT("'"&amp;D4&amp;"'"&amp;"!B:B"))</f>
        <v>7651</v>
      </c>
      <c r="E19" s="2427" t="s">
        <v>2139</v>
      </c>
      <c r="F19" s="2428" t="s">
        <v>2138</v>
      </c>
      <c r="G19" s="145">
        <f ca="1">ROUND(C19*$C$18+D19*$D$18,0)</f>
        <v>10302</v>
      </c>
      <c r="H19" s="2429" t="s">
        <v>2140</v>
      </c>
      <c r="I19" s="138"/>
      <c r="J19" s="2987">
        <v>10522</v>
      </c>
      <c r="K19" s="2421" t="s">
        <v>2141</v>
      </c>
      <c r="L19" s="2421">
        <f>IF(C1="",'数据-汇总表'!D3,SUMIF(项目类型,C1,'数据-汇总表'!D17:D26)+SUMIF(项目类型,C1,'数据-汇总表'!H17:H27))</f>
        <v>666.75</v>
      </c>
      <c r="M19" s="2421">
        <f>IF(C1="",'数据-汇总表'!D3,SUMIF(项目类型,C1,'数据-汇总表'!D17:D26))</f>
        <v>666.75</v>
      </c>
    </row>
    <row r="20" spans="1:35" ht="15">
      <c r="A20" s="2430"/>
      <c r="B20" s="1246" t="s">
        <v>2142</v>
      </c>
      <c r="C20" s="146">
        <f ca="1">SUMIF(INDIRECT("'"&amp;C4&amp;"'"&amp;"!A:A"),结果表!B20,INDIRECT("'"&amp;C4&amp;"'"&amp;"!B:B"))</f>
        <v>44628</v>
      </c>
      <c r="D20" s="147">
        <f ca="1">SUMIF(INDIRECT("'"&amp;D4&amp;"'"&amp;"!A:A"),结果表!B20,INDIRECT("'"&amp;D4&amp;"'"&amp;"!B:B"))</f>
        <v>28748</v>
      </c>
      <c r="E20" s="2430"/>
      <c r="F20" s="1246" t="s">
        <v>2142</v>
      </c>
      <c r="G20" s="148">
        <f ca="1">ROUND(C20*$C$18+D20*$D$18,0)</f>
        <v>39864</v>
      </c>
      <c r="H20" s="982" t="s">
        <v>2143</v>
      </c>
      <c r="I20" s="138"/>
      <c r="J20" s="3002">
        <f ca="1">G19+[1]结果表!$G$19</f>
        <v>27217</v>
      </c>
    </row>
    <row r="21" spans="1:35" ht="15" customHeight="1" thickBot="1">
      <c r="A21" s="1002"/>
      <c r="B21" s="2431" t="s">
        <v>2144</v>
      </c>
      <c r="C21" s="788">
        <f ca="1">ROUND(C19*10000/L19,0)</f>
        <v>171549</v>
      </c>
      <c r="D21" s="789">
        <f ca="1">ROUND(D19*10000/L19,0)</f>
        <v>114751</v>
      </c>
      <c r="E21" s="1002"/>
      <c r="F21" s="2431" t="s">
        <v>2144</v>
      </c>
      <c r="G21" s="149">
        <f ca="1">ROUND(G19*10000/L19,0)</f>
        <v>154511</v>
      </c>
      <c r="H21" s="2432" t="s">
        <v>2143</v>
      </c>
      <c r="I21" s="138"/>
      <c r="J21" s="794">
        <v>27182</v>
      </c>
    </row>
    <row r="22" spans="1:35" ht="15" thickBot="1">
      <c r="A22" s="2276" t="s">
        <v>2145</v>
      </c>
      <c r="B22" s="2433"/>
      <c r="C22" s="2434"/>
      <c r="D22" s="790">
        <f ca="1">IF(C19&lt;D19,D19/C19-1,C19/D19-1)</f>
        <v>0.49496797804208592</v>
      </c>
      <c r="E22" s="138"/>
      <c r="F22" s="138"/>
      <c r="G22" s="138"/>
      <c r="H22" s="138"/>
      <c r="I22" s="138"/>
    </row>
    <row r="23" spans="1:35" ht="13.5" hidden="1" thickBot="1">
      <c r="A23" s="2411"/>
      <c r="B23" s="2411"/>
      <c r="C23" s="2411"/>
      <c r="D23" s="2411"/>
      <c r="E23" s="138"/>
      <c r="F23" s="138"/>
      <c r="G23" s="138"/>
      <c r="H23" s="138"/>
      <c r="I23" s="138"/>
    </row>
    <row r="24" spans="1:35" ht="14.25" hidden="1">
      <c r="A24" s="3182" t="s">
        <v>2146</v>
      </c>
      <c r="B24" s="2428" t="s">
        <v>2138</v>
      </c>
      <c r="C24" s="145">
        <f>IF(B30=0,0,D30)</f>
        <v>0</v>
      </c>
      <c r="D24" s="2435"/>
      <c r="E24" s="138"/>
      <c r="F24" s="138"/>
      <c r="G24" s="138"/>
      <c r="H24" s="138"/>
      <c r="I24" s="138"/>
    </row>
    <row r="25" spans="1:35" ht="14.25" hidden="1">
      <c r="A25" s="3183"/>
      <c r="B25" s="1246" t="s">
        <v>2142</v>
      </c>
      <c r="C25" s="150">
        <f>IF(B30=0,0,C30)</f>
        <v>0</v>
      </c>
      <c r="D25" s="2436"/>
      <c r="E25" s="138"/>
      <c r="F25" s="138"/>
      <c r="G25" s="138"/>
      <c r="H25" s="138"/>
      <c r="I25" s="138"/>
    </row>
    <row r="26" spans="1:35" ht="13.5" hidden="1" customHeight="1">
      <c r="A26" s="2437" t="s">
        <v>2147</v>
      </c>
      <c r="B26" s="151" t="s">
        <v>2148</v>
      </c>
      <c r="C26" s="151" t="s">
        <v>2149</v>
      </c>
      <c r="D26" s="152" t="s">
        <v>2150</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2151</v>
      </c>
      <c r="B30" s="151"/>
      <c r="C30" s="151"/>
      <c r="D30" s="151"/>
      <c r="E30" s="2920" t="s">
        <v>3024</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2152</v>
      </c>
      <c r="B32" s="2441"/>
      <c r="C32" s="153">
        <f ca="1">IF(D32="总价",G19-C24,G20-C25)</f>
        <v>10302</v>
      </c>
      <c r="D32" s="2442" t="s">
        <v>2153</v>
      </c>
      <c r="E32" s="138"/>
      <c r="F32" s="138"/>
      <c r="G32" s="138"/>
      <c r="H32" s="138"/>
      <c r="I32" s="138"/>
    </row>
    <row r="33" spans="1:15" ht="15">
      <c r="A33" s="959" t="s">
        <v>2154</v>
      </c>
      <c r="B33" s="2443"/>
      <c r="C33" s="2444" t="s">
        <v>3183</v>
      </c>
      <c r="D33" s="2445"/>
      <c r="E33" s="2446" t="s">
        <v>2155</v>
      </c>
      <c r="F33" s="2447" t="str">
        <f>IF(D32="楼面单价","取值（单价）","取值（总价）")</f>
        <v>取值（总价）</v>
      </c>
      <c r="G33" s="138"/>
      <c r="H33" s="138"/>
      <c r="I33" s="138"/>
    </row>
    <row r="34" spans="1:15" ht="15">
      <c r="A34" s="2448"/>
      <c r="B34" s="2449" t="s">
        <v>2156</v>
      </c>
      <c r="C34" s="157">
        <f ca="1">IF(C33="自定义",F34,C32-C35)</f>
        <v>9241</v>
      </c>
      <c r="D34" s="1055">
        <f ca="1">IF(C33="自定义",ROUND(C34/C32,3),IF(C33="收益比率",SUMIF(INDIRECT("'"&amp;D33&amp;"'"&amp;"!b:b"),"土地收益比率",INDIRECT("'"&amp;D33&amp;"'"&amp;"!c:c")),SUMIF(INDIRECT("'"&amp;D33&amp;"'"&amp;"!b:b"),"土地成本比率",INDIRECT("'"&amp;D33&amp;"'"&amp;"!c:c"))))</f>
        <v>0.89700000000000002</v>
      </c>
      <c r="E34" s="2450" t="s">
        <v>2157</v>
      </c>
      <c r="F34" s="1735">
        <f ca="1">H101-F35</f>
        <v>9241</v>
      </c>
      <c r="G34" s="138"/>
      <c r="H34" s="138"/>
      <c r="I34" s="138"/>
    </row>
    <row r="35" spans="1:15" ht="15.75" thickBot="1">
      <c r="A35" s="2451"/>
      <c r="B35" s="2452" t="s">
        <v>2158</v>
      </c>
      <c r="C35" s="1440">
        <f ca="1">IF(C33="自定义",F35,ROUND(C32*D35,0))</f>
        <v>1061</v>
      </c>
      <c r="D35" s="1441">
        <f ca="1">IF(C33="自定义",ROUND(C35/C32,3),IF(C33="收益比率",SUMIF(INDIRECT("'"&amp;D33&amp;"'"&amp;"!b:b"),"建筑物收益比率",INDIRECT("'"&amp;D33&amp;"'"&amp;"!c:c")),SUMIF(INDIRECT("'"&amp;D33&amp;"'"&amp;"!b:b"),"建筑物成本比率",INDIRECT("'"&amp;D33&amp;"'"&amp;"!c:c"))))</f>
        <v>0.10299999999999999</v>
      </c>
      <c r="E35" s="2453" t="s">
        <v>2159</v>
      </c>
      <c r="F35" s="163">
        <f ca="1">'收益法-已出租'!C13+'收益法-未出租'!C13</f>
        <v>1061</v>
      </c>
      <c r="G35" s="138"/>
      <c r="H35" s="138"/>
      <c r="I35" s="138"/>
    </row>
    <row r="36" spans="1:15" ht="15.75" hidden="1" thickBot="1">
      <c r="A36" s="3162" t="s">
        <v>2160</v>
      </c>
      <c r="B36" s="2454" t="s">
        <v>2161</v>
      </c>
      <c r="C36" s="154"/>
      <c r="D36" s="2455"/>
      <c r="E36" s="2456"/>
      <c r="F36" s="2457"/>
      <c r="G36" s="138"/>
      <c r="H36" s="138"/>
      <c r="I36" s="138"/>
    </row>
    <row r="37" spans="1:15" ht="15.75" hidden="1" thickBot="1">
      <c r="A37" s="3163"/>
      <c r="B37" s="2262" t="s">
        <v>2162</v>
      </c>
      <c r="C37" s="156"/>
      <c r="D37" s="1391"/>
      <c r="E37" s="1391"/>
      <c r="F37" s="2457"/>
      <c r="G37" s="138"/>
      <c r="H37" s="138"/>
      <c r="I37" s="138"/>
    </row>
    <row r="38" spans="1:15" ht="15.75" hidden="1" thickBot="1">
      <c r="A38" s="3164"/>
      <c r="B38" s="2458" t="s">
        <v>2163</v>
      </c>
      <c r="C38" s="726"/>
      <c r="D38" s="2459" t="s">
        <v>2164</v>
      </c>
      <c r="E38" s="1391"/>
      <c r="F38" s="2457"/>
      <c r="G38" s="138"/>
      <c r="H38" s="138"/>
      <c r="I38" s="138"/>
    </row>
    <row r="39" spans="1:15" ht="15" hidden="1">
      <c r="A39" s="2430" t="s">
        <v>2165</v>
      </c>
      <c r="B39" s="2460" t="s">
        <v>2166</v>
      </c>
      <c r="C39" s="2461" t="s">
        <v>2167</v>
      </c>
      <c r="D39" s="2461" t="s">
        <v>2168</v>
      </c>
      <c r="E39" s="2462" t="s">
        <v>2169</v>
      </c>
      <c r="F39" s="2457"/>
      <c r="G39" s="138"/>
      <c r="H39" s="138"/>
      <c r="I39" s="138"/>
    </row>
    <row r="40" spans="1:15" ht="14.25" hidden="1">
      <c r="A40" s="2463" t="s">
        <v>2170</v>
      </c>
      <c r="B40" s="158"/>
      <c r="C40" s="159"/>
      <c r="D40" s="159"/>
      <c r="E40" s="160"/>
      <c r="F40" s="2457"/>
      <c r="G40" s="138"/>
      <c r="H40" s="138"/>
      <c r="I40" s="138"/>
    </row>
    <row r="41" spans="1:15" ht="14.25" hidden="1">
      <c r="A41" s="2463" t="s">
        <v>2171</v>
      </c>
      <c r="B41" s="158"/>
      <c r="C41" s="159"/>
      <c r="D41" s="159"/>
      <c r="E41" s="160"/>
      <c r="F41" s="2457"/>
      <c r="G41" s="138"/>
      <c r="H41" s="138"/>
      <c r="I41" s="138"/>
    </row>
    <row r="42" spans="1:15" ht="15" hidden="1" thickBot="1">
      <c r="A42" s="2464"/>
      <c r="B42" s="161"/>
      <c r="C42" s="162"/>
      <c r="D42" s="162"/>
      <c r="E42" s="163"/>
      <c r="F42" s="2457"/>
      <c r="G42" s="138"/>
      <c r="H42" s="138"/>
      <c r="I42" s="138"/>
    </row>
    <row r="43" spans="1:15" ht="12.75" hidden="1">
      <c r="A43" s="2161"/>
      <c r="B43" s="2161"/>
      <c r="C43" s="2161"/>
      <c r="D43" s="2161"/>
      <c r="E43" s="2161"/>
      <c r="F43" s="2465"/>
      <c r="G43" s="2465"/>
      <c r="H43" s="2465"/>
      <c r="I43" s="2466"/>
    </row>
    <row r="44" spans="1:15" ht="18.75" hidden="1">
      <c r="A44" s="2467" t="s">
        <v>2172</v>
      </c>
      <c r="B44" s="2468"/>
      <c r="C44" s="2468"/>
      <c r="D44" s="2469"/>
      <c r="E44" s="2469"/>
      <c r="F44" s="2470"/>
      <c r="G44" s="2470"/>
      <c r="H44" s="2470"/>
      <c r="I44" s="2470"/>
      <c r="J44" s="2471" t="s">
        <v>2173</v>
      </c>
      <c r="K44" s="2472"/>
      <c r="L44" s="2472"/>
      <c r="M44" s="2472"/>
      <c r="N44" s="2472"/>
      <c r="O44" s="2472"/>
    </row>
    <row r="45" spans="1:15" ht="14.25" hidden="1" customHeight="1" thickBot="1">
      <c r="A45" s="3179" t="s">
        <v>2174</v>
      </c>
      <c r="B45" s="3180"/>
      <c r="C45" s="3181"/>
      <c r="D45" s="164">
        <f ca="1">ROUND(H101*F45,0)</f>
        <v>10302</v>
      </c>
      <c r="E45" s="165" t="s">
        <v>2175</v>
      </c>
      <c r="F45" s="166">
        <v>1</v>
      </c>
      <c r="G45" s="167" t="s">
        <v>2176</v>
      </c>
      <c r="H45" s="138"/>
      <c r="I45" s="138"/>
      <c r="J45" s="3098" t="s">
        <v>2177</v>
      </c>
      <c r="K45" s="3098"/>
      <c r="L45" s="3098"/>
      <c r="M45" s="3098"/>
      <c r="N45" s="3098"/>
      <c r="O45" s="3098"/>
    </row>
    <row r="46" spans="1:15" ht="14.25" hidden="1" customHeight="1">
      <c r="A46" s="3176" t="s">
        <v>2178</v>
      </c>
      <c r="B46" s="3177"/>
      <c r="C46" s="3177"/>
      <c r="D46" s="3177"/>
      <c r="E46" s="3177"/>
      <c r="F46" s="3177"/>
      <c r="G46" s="3178"/>
      <c r="H46" s="2473"/>
      <c r="I46" s="168"/>
      <c r="J46" s="1807">
        <v>1</v>
      </c>
      <c r="K46" s="3098" t="s">
        <v>2179</v>
      </c>
      <c r="L46" s="3098"/>
      <c r="M46" s="3099"/>
      <c r="N46" s="3099"/>
      <c r="O46" s="3099"/>
    </row>
    <row r="47" spans="1:15" ht="12" hidden="1" customHeight="1">
      <c r="A47" s="169" t="s">
        <v>2180</v>
      </c>
      <c r="B47" s="170"/>
      <c r="C47" s="171"/>
      <c r="D47" s="172" t="s">
        <v>2181</v>
      </c>
      <c r="E47" s="24" t="s">
        <v>2182</v>
      </c>
      <c r="F47" s="173" t="s">
        <v>2183</v>
      </c>
      <c r="G47" s="174" t="s">
        <v>2184</v>
      </c>
      <c r="H47" s="2473"/>
      <c r="I47" s="168"/>
      <c r="J47" s="1807">
        <v>2</v>
      </c>
      <c r="K47" s="3098" t="s">
        <v>2185</v>
      </c>
      <c r="L47" s="3098"/>
      <c r="M47" s="3100">
        <f>'数据-取费表'!B2</f>
        <v>43132</v>
      </c>
      <c r="N47" s="3100"/>
      <c r="O47" s="3100"/>
    </row>
    <row r="48" spans="1:15" ht="25.5" hidden="1">
      <c r="A48" s="3166" t="s">
        <v>2186</v>
      </c>
      <c r="B48" s="3167"/>
      <c r="C48" s="3167"/>
      <c r="D48" s="140">
        <f>IF(H48="情况1",0,IF(H48="情况2",D52,IF(H48="情况3",D53,IF(H48="情况4",D54))))</f>
        <v>0</v>
      </c>
      <c r="E48" s="1796" t="str">
        <f>IF(H48="情况4","(销售额-原购置价)×税（费）率","销售额×税（费）率")</f>
        <v>销售额×税（费）率</v>
      </c>
      <c r="F48" s="175" t="str">
        <f>IF(H48="情况1","免征",'数据-取费表'!B41)</f>
        <v>免征</v>
      </c>
      <c r="G48" s="2474" t="s">
        <v>2187</v>
      </c>
      <c r="H48" s="2475" t="s">
        <v>2188</v>
      </c>
      <c r="I48" s="2473"/>
      <c r="J48" s="1807">
        <v>3</v>
      </c>
      <c r="K48" s="3098" t="s">
        <v>2189</v>
      </c>
      <c r="L48" s="3098"/>
      <c r="M48" s="3101">
        <f ca="1">H101</f>
        <v>10302</v>
      </c>
      <c r="N48" s="3101"/>
      <c r="O48" s="3101"/>
    </row>
    <row r="49" spans="1:35" ht="25.5" hidden="1" customHeight="1">
      <c r="A49" s="176" t="s">
        <v>2190</v>
      </c>
      <c r="B49" s="3146" t="s">
        <v>2191</v>
      </c>
      <c r="C49" s="3146"/>
      <c r="D49" s="177">
        <v>0</v>
      </c>
      <c r="E49" s="23" t="s">
        <v>2192</v>
      </c>
      <c r="F49" s="28" t="s">
        <v>34</v>
      </c>
      <c r="G49" s="3127"/>
      <c r="H49" s="138"/>
      <c r="I49" s="2476"/>
      <c r="J49" s="1807">
        <v>4</v>
      </c>
      <c r="K49" s="3098" t="str">
        <f>IF(项目基本情况!E8="房地产抵押价值","房地产抵押价值","抵押担保权已注销时的房地产抵押价值")</f>
        <v>房地产抵押价值</v>
      </c>
      <c r="L49" s="3098"/>
      <c r="M49" s="3101">
        <f ca="1">IF(项目基本情况!E8="房地产抵押价值",H107,H109)</f>
        <v>10302</v>
      </c>
      <c r="N49" s="3101"/>
      <c r="O49" s="3101"/>
    </row>
    <row r="50" spans="1:35" ht="25.5" hidden="1" customHeight="1">
      <c r="A50" s="178"/>
      <c r="B50" s="3146" t="s">
        <v>2193</v>
      </c>
      <c r="C50" s="3146"/>
      <c r="D50" s="179"/>
      <c r="E50" s="31"/>
      <c r="F50" s="180"/>
      <c r="G50" s="3128"/>
      <c r="H50" s="138"/>
      <c r="I50" s="2476"/>
      <c r="J50" s="3098" t="s">
        <v>2194</v>
      </c>
      <c r="K50" s="3098"/>
      <c r="L50" s="3098"/>
      <c r="M50" s="3098"/>
      <c r="N50" s="3098"/>
      <c r="O50" s="3098"/>
    </row>
    <row r="51" spans="1:35" ht="12" hidden="1" customHeight="1">
      <c r="A51" s="181"/>
      <c r="B51" s="3146" t="s">
        <v>2195</v>
      </c>
      <c r="C51" s="3146"/>
      <c r="D51" s="182"/>
      <c r="E51" s="30"/>
      <c r="F51" s="180"/>
      <c r="G51" s="3129"/>
      <c r="H51" s="138"/>
      <c r="I51" s="2476"/>
      <c r="J51" s="2477" t="s">
        <v>2196</v>
      </c>
      <c r="K51" s="3098" t="s">
        <v>2197</v>
      </c>
      <c r="L51" s="3098"/>
      <c r="M51" s="2477" t="s">
        <v>2198</v>
      </c>
      <c r="N51" s="2477" t="s">
        <v>2199</v>
      </c>
      <c r="O51" s="2477" t="s">
        <v>2200</v>
      </c>
    </row>
    <row r="52" spans="1:35" ht="24" hidden="1" customHeight="1">
      <c r="A52" s="183" t="s">
        <v>2201</v>
      </c>
      <c r="B52" s="3146" t="s">
        <v>2202</v>
      </c>
      <c r="C52" s="3146"/>
      <c r="D52" s="182">
        <f ca="1">ROUND(D45*'数据-取费表'!B41/(1+'数据-取费表'!C42),0)</f>
        <v>549</v>
      </c>
      <c r="E52" s="11" t="s">
        <v>2203</v>
      </c>
      <c r="F52" s="184">
        <f>'数据-取费表'!B41</f>
        <v>5.6000000000000001E-2</v>
      </c>
      <c r="G52" s="2478"/>
      <c r="H52" s="138"/>
      <c r="I52" s="2476"/>
      <c r="J52" s="1807">
        <v>1</v>
      </c>
      <c r="K52" s="3121" t="s">
        <v>2204</v>
      </c>
      <c r="L52" s="3121"/>
      <c r="M52" s="1750">
        <f>D48</f>
        <v>0</v>
      </c>
      <c r="N52" s="1807" t="str">
        <f>E48</f>
        <v>销售额×税（费）率</v>
      </c>
      <c r="O52" s="1751" t="str">
        <f>F48</f>
        <v>免征</v>
      </c>
    </row>
    <row r="53" spans="1:35" ht="12" hidden="1" customHeight="1">
      <c r="A53" s="183" t="s">
        <v>2205</v>
      </c>
      <c r="B53" s="3147" t="s">
        <v>2206</v>
      </c>
      <c r="C53" s="3148"/>
      <c r="D53" s="182">
        <f ca="1">ROUND(D45*'数据-取费表'!B41/(1+'数据-取费表'!C42),0)</f>
        <v>549</v>
      </c>
      <c r="E53" s="11" t="s">
        <v>2203</v>
      </c>
      <c r="F53" s="184">
        <f>'数据-取费表'!B41</f>
        <v>5.6000000000000001E-2</v>
      </c>
      <c r="G53" s="2478"/>
      <c r="H53" s="138"/>
      <c r="I53" s="2476"/>
      <c r="J53" s="1807">
        <v>2</v>
      </c>
      <c r="K53" s="3121" t="s">
        <v>2207</v>
      </c>
      <c r="L53" s="3121"/>
      <c r="M53" s="1750">
        <f t="shared" ref="M53:O54" ca="1" si="0">D55</f>
        <v>5</v>
      </c>
      <c r="N53" s="1807" t="str">
        <f t="shared" si="0"/>
        <v>销售额×税（费）率</v>
      </c>
      <c r="O53" s="1751">
        <f t="shared" si="0"/>
        <v>5.0000000000000001E-4</v>
      </c>
    </row>
    <row r="54" spans="1:35" ht="12" hidden="1" customHeight="1">
      <c r="A54" s="183" t="s">
        <v>2208</v>
      </c>
      <c r="B54" s="3147" t="s">
        <v>2209</v>
      </c>
      <c r="C54" s="3148"/>
      <c r="D54" s="182">
        <f ca="1">C68</f>
        <v>549</v>
      </c>
      <c r="E54" s="30" t="s">
        <v>2210</v>
      </c>
      <c r="F54" s="184">
        <f>'数据-取费表'!B41</f>
        <v>5.6000000000000001E-2</v>
      </c>
      <c r="G54" s="2478"/>
      <c r="H54" s="2479"/>
      <c r="I54" s="2476"/>
      <c r="J54" s="1807">
        <v>3</v>
      </c>
      <c r="K54" s="3121" t="s">
        <v>2211</v>
      </c>
      <c r="L54" s="3121"/>
      <c r="M54" s="1750">
        <f t="shared" ca="1" si="0"/>
        <v>5831</v>
      </c>
      <c r="N54" s="1807" t="str">
        <f t="shared" si="0"/>
        <v>增值额×税（费）率</v>
      </c>
      <c r="O54" s="1752" t="str">
        <f t="shared" si="0"/>
        <v>——</v>
      </c>
    </row>
    <row r="55" spans="1:35" ht="24" hidden="1" customHeight="1">
      <c r="A55" s="3185" t="s">
        <v>2212</v>
      </c>
      <c r="B55" s="3167"/>
      <c r="C55" s="3167"/>
      <c r="D55" s="185">
        <f ca="1">IF(H55="个人住宅",0,ROUND(D45*I55,0))</f>
        <v>5</v>
      </c>
      <c r="E55" s="11" t="s">
        <v>2213</v>
      </c>
      <c r="F55" s="184">
        <f>IF(H55="正常",I55,"免征")</f>
        <v>5.0000000000000001E-4</v>
      </c>
      <c r="G55" s="2478"/>
      <c r="H55" s="2475" t="s">
        <v>2214</v>
      </c>
      <c r="I55" s="186">
        <f>'数据-取费表'!B49</f>
        <v>5.0000000000000001E-4</v>
      </c>
      <c r="J55" s="1807" t="str">
        <f>IF(H59="非个人房产","",4)</f>
        <v/>
      </c>
      <c r="K55" s="3121" t="str">
        <f>IF(H59="非个人房产","——","个人所得税")</f>
        <v>——</v>
      </c>
      <c r="L55" s="3121"/>
      <c r="M55" s="1753" t="str">
        <f>D59</f>
        <v>——</v>
      </c>
      <c r="N55" s="1805" t="str">
        <f>E59</f>
        <v>——</v>
      </c>
      <c r="O55" s="1754" t="str">
        <f>F59</f>
        <v>——</v>
      </c>
    </row>
    <row r="56" spans="1:35" ht="24.75" hidden="1">
      <c r="A56" s="3185" t="s">
        <v>2215</v>
      </c>
      <c r="B56" s="3167"/>
      <c r="C56" s="3167"/>
      <c r="D56" s="185">
        <f ca="1">IF(H56="个人住宅",D57,D58)</f>
        <v>5831</v>
      </c>
      <c r="E56" s="11" t="s">
        <v>2216</v>
      </c>
      <c r="F56" s="184" t="str">
        <f>IF(H56="正常",F58,"免征")</f>
        <v>——</v>
      </c>
      <c r="G56" s="2480" t="s">
        <v>2217</v>
      </c>
      <c r="H56" s="2481" t="s">
        <v>2214</v>
      </c>
      <c r="I56" s="2482"/>
      <c r="J56" s="1807" t="str">
        <f>IF(项目基本情况!K6="上海银行",IF(J55="",4,J55+1),"")</f>
        <v/>
      </c>
      <c r="K56" s="3104" t="str">
        <f>IF(项目基本情况!K6="上海银行","其他处置费用","")</f>
        <v/>
      </c>
      <c r="L56" s="3105"/>
      <c r="M56" s="1750" t="str">
        <f>IF(项目基本情况!K6="上海银行",M69,"")</f>
        <v/>
      </c>
      <c r="N56" s="3107" t="str">
        <f>IF(项目基本情况!K6="上海银行","包含处置中涉及的律师、诉讼、拍卖、评估等费用","")</f>
        <v/>
      </c>
      <c r="O56" s="3108"/>
    </row>
    <row r="57" spans="1:35" ht="12.75" hidden="1">
      <c r="A57" s="183" t="s">
        <v>2190</v>
      </c>
      <c r="B57" s="3152" t="s">
        <v>2218</v>
      </c>
      <c r="C57" s="3153"/>
      <c r="D57" s="187">
        <v>0</v>
      </c>
      <c r="E57" s="23" t="s">
        <v>2192</v>
      </c>
      <c r="F57" s="155"/>
      <c r="G57" s="2478"/>
      <c r="H57" s="2482"/>
      <c r="I57" s="2482"/>
      <c r="J57" s="3121">
        <f>IF(AND(J55="",J56=""),4,IF(项目基本情况!K6="上海银行",结果表!J56+1,结果表!J55+1))</f>
        <v>4</v>
      </c>
      <c r="K57" s="3121" t="s">
        <v>2219</v>
      </c>
      <c r="L57" s="2483" t="s">
        <v>2220</v>
      </c>
      <c r="M57" s="1755"/>
      <c r="N57" s="1756">
        <f ca="1">SUMIF(M52:M56,"&lt;9e307")</f>
        <v>5836</v>
      </c>
      <c r="O57" s="2484"/>
      <c r="P57" s="1749">
        <f ca="1">N57/M49</f>
        <v>0.56649194331197827</v>
      </c>
    </row>
    <row r="58" spans="1:35" ht="24.75" hidden="1">
      <c r="A58" s="183" t="s">
        <v>2201</v>
      </c>
      <c r="B58" s="3152" t="s">
        <v>2221</v>
      </c>
      <c r="C58" s="3165"/>
      <c r="D58" s="185">
        <f ca="1">IF(H58="转让取得",C81,C97)</f>
        <v>5831</v>
      </c>
      <c r="E58" s="11" t="s">
        <v>2216</v>
      </c>
      <c r="F58" s="24" t="s">
        <v>34</v>
      </c>
      <c r="G58" s="2478"/>
      <c r="H58" s="2481" t="s">
        <v>2222</v>
      </c>
      <c r="I58" s="2482"/>
      <c r="J58" s="3121"/>
      <c r="K58" s="3121"/>
      <c r="L58" s="2483" t="s">
        <v>2223</v>
      </c>
      <c r="M58" s="1757"/>
      <c r="N58" s="2485" t="str">
        <f ca="1">NUMBERSTRING(INT(N57*10000),2)&amp;"元整"</f>
        <v>伍仟捌佰叁拾陆万元整</v>
      </c>
      <c r="O58" s="2486"/>
    </row>
    <row r="59" spans="1:35" ht="24.75" hidden="1" thickBot="1">
      <c r="A59" s="3125" t="s">
        <v>2224</v>
      </c>
      <c r="B59" s="3126"/>
      <c r="C59" s="3126"/>
      <c r="D59" s="188" t="str">
        <f>IF(H59="非个人房产","——",IF(H59="个人住宅",0,ROUND(D45*I59,0)))</f>
        <v>——</v>
      </c>
      <c r="E59" s="189" t="str">
        <f>IF(H59="非个人房产","——","销售额×税（费）率")</f>
        <v>——</v>
      </c>
      <c r="F59" s="190" t="str">
        <f>IF(H59="非个人房产","——",IF(H59="个人住宅","免征",I59))</f>
        <v>——</v>
      </c>
      <c r="G59" s="2487" t="s">
        <v>2217</v>
      </c>
      <c r="H59" s="2481" t="s">
        <v>2225</v>
      </c>
      <c r="I59" s="191">
        <v>0.01</v>
      </c>
      <c r="J59" s="3123">
        <f>J57+1</f>
        <v>5</v>
      </c>
      <c r="K59" s="3121" t="s">
        <v>2226</v>
      </c>
      <c r="L59" s="1807" t="s">
        <v>2220</v>
      </c>
      <c r="M59" s="1758"/>
      <c r="N59" s="1759">
        <f ca="1">M49-N57</f>
        <v>4466</v>
      </c>
      <c r="O59" s="2488"/>
    </row>
    <row r="60" spans="1:35" ht="12" hidden="1" customHeight="1">
      <c r="A60" s="2489"/>
      <c r="B60" s="2411"/>
      <c r="C60" s="2411"/>
      <c r="D60" s="2411"/>
      <c r="E60" s="2162"/>
      <c r="F60" s="2482"/>
      <c r="G60" s="2482"/>
      <c r="H60" s="2490"/>
      <c r="I60" s="138"/>
      <c r="J60" s="3124"/>
      <c r="K60" s="3121"/>
      <c r="L60" s="2483" t="s">
        <v>2223</v>
      </c>
      <c r="M60" s="1757"/>
      <c r="N60" s="2485" t="str">
        <f ca="1">NUMBERSTRING(INT(N59*10000),2)&amp;"元整"</f>
        <v>肆仟肆佰陆拾陆万元整</v>
      </c>
      <c r="O60" s="2486"/>
    </row>
    <row r="61" spans="1:35" ht="13.5" hidden="1" thickBot="1">
      <c r="A61" s="3184" t="s">
        <v>2227</v>
      </c>
      <c r="B61" s="3184"/>
      <c r="C61" s="3184"/>
      <c r="D61" s="3184"/>
      <c r="E61" s="3184"/>
      <c r="F61" s="2482"/>
      <c r="G61" s="2482"/>
      <c r="H61" s="2490"/>
      <c r="I61" s="138"/>
      <c r="J61" s="1807">
        <f>J59+1</f>
        <v>6</v>
      </c>
      <c r="K61" s="3121" t="s">
        <v>2228</v>
      </c>
      <c r="L61" s="3121"/>
      <c r="M61" s="1760"/>
      <c r="N61" s="1761">
        <f ca="1">ROUND(N59*10000/'数据-汇总表'!E3,0)</f>
        <v>16781</v>
      </c>
      <c r="O61" s="2491"/>
    </row>
    <row r="62" spans="1:35" ht="12.75" hidden="1">
      <c r="A62" s="3141" t="s">
        <v>2229</v>
      </c>
      <c r="B62" s="3142"/>
      <c r="C62" s="1799"/>
      <c r="D62" s="1799" t="s">
        <v>2230</v>
      </c>
      <c r="E62" s="192" t="s">
        <v>2231</v>
      </c>
      <c r="F62" s="2482"/>
      <c r="G62" s="2482"/>
      <c r="H62" s="2490"/>
      <c r="I62" s="138"/>
    </row>
    <row r="63" spans="1:35" ht="12.75" hidden="1">
      <c r="A63" s="203" t="s">
        <v>775</v>
      </c>
      <c r="B63" s="193" t="s">
        <v>2232</v>
      </c>
      <c r="C63" s="194">
        <f ca="1">ROUND((C64+C65)/(1+'数据-取费表'!C42),0)</f>
        <v>9811</v>
      </c>
      <c r="D63" s="195"/>
      <c r="E63" s="196"/>
      <c r="F63" s="2482"/>
      <c r="G63" s="2482"/>
      <c r="H63" s="2490"/>
      <c r="I63" s="138"/>
      <c r="J63" s="3106" t="s">
        <v>2233</v>
      </c>
      <c r="K63" s="2492" t="s">
        <v>2234</v>
      </c>
      <c r="L63" s="1748">
        <f ca="1">IF(M49&gt;10000,M49*0.5%,IF(AND(M49&gt;1000,M49&lt;=10000),M49*1%,IF(AND(M49&gt;100,M49&lt;=1000),M49*3%,IF(AND(M49&gt;10,M49&lt;=100),M49*5%,M49*8%))))</f>
        <v>51.51</v>
      </c>
      <c r="M63" s="24">
        <f ca="1">ROUND(L63,1)</f>
        <v>51.5</v>
      </c>
      <c r="Z63" s="2416"/>
      <c r="AI63" s="2417"/>
    </row>
    <row r="64" spans="1:35" ht="14.25" hidden="1" customHeight="1">
      <c r="A64" s="197" t="s">
        <v>770</v>
      </c>
      <c r="B64" s="198" t="s">
        <v>2235</v>
      </c>
      <c r="C64" s="199">
        <f ca="1">D45</f>
        <v>10302</v>
      </c>
      <c r="D64" s="200" t="s">
        <v>32</v>
      </c>
      <c r="E64" s="201"/>
      <c r="F64" s="2482"/>
      <c r="G64" s="2482"/>
      <c r="H64" s="2490"/>
      <c r="I64" s="138"/>
      <c r="J64" s="3106"/>
      <c r="K64" s="2492" t="s">
        <v>2236</v>
      </c>
      <c r="L64" s="1748">
        <f ca="1">IF(M49&gt;2000,M49*0.5%,IF(AND(M49&gt;1000,M49&lt;=2000),M49*0.6%,IF(AND(M49&gt;500,M49&lt;=1000),M49*0.7%,IF(AND(M49&gt;200,M49&lt;=500),M49*0.8%,IF(AND(M49&gt;100,M49&lt;=200),M49*0.9%,IF(AND(M49&gt;50,M49&lt;=100),M49*1%,IF(AND(M49&gt;20,M49&lt;=50),M49*1.5%,IF(AND(M49&gt;10,M49&lt;=20),M49*2%,IF(AND(M49&gt;1,M49&lt;=10),M49*2.5%)))))))))</f>
        <v>51.51</v>
      </c>
      <c r="M64" s="24">
        <f t="shared" ref="M64:M65" ca="1" si="1">ROUND(L64,1)</f>
        <v>51.5</v>
      </c>
      <c r="N64" s="138" t="s">
        <v>2237</v>
      </c>
      <c r="Z64" s="2416"/>
      <c r="AI64" s="2417"/>
    </row>
    <row r="65" spans="1:35" ht="14.25" hidden="1" customHeight="1">
      <c r="A65" s="197" t="s">
        <v>771</v>
      </c>
      <c r="B65" s="198" t="s">
        <v>2238</v>
      </c>
      <c r="C65" s="202"/>
      <c r="D65" s="200"/>
      <c r="E65" s="201"/>
      <c r="F65" s="2482"/>
      <c r="G65" s="2482"/>
      <c r="H65" s="2490"/>
      <c r="I65" s="138"/>
      <c r="J65" s="3106"/>
      <c r="K65" s="2492" t="s">
        <v>2239</v>
      </c>
      <c r="L65" s="1748">
        <f ca="1">IF(M49&gt;1000,M49*0.1%,IF(AND(M49&gt;500,M49&lt;=1000),M49*0.5%,IF(AND(M49&gt;50,M49&lt;=500),M49*1%,IF(AND(M49&gt;1,M49&lt;=50),M49*1.5%))))</f>
        <v>10.302</v>
      </c>
      <c r="M65" s="24">
        <f t="shared" ca="1" si="1"/>
        <v>10.3</v>
      </c>
      <c r="N65" s="138" t="s">
        <v>2237</v>
      </c>
      <c r="Z65" s="2416"/>
      <c r="AI65" s="2417"/>
    </row>
    <row r="66" spans="1:35" ht="14.25" hidden="1" customHeight="1">
      <c r="A66" s="203" t="s">
        <v>772</v>
      </c>
      <c r="B66" s="204" t="s">
        <v>2240</v>
      </c>
      <c r="C66" s="205"/>
      <c r="D66" s="206" t="s">
        <v>32</v>
      </c>
      <c r="E66" s="1771" t="s">
        <v>1371</v>
      </c>
      <c r="F66" s="2482"/>
      <c r="G66" s="2482"/>
      <c r="H66" s="2490"/>
      <c r="I66" s="138"/>
      <c r="J66" s="3106"/>
      <c r="K66" s="2492" t="s">
        <v>2241</v>
      </c>
      <c r="L66" s="1748">
        <f ca="1">M49*0.5%</f>
        <v>51.51</v>
      </c>
      <c r="M66" s="24">
        <f ca="1">IF(L66&gt;0.5,0.5,ROUND(L66,0))</f>
        <v>0.5</v>
      </c>
      <c r="N66" s="138" t="s">
        <v>2242</v>
      </c>
      <c r="Z66" s="2416"/>
      <c r="AI66" s="2417"/>
    </row>
    <row r="67" spans="1:35" ht="14.25" hidden="1" customHeight="1">
      <c r="A67" s="203" t="s">
        <v>773</v>
      </c>
      <c r="B67" s="204" t="s">
        <v>2243</v>
      </c>
      <c r="C67" s="207">
        <f ca="1">C63-C66</f>
        <v>9811</v>
      </c>
      <c r="D67" s="200" t="s">
        <v>32</v>
      </c>
      <c r="E67" s="201"/>
      <c r="F67" s="2482"/>
      <c r="G67" s="2482"/>
      <c r="H67" s="2490"/>
      <c r="I67" s="138"/>
      <c r="J67" s="3106"/>
      <c r="K67" s="2492" t="s">
        <v>2244</v>
      </c>
      <c r="L67" s="1748">
        <f ca="1">IF(M49&gt;=10000,(8.25+(M49-10000)*0.01%),IF(AND(M49&gt;=8000,M49&lt;10000),(7.85+(M49-8000)*0.02%),IF(AND(M49&gt;=5000,M49&lt;8000),(6.65+(M49-5000)*0.04%),IF(AND(M49&gt;=2000,M49&lt;5000),(4.25+(PM49-2000)*0.08%),IF(AND(M49&gt;=1000,M49&lt;2000),(2.75+(M49-1000)*0.15%),IF(AND(M49&gt;=100,M49&lt;1000),(0.5+(M49-100)*0.25%),IF(AND(M49&gt;0,M49&lt;100),M49*0.5%)))))))</f>
        <v>8.2802000000000007</v>
      </c>
      <c r="M67" s="24">
        <f ca="1">ROUND(L67*0.9,1)</f>
        <v>7.5</v>
      </c>
      <c r="Z67" s="2416"/>
      <c r="AI67" s="2417"/>
    </row>
    <row r="68" spans="1:35" ht="14.25" hidden="1" customHeight="1" thickBot="1">
      <c r="A68" s="208" t="s">
        <v>774</v>
      </c>
      <c r="B68" s="209" t="s">
        <v>2245</v>
      </c>
      <c r="C68" s="210">
        <f ca="1">IF(C67&lt;=0,0,ROUND(C67*D68,0))</f>
        <v>549</v>
      </c>
      <c r="D68" s="211">
        <f>'数据-取费表'!B41</f>
        <v>5.6000000000000001E-2</v>
      </c>
      <c r="E68" s="212"/>
      <c r="F68" s="2482"/>
      <c r="G68" s="2482"/>
      <c r="H68" s="2490"/>
      <c r="I68" s="138"/>
      <c r="J68" s="3106"/>
      <c r="K68" s="2492" t="s">
        <v>2246</v>
      </c>
      <c r="L68" s="1748">
        <f ca="1">IF(M49&gt;10000,M49*0.5%,IF(AND(M49&gt;5000,M49&lt;=10000),M49*1%,IF(AND(M49&gt;1000,M49&lt;=5000),M49*2%,IF(AND(M49&gt;200,M49&lt;=1000),M49*3%,M49*5%))))</f>
        <v>51.51</v>
      </c>
      <c r="M68" s="24">
        <f ca="1">ROUND(L68,1)</f>
        <v>51.5</v>
      </c>
      <c r="Z68" s="2416"/>
      <c r="AI68" s="2417"/>
    </row>
    <row r="69" spans="1:35" s="2439" customFormat="1" ht="16.5" hidden="1" customHeight="1">
      <c r="A69" s="2493"/>
      <c r="B69" s="2494"/>
      <c r="C69" s="2495"/>
      <c r="D69" s="2496"/>
      <c r="E69" s="2497"/>
      <c r="F69" s="2162"/>
      <c r="G69" s="2162"/>
      <c r="H69" s="2161"/>
      <c r="I69" s="2411"/>
      <c r="J69" s="3106"/>
      <c r="K69" s="2492" t="s">
        <v>2247</v>
      </c>
      <c r="L69" s="2498"/>
      <c r="M69" s="24">
        <f ca="1">ROUND(SUM(M63:M68),0)</f>
        <v>173</v>
      </c>
      <c r="N69" s="1749">
        <f ca="1">M69/M49</f>
        <v>1.6792855756163853E-2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50" t="s">
        <v>2248</v>
      </c>
      <c r="B70" s="3151"/>
      <c r="C70" s="3151"/>
      <c r="D70" s="3151"/>
      <c r="E70" s="3151"/>
      <c r="F70" s="3151"/>
      <c r="G70" s="3151"/>
      <c r="H70" s="315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41" t="s">
        <v>2229</v>
      </c>
      <c r="B71" s="3142"/>
      <c r="C71" s="1799"/>
      <c r="D71" s="1799" t="s">
        <v>2230</v>
      </c>
      <c r="E71" s="213" t="s">
        <v>2231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2249</v>
      </c>
      <c r="C72" s="207">
        <f ca="1">ROUND(D45/(1+'数据-取费表'!C42),0)</f>
        <v>9811</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2250</v>
      </c>
      <c r="C73" s="207">
        <f ca="1">C74+C78</f>
        <v>59</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2251</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2252</v>
      </c>
      <c r="C75" s="218"/>
      <c r="D75" s="200" t="s">
        <v>32</v>
      </c>
      <c r="E75" s="219" t="s">
        <v>2253</v>
      </c>
      <c r="F75" s="2504" t="s">
        <v>2254</v>
      </c>
      <c r="G75" s="219" t="s">
        <v>2255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2256</v>
      </c>
      <c r="C76" s="200">
        <f>IF(F75="购房发票",ROUND(C75*H75*D76,0),0)</f>
        <v>0</v>
      </c>
      <c r="D76" s="222">
        <v>0.05</v>
      </c>
      <c r="E76" s="3147" t="s">
        <v>2257</v>
      </c>
      <c r="F76" s="3146"/>
      <c r="G76" s="3146"/>
      <c r="H76" s="314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6" t="s">
        <v>2260</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2261</v>
      </c>
      <c r="C78" s="225">
        <f ca="1">ROUND(D45*D78/(1+'数据-取费表'!C42),0)</f>
        <v>59</v>
      </c>
      <c r="D78" s="226">
        <f>'数据-取费表'!B43</f>
        <v>6.000000000000001E-3</v>
      </c>
      <c r="E78" s="3138" t="s">
        <v>2262</v>
      </c>
      <c r="F78" s="3139"/>
      <c r="G78" s="3139"/>
      <c r="H78" s="314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2263</v>
      </c>
      <c r="C79" s="207">
        <f ca="1">C72-C73</f>
        <v>9752</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2264</v>
      </c>
      <c r="C80" s="227">
        <f ca="1">IF(C79&lt;=0,0,C79/C73)</f>
        <v>165.28813559322035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2265</v>
      </c>
      <c r="C81" s="228">
        <f ca="1">ROUND(IF(C79&lt;=0,0,IF(C80&gt;=200%,C79*60%-C73*35%,IF(C80&gt;=100%,C79*50%-C73*15%,IF(C80&gt;=50%,C79*40%-C73*5%,IF(C80&lt;50%,C79*30%,0))))),0)</f>
        <v>5831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50" t="s">
        <v>2266</v>
      </c>
      <c r="B83" s="3151"/>
      <c r="C83" s="3151"/>
      <c r="D83" s="3151"/>
      <c r="E83" s="3151"/>
      <c r="F83" s="3151"/>
      <c r="G83" s="3151"/>
      <c r="H83" s="315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41" t="s">
        <v>2229</v>
      </c>
      <c r="B84" s="3142"/>
      <c r="C84" s="1799"/>
      <c r="D84" s="1799" t="s">
        <v>2230</v>
      </c>
      <c r="E84" s="213" t="s">
        <v>2231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2249</v>
      </c>
      <c r="C85" s="207">
        <f ca="1">ROUND(D45/(1+'数据-取费表'!C42),0)</f>
        <v>9811</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2250</v>
      </c>
      <c r="C86" s="207">
        <f ca="1">IF(H88="仅含出让金",C87+C90+C91+C92+C93+C94,C87+C91+C92+C93+C94)</f>
        <v>59</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2267</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2268</v>
      </c>
      <c r="C88" s="236"/>
      <c r="D88" s="226"/>
      <c r="E88" s="237" t="s">
        <v>2269</v>
      </c>
      <c r="F88" s="1795"/>
      <c r="G88" s="238"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2258</v>
      </c>
      <c r="C89" s="225">
        <f>ROUND(C88*D89,0)</f>
        <v>0</v>
      </c>
      <c r="D89" s="226">
        <f>'数据-取费表'!B48+'数据-取费表'!B49</f>
        <v>3.0499999999999999E-2</v>
      </c>
      <c r="E89" s="237" t="s">
        <v>2271</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2272</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2273</v>
      </c>
      <c r="B91" s="198" t="s">
        <v>2274</v>
      </c>
      <c r="C91" s="225">
        <f>IF(H91="——",成本法!C33,I91)</f>
        <v>0</v>
      </c>
      <c r="D91" s="226"/>
      <c r="E91" s="3138" t="s">
        <v>2275</v>
      </c>
      <c r="F91" s="3139"/>
      <c r="G91" s="3139"/>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2277</v>
      </c>
      <c r="B92" s="198" t="s">
        <v>2278</v>
      </c>
      <c r="C92" s="225">
        <f>ROUND((C87+C90+C91)*D92,0)</f>
        <v>0</v>
      </c>
      <c r="D92" s="226">
        <v>0.1</v>
      </c>
      <c r="E92" s="3138" t="s">
        <v>2279</v>
      </c>
      <c r="F92" s="3139"/>
      <c r="G92" s="3139"/>
      <c r="H92" s="314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2280</v>
      </c>
      <c r="B93" s="198" t="s">
        <v>2261</v>
      </c>
      <c r="C93" s="225">
        <f ca="1">ROUND(D45*D93/(1+'数据-取费表'!C42),0)</f>
        <v>59</v>
      </c>
      <c r="D93" s="226">
        <f>'数据-取费表'!B43</f>
        <v>6.000000000000001E-3</v>
      </c>
      <c r="E93" s="3138" t="s">
        <v>2262</v>
      </c>
      <c r="F93" s="3139"/>
      <c r="G93" s="3139"/>
      <c r="H93" s="314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2281</v>
      </c>
      <c r="B94" s="198" t="s">
        <v>2282</v>
      </c>
      <c r="C94" s="236">
        <f>ROUND((C87+C90+C91)*D94,0)</f>
        <v>0</v>
      </c>
      <c r="D94" s="226">
        <v>0.2</v>
      </c>
      <c r="E94" s="3186" t="s">
        <v>2283</v>
      </c>
      <c r="F94" s="3187"/>
      <c r="G94" s="3187"/>
      <c r="H94" s="318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2263</v>
      </c>
      <c r="C95" s="207">
        <f ca="1">ROUND(C85-C86,0)</f>
        <v>9752</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2264</v>
      </c>
      <c r="C96" s="227">
        <f ca="1">IF(C95&lt;=0,0,C95/C86)</f>
        <v>165.28813559322035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2265</v>
      </c>
      <c r="C97" s="228">
        <f ca="1">ROUND(IF(C95&lt;=0,0,IF(C96&gt;=200%,C95*60%-C86*35%,IF(C96&gt;=100%,C95*50%-C86*15%,IF(C96&gt;=50%,C95*40%-C86*5%,IF(C96&lt;50%,C95*30%,0))))),0)</f>
        <v>5831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2284</v>
      </c>
      <c r="B99" s="2411"/>
      <c r="C99" s="2411"/>
      <c r="D99" s="2411"/>
      <c r="E99" s="2162"/>
      <c r="F99" s="2162"/>
      <c r="G99" s="2162"/>
      <c r="H99" s="2161"/>
      <c r="I99" s="138"/>
    </row>
    <row r="100" spans="1:35" ht="18.75" customHeight="1">
      <c r="A100" s="3090" t="s">
        <v>2285</v>
      </c>
      <c r="B100" s="3091"/>
      <c r="C100" s="3091"/>
      <c r="D100" s="3122"/>
      <c r="E100" s="3091" t="s">
        <v>2286</v>
      </c>
      <c r="F100" s="3091"/>
      <c r="G100" s="3091"/>
      <c r="H100" s="3122"/>
      <c r="I100" s="138"/>
    </row>
    <row r="101" spans="1:35" ht="18.75" customHeight="1">
      <c r="A101" s="3130" t="s">
        <v>2287</v>
      </c>
      <c r="B101" s="3131"/>
      <c r="C101" s="735" t="str">
        <f>C4</f>
        <v>典型户型修正</v>
      </c>
      <c r="D101" s="736" t="str">
        <f>D4</f>
        <v>收益法（汇总）</v>
      </c>
      <c r="E101" s="3102" t="s">
        <v>2288</v>
      </c>
      <c r="F101" s="3103"/>
      <c r="G101" s="2513" t="s">
        <v>2289</v>
      </c>
      <c r="H101" s="1046">
        <f ca="1">H118</f>
        <v>10302</v>
      </c>
      <c r="I101" s="138"/>
    </row>
    <row r="102" spans="1:35" ht="18.75" customHeight="1">
      <c r="A102" s="3132" t="s">
        <v>2290</v>
      </c>
      <c r="B102" s="2513" t="s">
        <v>2289</v>
      </c>
      <c r="C102" s="735">
        <f ca="1">C19</f>
        <v>11438</v>
      </c>
      <c r="D102" s="736">
        <f ca="1">D19</f>
        <v>7651</v>
      </c>
      <c r="E102" s="3102"/>
      <c r="F102" s="3103"/>
      <c r="G102" s="2513" t="s">
        <v>2291</v>
      </c>
      <c r="H102" s="371">
        <f ca="1">I118</f>
        <v>38710</v>
      </c>
      <c r="I102" s="138"/>
    </row>
    <row r="103" spans="1:35" ht="42.75" customHeight="1">
      <c r="A103" s="3132"/>
      <c r="B103" s="2513" t="s">
        <v>2291</v>
      </c>
      <c r="C103" s="737">
        <f ca="1">C20</f>
        <v>44628</v>
      </c>
      <c r="D103" s="738">
        <f ca="1">D20</f>
        <v>28748</v>
      </c>
      <c r="E103" s="3096" t="s">
        <v>2292</v>
      </c>
      <c r="F103" s="3097"/>
      <c r="G103" s="2514" t="s">
        <v>2293</v>
      </c>
      <c r="H103" s="1046">
        <f>IF(D36="正常操作",H104+H105+H106,H105+H106)</f>
        <v>0</v>
      </c>
      <c r="I103" s="138"/>
    </row>
    <row r="104" spans="1:35" ht="18.75" customHeight="1">
      <c r="A104" s="3132" t="s">
        <v>2294</v>
      </c>
      <c r="B104" s="2515" t="s">
        <v>2289</v>
      </c>
      <c r="C104" s="739">
        <f ca="1">H118</f>
        <v>10302</v>
      </c>
      <c r="D104" s="740"/>
      <c r="E104" s="2262" t="s">
        <v>2295</v>
      </c>
      <c r="F104" s="2253"/>
      <c r="G104" s="2514" t="s">
        <v>2293</v>
      </c>
      <c r="H104" s="1047">
        <f>IF(D36="同一抵押权人同一抵押物续贷",C36&amp;"（未扣减，详见特别提示）",C36)</f>
        <v>0</v>
      </c>
      <c r="I104" s="138"/>
    </row>
    <row r="105" spans="1:35" ht="18.75" customHeight="1" thickBot="1">
      <c r="A105" s="3144"/>
      <c r="B105" s="2516" t="s">
        <v>2291</v>
      </c>
      <c r="C105" s="741">
        <f ca="1">I118</f>
        <v>38710</v>
      </c>
      <c r="D105" s="742"/>
      <c r="E105" s="2262" t="s">
        <v>2296</v>
      </c>
      <c r="F105" s="2253"/>
      <c r="G105" s="2514" t="s">
        <v>2293</v>
      </c>
      <c r="H105" s="1047">
        <f>C37</f>
        <v>0</v>
      </c>
      <c r="I105" s="138"/>
    </row>
    <row r="106" spans="1:35" ht="18.75" customHeight="1">
      <c r="A106" s="2411" t="s">
        <v>2297</v>
      </c>
      <c r="B106" s="2411"/>
      <c r="C106" s="2411"/>
      <c r="D106" s="2411"/>
      <c r="E106" s="2517" t="s">
        <v>2298</v>
      </c>
      <c r="F106" s="2253"/>
      <c r="G106" s="2514" t="s">
        <v>2293</v>
      </c>
      <c r="H106" s="1047">
        <f>C38</f>
        <v>0</v>
      </c>
      <c r="I106" s="138"/>
    </row>
    <row r="107" spans="1:35" ht="18.75" customHeight="1">
      <c r="A107" s="138"/>
      <c r="B107" s="138"/>
      <c r="C107" s="138"/>
      <c r="D107" s="138"/>
      <c r="E107" s="3133" t="str">
        <f>IF(项目基本情况!E8="已注销","——","3.房地产抵押价值")</f>
        <v>3.房地产抵押价值</v>
      </c>
      <c r="F107" s="3103"/>
      <c r="G107" s="2513" t="s">
        <v>2289</v>
      </c>
      <c r="H107" s="1046">
        <f ca="1">IF(E107="——","——",H101-H103)</f>
        <v>10302</v>
      </c>
      <c r="I107" s="138"/>
    </row>
    <row r="108" spans="1:35" ht="18.75" customHeight="1" thickBot="1">
      <c r="A108" s="138"/>
      <c r="B108" s="138"/>
      <c r="C108" s="138"/>
      <c r="D108" s="138"/>
      <c r="E108" s="3133"/>
      <c r="F108" s="3103"/>
      <c r="G108" s="2513" t="s">
        <v>2291</v>
      </c>
      <c r="H108" s="371">
        <f ca="1">ROUND(H107*10000/'数据-汇总表'!E3,0)</f>
        <v>38710</v>
      </c>
      <c r="I108" s="138"/>
    </row>
    <row r="109" spans="1:35" ht="18.75" hidden="1" customHeight="1">
      <c r="A109" s="138"/>
      <c r="B109" s="138"/>
      <c r="C109" s="138"/>
      <c r="D109" s="138"/>
      <c r="E109" s="3133" t="str">
        <f>IF(项目基本情况!E8="已注销及未注销","4.抵押担保权已注销时的房地产抵押价值",IF(项目基本情况!E8="已注销","3.抵押担保权已注销时的房地产抵押价值","——"))</f>
        <v>——</v>
      </c>
      <c r="F109" s="3103"/>
      <c r="G109" s="2513" t="s">
        <v>2289</v>
      </c>
      <c r="H109" s="348" t="str">
        <f>IF(E109="——","——",H101-H105-H106)</f>
        <v>——</v>
      </c>
      <c r="I109" s="138"/>
    </row>
    <row r="110" spans="1:35" ht="18.75" hidden="1" customHeight="1">
      <c r="A110" s="138"/>
      <c r="B110" s="138"/>
      <c r="C110" s="138"/>
      <c r="D110" s="138"/>
      <c r="E110" s="3133"/>
      <c r="F110" s="3103"/>
      <c r="G110" s="2513" t="s">
        <v>2291</v>
      </c>
      <c r="H110" s="371" t="str">
        <f>IF(H109="——","——",ROUND(H109*10000/'数据-汇总表'!E3,0))</f>
        <v>——</v>
      </c>
      <c r="I110" s="138"/>
    </row>
    <row r="111" spans="1:35" ht="18.75" hidden="1" customHeight="1">
      <c r="A111" s="138"/>
      <c r="B111" s="138"/>
      <c r="C111" s="138"/>
      <c r="D111" s="138"/>
      <c r="E111" s="3134" t="str">
        <f>IF(项目基本情况!E9="抵押净值",IF(OR(项目基本情况!E8="已注销",项目基本情况!E8="房地产抵押价值"),"4.抵押净值","5.抵押净值"),"——")</f>
        <v>——</v>
      </c>
      <c r="F111" s="3135"/>
      <c r="G111" s="2513" t="s">
        <v>2289</v>
      </c>
      <c r="H111" s="1046" t="str">
        <f>IF(E111="——","——",N59)</f>
        <v>——</v>
      </c>
      <c r="I111" s="138"/>
    </row>
    <row r="112" spans="1:35" ht="18.75" hidden="1" customHeight="1" thickBot="1">
      <c r="A112" s="138"/>
      <c r="B112" s="138"/>
      <c r="C112" s="138"/>
      <c r="D112" s="138"/>
      <c r="E112" s="3136"/>
      <c r="F112" s="3137"/>
      <c r="G112" s="2518" t="s">
        <v>2291</v>
      </c>
      <c r="H112" s="789" t="str">
        <f>IF(E111="——","——",N61)</f>
        <v>——</v>
      </c>
      <c r="I112" s="138"/>
    </row>
    <row r="113" spans="1:11" ht="18.75" customHeight="1">
      <c r="A113" s="138"/>
      <c r="B113" s="138"/>
      <c r="C113" s="138"/>
      <c r="D113" s="138"/>
      <c r="E113" s="3145" t="s">
        <v>2297</v>
      </c>
      <c r="F113" s="3145"/>
      <c r="G113" s="3145"/>
      <c r="H113" s="3145"/>
      <c r="I113" s="138"/>
    </row>
    <row r="114" spans="1:11" ht="3.75" customHeight="1">
      <c r="A114" s="2411"/>
      <c r="B114" s="2411"/>
      <c r="C114" s="2411"/>
      <c r="D114" s="2411"/>
      <c r="E114" s="2489"/>
      <c r="F114" s="2489"/>
      <c r="G114" s="2489"/>
      <c r="H114" s="2489"/>
      <c r="I114" s="2411"/>
    </row>
    <row r="115" spans="1:11" ht="18.75" customHeight="1">
      <c r="A115" s="3158" t="s">
        <v>2299</v>
      </c>
      <c r="B115" s="3159"/>
      <c r="C115" s="3159"/>
      <c r="D115" s="3159"/>
      <c r="E115" s="3159"/>
      <c r="F115" s="3159"/>
      <c r="G115" s="3159"/>
      <c r="H115" s="3159"/>
      <c r="I115" s="3160"/>
    </row>
    <row r="116" spans="1:11" ht="27" customHeight="1">
      <c r="A116" s="3069" t="s">
        <v>2300</v>
      </c>
      <c r="B116" s="3112" t="s">
        <v>3141</v>
      </c>
      <c r="C116" s="3112" t="s">
        <v>3181</v>
      </c>
      <c r="D116" s="3118" t="s">
        <v>2301</v>
      </c>
      <c r="E116" s="3119"/>
      <c r="F116" s="3154" t="s">
        <v>3182</v>
      </c>
      <c r="G116" s="3154"/>
      <c r="H116" s="3069" t="s">
        <v>2302</v>
      </c>
      <c r="I116" s="3069"/>
    </row>
    <row r="117" spans="1:11" ht="18.75" customHeight="1">
      <c r="A117" s="3069"/>
      <c r="B117" s="3113"/>
      <c r="C117" s="3113"/>
      <c r="D117" s="1793" t="s">
        <v>2303</v>
      </c>
      <c r="E117" s="1793" t="s">
        <v>2304</v>
      </c>
      <c r="F117" s="1793" t="s">
        <v>2303</v>
      </c>
      <c r="G117" s="1793" t="s">
        <v>2305</v>
      </c>
      <c r="H117" s="1793" t="s">
        <v>2303</v>
      </c>
      <c r="I117" s="1793" t="s">
        <v>2305</v>
      </c>
    </row>
    <row r="118" spans="1:11" ht="24.75" customHeight="1">
      <c r="A118" s="2519" t="str">
        <f>项目基本情况!S2</f>
        <v>北京市丰台区马家堡东路168号院10号楼房地产</v>
      </c>
      <c r="B118" s="1793">
        <f>M18</f>
        <v>2661.36</v>
      </c>
      <c r="C118" s="1793">
        <f>M19</f>
        <v>666.75</v>
      </c>
      <c r="D118" s="1793">
        <f ca="1">ROUND(IF(D32="总价",C34,E118*B118/10000),0)</f>
        <v>9241</v>
      </c>
      <c r="E118" s="1793">
        <f ca="1">ROUND(IF(C33="自定义",IF(D32="楼面单价",C34,D118*10000/B118),I118-G118),0)</f>
        <v>34723</v>
      </c>
      <c r="F118" s="1793">
        <f ca="1">ROUND(IF(D32="总价",C35,G118*B118/10000),0)</f>
        <v>1061</v>
      </c>
      <c r="G118" s="1793">
        <f ca="1">ROUND(IF(D32="楼面单价",C35,F118*10000/B118),0)</f>
        <v>3987</v>
      </c>
      <c r="H118" s="1793">
        <f ca="1">ROUND(IF(D32="总价",C32,I118*B118/10000),0)</f>
        <v>10302</v>
      </c>
      <c r="I118" s="1793">
        <f ca="1">ROUND(IF(D32="楼面单价",C32,H118*10000/B118),0)</f>
        <v>38710</v>
      </c>
    </row>
    <row r="119" spans="1:11" ht="18.75" customHeight="1">
      <c r="A119" s="3069" t="s">
        <v>2306</v>
      </c>
      <c r="B119" s="3069"/>
      <c r="C119" s="3069"/>
      <c r="D119" s="3114" t="str">
        <f ca="1">NUMBERSTRING(INT(D118*10000),2)&amp;"元整"</f>
        <v>玖仟贰佰肆拾壹万元整</v>
      </c>
      <c r="E119" s="3115"/>
      <c r="F119" s="3114" t="str">
        <f ca="1">NUMBERSTRING(INT(F118*10000),2)&amp;"元整"</f>
        <v>壹仟零陆拾壹万元整</v>
      </c>
      <c r="G119" s="3115"/>
      <c r="H119" s="3114" t="str">
        <f ca="1">NUMBERSTRING(INT(H118*10000),2)&amp;"元整"</f>
        <v>壹亿零叁佰零贰万元整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16" t="str">
        <f>IF(D120=0,"故，本次评估不存在"&amp;A120,"故，本次评估"&amp;A120&amp;"为人民币"&amp;D120&amp;"万元整。")</f>
        <v>故，本次评估不存在估价师知悉的法定优先受偿款</v>
      </c>
    </row>
    <row r="121" spans="1:11" ht="18.75" customHeight="1">
      <c r="A121" s="3155" t="s">
        <v>2306</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10302</v>
      </c>
      <c r="E122" s="3110"/>
      <c r="F122" s="3110"/>
      <c r="G122" s="3110"/>
      <c r="H122" s="3110"/>
      <c r="I122" s="3111"/>
    </row>
    <row r="123" spans="1:11" ht="18.75" customHeight="1">
      <c r="A123" s="3069" t="s">
        <v>2306</v>
      </c>
      <c r="B123" s="3069"/>
      <c r="C123" s="3069"/>
      <c r="D123" s="3114" t="str">
        <f ca="1">NUMBERSTRING(INT(D122*10000),2)&amp;"元整"</f>
        <v>壹亿零叁佰零贰万元整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2306</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2306</v>
      </c>
      <c r="B127" s="3069"/>
      <c r="C127" s="3069"/>
      <c r="D127" s="3114" t="e">
        <f>NUMBERSTRING(INT(D126*10000),2)&amp;"元整"</f>
        <v>#VALUE!</v>
      </c>
      <c r="E127" s="3116"/>
      <c r="F127" s="3116"/>
      <c r="G127" s="3116"/>
      <c r="H127" s="3116"/>
      <c r="I127" s="3115"/>
    </row>
    <row r="128" spans="1:11" ht="21.75" customHeight="1">
      <c r="A128" s="3117" t="s">
        <v>2307</v>
      </c>
      <c r="B128" s="3117"/>
      <c r="C128" s="3117"/>
      <c r="D128" s="3117"/>
      <c r="E128" s="3117"/>
      <c r="F128" s="3117"/>
      <c r="G128" s="3117"/>
      <c r="H128" s="3117"/>
      <c r="I128" s="3117"/>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c r="C1" s="242"/>
      <c r="D1" s="242"/>
      <c r="E1" s="242"/>
      <c r="F1" s="242"/>
      <c r="G1" s="1378">
        <f>MATCH(B1,'数据-取费表'!A6:A16,0)+5</f>
        <v>8</v>
      </c>
    </row>
    <row r="2" spans="1:9" s="244" customFormat="1" ht="18" customHeight="1">
      <c r="A2" s="245" t="s">
        <v>2316</v>
      </c>
      <c r="B2" s="246">
        <f ca="1">IF(D2="——",C52,C52-E2)</f>
        <v>1209</v>
      </c>
      <c r="C2" s="243" t="s">
        <v>2317</v>
      </c>
      <c r="D2" s="2542" t="s">
        <v>70</v>
      </c>
      <c r="E2" s="1439" t="e">
        <f ca="1">SUMIF(INDIRECT("'"&amp;G2&amp;"'"&amp;"!A:A"),"承租人权益价值",INDIRECT("'"&amp;G2&amp;"'"&amp;"!c:c"))</f>
        <v>#REF!</v>
      </c>
      <c r="F2" s="2543" t="s">
        <v>2317</v>
      </c>
      <c r="G2" s="2544"/>
    </row>
    <row r="3" spans="1:9" s="244" customFormat="1" ht="18" customHeight="1" thickBot="1">
      <c r="A3" s="247" t="s">
        <v>2318</v>
      </c>
      <c r="B3" s="248">
        <f ca="1">ROUND(B2*10000/(IF(B1="",'数据-汇总表'!E3,INDIRECT("'数据-取费表'!k"&amp;$G$1))),0)</f>
        <v>4543</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53</v>
      </c>
      <c r="D5" s="255" t="s">
        <v>2323</v>
      </c>
      <c r="E5" s="256" t="s">
        <v>2324</v>
      </c>
      <c r="F5" s="256" t="s">
        <v>2325</v>
      </c>
      <c r="G5" s="257"/>
    </row>
    <row r="6" spans="1:9" s="258" customFormat="1" ht="13.5" customHeight="1">
      <c r="A6" s="951" t="s">
        <v>2326</v>
      </c>
      <c r="B6" s="259" t="s">
        <v>2327</v>
      </c>
      <c r="C6" s="260"/>
      <c r="D6" s="261"/>
      <c r="E6" s="262"/>
      <c r="F6" s="262"/>
      <c r="G6" s="263"/>
    </row>
    <row r="7" spans="1:9" s="258" customFormat="1" ht="13.5" customHeight="1">
      <c r="A7" s="951" t="s">
        <v>2328</v>
      </c>
      <c r="B7" s="259" t="s">
        <v>2329</v>
      </c>
      <c r="C7" s="264">
        <f>ROUND(C6*F7,0)</f>
        <v>0</v>
      </c>
      <c r="D7" s="264"/>
      <c r="E7" s="262"/>
      <c r="F7" s="265">
        <f>'数据-取费表'!B48+'数据-取费表'!B49</f>
        <v>3.0499999999999999E-2</v>
      </c>
      <c r="G7" s="263"/>
    </row>
    <row r="8" spans="1:9" s="267" customFormat="1">
      <c r="A8" s="951" t="s">
        <v>2330</v>
      </c>
      <c r="B8" s="259" t="s">
        <v>2331</v>
      </c>
      <c r="C8" s="264">
        <f>IF(G8="已包含在土地购买价格中","0",IF(B1="",'数据-取费表'!B29,IF(G9="全部缴纳",C9+C10,H9)))</f>
        <v>53</v>
      </c>
      <c r="D8" s="266"/>
      <c r="E8" s="264"/>
      <c r="F8" s="265"/>
      <c r="G8" s="2545"/>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0</v>
      </c>
      <c r="F9" s="265"/>
      <c r="G9" s="2546"/>
      <c r="H9" s="1389"/>
      <c r="I9" s="2547" t="s">
        <v>2333</v>
      </c>
    </row>
    <row r="10" spans="1:9" s="258" customFormat="1" ht="13.5" customHeight="1">
      <c r="A10" s="952" t="s">
        <v>801</v>
      </c>
      <c r="B10" s="268" t="s">
        <v>2334</v>
      </c>
      <c r="C10" s="269">
        <f ca="1">ROUND(D10*E10/10000,0)</f>
        <v>53</v>
      </c>
      <c r="D10" s="1034">
        <f ca="1">IF(B1="",'数据-汇总表'!E6,IF(INDIRECT("'数据-取费表'!c"&amp;$G$1)="住宅",INDIRECT("'数据-取费表'!s"&amp;$G$1),INDIRECT("'数据-取费表'!k"&amp;$G$1)+INDIRECT("'数据-取费表'!s"&amp;$G$1)))</f>
        <v>2661.36</v>
      </c>
      <c r="E10" s="269">
        <f>'数据-取费表'!B28</f>
        <v>200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f ca="1">IF(G19="已包含在土地取得成本中","0",ROUND(D19*E19/10000,0))</f>
        <v>53</v>
      </c>
      <c r="D19" s="1038">
        <f ca="1">D9+D10</f>
        <v>2661.36</v>
      </c>
      <c r="E19" s="255">
        <f>'数据-取费表'!B31</f>
        <v>200</v>
      </c>
      <c r="F19" s="275"/>
      <c r="G19" s="2545"/>
    </row>
    <row r="20" spans="1:7" s="258" customFormat="1" ht="13.5" customHeight="1">
      <c r="A20" s="299" t="s">
        <v>2347</v>
      </c>
      <c r="B20" s="254" t="s">
        <v>2348</v>
      </c>
      <c r="C20" s="276">
        <f ca="1">ROUND((C5+C19)*F20,0)</f>
        <v>1</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3">
        <f ca="1">ROUND(SUM(C23:C25),0)</f>
        <v>10</v>
      </c>
      <c r="D22" s="279">
        <f ca="1">C26</f>
        <v>5.0000000000000001E-4</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4">
        <f ca="1">ROUND(IF('数据-取费表'!B22&lt;=1,C5*F22*'数据-取费表'!B23,C5*(POWER((1+F22),'数据-取费表'!B23)-1)),0)</f>
        <v>5</v>
      </c>
      <c r="D23" s="282"/>
      <c r="E23" s="282"/>
      <c r="F23" s="283"/>
      <c r="G23" s="284" t="s">
        <v>2358</v>
      </c>
    </row>
    <row r="24" spans="1:7" s="258" customFormat="1" ht="13.5" customHeight="1">
      <c r="A24" s="953" t="s">
        <v>2359</v>
      </c>
      <c r="B24" s="259" t="s">
        <v>2360</v>
      </c>
      <c r="C24" s="1354">
        <f ca="1">ROUND(IF('数据-取费表'!B22&lt;=1,C19*F22*('数据-取费表'!B19/2+'数据-取费表'!B21),C19*(POWER((1+F22),('数据-取费表'!B19/2+'数据-取费表'!B21))-1)),0)</f>
        <v>5</v>
      </c>
      <c r="D24" s="282"/>
      <c r="E24" s="282"/>
      <c r="F24" s="283"/>
      <c r="G24" s="284" t="s">
        <v>2361</v>
      </c>
    </row>
    <row r="25" spans="1:7" s="258" customFormat="1" ht="24">
      <c r="A25" s="953" t="s">
        <v>2362</v>
      </c>
      <c r="B25" s="259" t="s">
        <v>2363</v>
      </c>
      <c r="C25" s="1354">
        <f ca="1">ROUND(IF('数据-取费表'!B22&lt;=1,C20*F22*'数据-取费表'!B23/2,C20*(POWER((1+F22),'数据-取费表'!B23/2)-1)),0)</f>
        <v>0</v>
      </c>
      <c r="D25" s="282"/>
      <c r="E25" s="285"/>
      <c r="F25" s="283"/>
      <c r="G25" s="286" t="s">
        <v>2364</v>
      </c>
    </row>
    <row r="26" spans="1:7" s="258" customFormat="1">
      <c r="A26" s="953" t="s">
        <v>795</v>
      </c>
      <c r="B26" s="259" t="s">
        <v>2365</v>
      </c>
      <c r="C26" s="282">
        <f ca="1">ROUND(IF('数据-取费表'!B22&lt;=1,F21*F22*'数据-取费表'!B23/2,F21*(POWER((1+F22),'数据-取费表'!B23/2)-1)),4)</f>
        <v>5.0000000000000001E-4</v>
      </c>
      <c r="D26" s="282"/>
      <c r="E26" s="285"/>
      <c r="F26" s="283"/>
      <c r="G26" s="287"/>
    </row>
    <row r="27" spans="1:7" s="258" customFormat="1" ht="24.75">
      <c r="A27" s="299" t="s">
        <v>2366</v>
      </c>
      <c r="B27" s="288" t="s">
        <v>2367</v>
      </c>
      <c r="C27" s="289">
        <f ca="1">C28</f>
        <v>21</v>
      </c>
      <c r="D27" s="279">
        <f ca="1">C29</f>
        <v>2E-3</v>
      </c>
      <c r="E27" s="280" t="s">
        <v>2368</v>
      </c>
      <c r="F27" s="290">
        <f ca="1">IF(B1="",'数据-取费表'!Q16,INDIRECT("'数据-取费表'!q"&amp;$G$1))</f>
        <v>0.2</v>
      </c>
      <c r="G27" s="291" t="s">
        <v>2369</v>
      </c>
    </row>
    <row r="28" spans="1:7" s="258" customFormat="1" ht="13.5" customHeight="1">
      <c r="A28" s="953" t="s">
        <v>791</v>
      </c>
      <c r="B28" s="292" t="s">
        <v>2370</v>
      </c>
      <c r="C28" s="293">
        <f ca="1">ROUND((C5+C19+C20)*F27*'数据-取费表'!B21/'数据-取费表'!B20,0)</f>
        <v>21</v>
      </c>
      <c r="D28" s="279"/>
      <c r="E28" s="280"/>
      <c r="F28" s="290"/>
      <c r="G28" s="291"/>
    </row>
    <row r="29" spans="1:7" s="258" customFormat="1" ht="13.5" customHeight="1">
      <c r="A29" s="953" t="s">
        <v>792</v>
      </c>
      <c r="B29" s="292" t="s">
        <v>2371</v>
      </c>
      <c r="C29" s="282">
        <f ca="1">ROUND(C21*F27*'数据-取费表'!B21/'数据-取费表'!B20,4)</f>
        <v>2E-3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148</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904</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799</v>
      </c>
      <c r="D34" s="261"/>
      <c r="E34" s="264"/>
      <c r="F34" s="301">
        <f ca="1">IF('数据-取费表'!B24=0,1,IF(B1="",'数据-取费表'!N16,INDIRECT("'数据-取费表'!n"&amp;$G$1)))</f>
        <v>1</v>
      </c>
      <c r="G34" s="263" t="s">
        <v>2380</v>
      </c>
    </row>
    <row r="35" spans="1:7" ht="13.5" customHeight="1">
      <c r="A35" s="953" t="s">
        <v>796</v>
      </c>
      <c r="B35" s="259" t="s">
        <v>2381</v>
      </c>
      <c r="C35" s="264">
        <f ca="1">ROUND(C34*F35,0)</f>
        <v>40</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53</v>
      </c>
      <c r="D37" s="261">
        <f ca="1">D19</f>
        <v>2661.36</v>
      </c>
      <c r="E37" s="293">
        <f>'数据-取费表'!B35</f>
        <v>200</v>
      </c>
      <c r="F37" s="303"/>
      <c r="G37" s="305" t="s">
        <v>2386</v>
      </c>
    </row>
    <row r="38" spans="1:7" ht="13.5" customHeight="1">
      <c r="A38" s="953" t="s">
        <v>799</v>
      </c>
      <c r="B38" s="259" t="s">
        <v>2387</v>
      </c>
      <c r="C38" s="264">
        <f ca="1">ROUND(C34*F38,0)</f>
        <v>12</v>
      </c>
      <c r="D38" s="264"/>
      <c r="E38" s="264"/>
      <c r="F38" s="303">
        <f>'数据-取费表'!B36</f>
        <v>1.4999999999999999E-2</v>
      </c>
      <c r="G38" s="263" t="s">
        <v>2382</v>
      </c>
    </row>
    <row r="39" spans="1:7" s="258" customFormat="1" ht="13.5" customHeight="1">
      <c r="A39" s="299" t="s">
        <v>2388</v>
      </c>
      <c r="B39" s="254" t="s">
        <v>2389</v>
      </c>
      <c r="C39" s="276">
        <f ca="1">ROUND(C33*F20,0)</f>
        <v>9</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43</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43</v>
      </c>
      <c r="D42" s="282"/>
      <c r="E42" s="282"/>
      <c r="F42" s="283"/>
      <c r="G42" s="3189" t="s">
        <v>2398</v>
      </c>
    </row>
    <row r="43" spans="1:7" ht="13.5" customHeight="1">
      <c r="A43" s="953" t="s">
        <v>792</v>
      </c>
      <c r="B43" s="259" t="s">
        <v>2399</v>
      </c>
      <c r="C43" s="282">
        <f ca="1">ROUND(IF('数据-取费表'!B22&lt;=1,C39*F22*'数据-取费表'!B21/2,C39*(POWER((1+F22),'数据-取费表'!B21/2)-1)),0)</f>
        <v>0</v>
      </c>
      <c r="D43" s="282"/>
      <c r="E43" s="282"/>
      <c r="F43" s="283"/>
      <c r="G43" s="3190"/>
    </row>
    <row r="44" spans="1:7" ht="13.5" customHeight="1">
      <c r="A44" s="953" t="s">
        <v>793</v>
      </c>
      <c r="B44" s="259" t="s">
        <v>2400</v>
      </c>
      <c r="C44" s="282">
        <f ca="1">ROUND(IF('数据-取费表'!B22&lt;=1,C40*F22*'数据-取费表'!B21/2,C40*(POWER((1+F22),'数据-取费表'!B21/2)-1)),4)</f>
        <v>5.0000000000000001E-4</v>
      </c>
      <c r="D44" s="282"/>
      <c r="E44" s="282"/>
      <c r="F44" s="283"/>
      <c r="G44" s="3191"/>
    </row>
    <row r="45" spans="1:7" s="258" customFormat="1" ht="13.5" customHeight="1">
      <c r="A45" s="299" t="s">
        <v>2401</v>
      </c>
      <c r="B45" s="288" t="s">
        <v>2367</v>
      </c>
      <c r="C45" s="289">
        <f ca="1">C46</f>
        <v>183</v>
      </c>
      <c r="D45" s="279">
        <f ca="1">C47</f>
        <v>2E-3</v>
      </c>
      <c r="E45" s="280" t="s">
        <v>2393</v>
      </c>
      <c r="F45" s="290"/>
      <c r="G45" s="291" t="s">
        <v>2402</v>
      </c>
    </row>
    <row r="46" spans="1:7" s="258" customFormat="1" ht="13.5" customHeight="1">
      <c r="A46" s="953" t="s">
        <v>791</v>
      </c>
      <c r="B46" s="292" t="s">
        <v>2403</v>
      </c>
      <c r="C46" s="293">
        <f ca="1">ROUND((C33+C39)*F27,0)</f>
        <v>183</v>
      </c>
      <c r="D46" s="307"/>
      <c r="E46" s="280"/>
      <c r="F46" s="290"/>
      <c r="G46" s="291"/>
    </row>
    <row r="47" spans="1:7" s="258" customFormat="1" ht="13.5" customHeight="1">
      <c r="A47" s="953" t="s">
        <v>792</v>
      </c>
      <c r="B47" s="292" t="s">
        <v>2404</v>
      </c>
      <c r="C47" s="282">
        <f ca="1">ROUND(C40*F27,4)</f>
        <v>2E-3</v>
      </c>
      <c r="D47" s="307"/>
      <c r="E47" s="280"/>
      <c r="F47" s="290"/>
      <c r="G47" s="291"/>
    </row>
    <row r="48" spans="1:7" s="258" customFormat="1" ht="13.5" customHeight="1">
      <c r="A48" s="299" t="s">
        <v>2366</v>
      </c>
      <c r="B48" s="254" t="s">
        <v>2405</v>
      </c>
      <c r="C48" s="1727">
        <f>ROUND(F30/(1+'数据-取费表'!C42),4)</f>
        <v>5.33E-2</v>
      </c>
      <c r="D48" s="280" t="s">
        <v>2393</v>
      </c>
      <c r="E48" s="276"/>
      <c r="F48" s="281"/>
      <c r="G48" s="278" t="s">
        <v>2406</v>
      </c>
    </row>
    <row r="49" spans="1:7" ht="16.5" customHeight="1">
      <c r="A49" s="299" t="s">
        <v>2372</v>
      </c>
      <c r="B49" s="254" t="s">
        <v>2407</v>
      </c>
      <c r="C49" s="276">
        <f ca="1">ROUND((C33+C39+C41+C45)/(1-C40-D41-D45-C48),0)</f>
        <v>1219</v>
      </c>
      <c r="D49" s="276"/>
      <c r="E49" s="276"/>
      <c r="F49" s="308"/>
      <c r="G49" s="278" t="s">
        <v>2408</v>
      </c>
    </row>
    <row r="50" spans="1:7" s="302" customFormat="1" ht="24">
      <c r="A50" s="299" t="s">
        <v>2409</v>
      </c>
      <c r="B50" s="254" t="s">
        <v>2410</v>
      </c>
      <c r="C50" s="276"/>
      <c r="D50" s="276"/>
      <c r="E50" s="276"/>
      <c r="F50" s="308">
        <f>IF('数据-取费表'!B24=0,'数据-取费表'!N16,1)</f>
        <v>0.87</v>
      </c>
      <c r="G50" s="291" t="s">
        <v>2411</v>
      </c>
    </row>
    <row r="51" spans="1:7" ht="16.5" customHeight="1">
      <c r="A51" s="299" t="s">
        <v>2412</v>
      </c>
      <c r="B51" s="254" t="s">
        <v>2413</v>
      </c>
      <c r="C51" s="276">
        <f ca="1">ROUND(C49*F50,0)</f>
        <v>1061</v>
      </c>
      <c r="D51" s="276"/>
      <c r="E51" s="276"/>
      <c r="F51" s="308"/>
      <c r="G51" s="278" t="s">
        <v>2414</v>
      </c>
    </row>
    <row r="52" spans="1:7" s="252" customFormat="1" ht="16.5" thickBot="1">
      <c r="A52" s="309" t="s">
        <v>2415</v>
      </c>
      <c r="B52" s="310"/>
      <c r="C52" s="311">
        <f ca="1">C31+C51</f>
        <v>1209</v>
      </c>
      <c r="D52" s="310"/>
      <c r="E52" s="310"/>
      <c r="F52" s="310"/>
      <c r="G52" s="312"/>
    </row>
    <row r="55" spans="1:7" ht="15">
      <c r="B55" s="314" t="s">
        <v>2416</v>
      </c>
      <c r="C55" s="315"/>
    </row>
    <row r="56" spans="1:7">
      <c r="B56" s="317" t="s">
        <v>1514</v>
      </c>
      <c r="C56" s="319">
        <f ca="1">1-C57</f>
        <v>0.122</v>
      </c>
    </row>
    <row r="57" spans="1:7">
      <c r="B57" s="317" t="s">
        <v>1515</v>
      </c>
      <c r="C57" s="318">
        <f ca="1">ROUND(C51/C52,3)</f>
        <v>0.878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3" t="str">
        <f>项目基本情况!B1</f>
        <v>北京市丰台区马家堡东路168号院10号楼房地产抵押价值预评估</v>
      </c>
      <c r="C37" s="3003"/>
      <c r="D37" s="3003"/>
      <c r="E37" s="3003"/>
      <c r="F37" s="3003"/>
      <c r="G37" s="3003"/>
      <c r="H37" s="3003"/>
      <c r="I37" s="3003"/>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康正预评字2018-1-0069-F02DYGJ1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8" t="s">
        <v>2417</v>
      </c>
      <c r="D1" s="242"/>
      <c r="E1" s="242"/>
      <c r="F1" s="242"/>
      <c r="G1" s="1378">
        <f>MATCH(B1,'数据-取费表'!A6:A16,0)+5</f>
        <v>8</v>
      </c>
      <c r="H1" s="1281" t="str">
        <f>IF(ISERROR(FIND("住宅",B1)),"非住宅","住宅")</f>
        <v>非住宅</v>
      </c>
    </row>
    <row r="2" spans="1:8" s="244" customFormat="1" ht="18" customHeight="1">
      <c r="A2" s="245" t="s">
        <v>2316</v>
      </c>
      <c r="B2" s="246">
        <f ca="1">ROUND(IF(D2="——",C52/10000,C52/10000-E2),0)</f>
        <v>1209</v>
      </c>
      <c r="C2" s="243" t="s">
        <v>2317</v>
      </c>
      <c r="D2" s="2542" t="s">
        <v>70</v>
      </c>
      <c r="E2" s="1439"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4543</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532272</v>
      </c>
      <c r="D5" s="255" t="s">
        <v>2323</v>
      </c>
      <c r="E5" s="256" t="s">
        <v>2324</v>
      </c>
      <c r="F5" s="256" t="s">
        <v>2325</v>
      </c>
      <c r="G5" s="257"/>
    </row>
    <row r="6" spans="1:8" s="258" customFormat="1" ht="13.5" customHeight="1">
      <c r="A6" s="951" t="s">
        <v>2326</v>
      </c>
      <c r="B6" s="259" t="s">
        <v>2327</v>
      </c>
      <c r="C6" s="260"/>
      <c r="D6" s="261"/>
      <c r="E6" s="262"/>
      <c r="F6" s="262"/>
      <c r="G6" s="263"/>
    </row>
    <row r="7" spans="1:8" s="258" customFormat="1" ht="13.5" customHeight="1">
      <c r="A7" s="951" t="s">
        <v>2328</v>
      </c>
      <c r="B7" s="259" t="s">
        <v>2329</v>
      </c>
      <c r="C7" s="264">
        <f>ROUND(C6*F7,0)</f>
        <v>0</v>
      </c>
      <c r="D7" s="264"/>
      <c r="E7" s="262"/>
      <c r="F7" s="265">
        <f>'数据-取费表'!B48+'数据-取费表'!B49</f>
        <v>3.0499999999999999E-2</v>
      </c>
      <c r="G7" s="263"/>
    </row>
    <row r="8" spans="1:8" s="267" customFormat="1">
      <c r="A8" s="951" t="s">
        <v>2330</v>
      </c>
      <c r="B8" s="259" t="s">
        <v>2331</v>
      </c>
      <c r="C8" s="264">
        <f ca="1">IF(G8="已包含在土地购买价格中",0,C9+C10)</f>
        <v>532272</v>
      </c>
      <c r="D8" s="266"/>
      <c r="E8" s="264"/>
      <c r="F8" s="265"/>
      <c r="G8" s="2545"/>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2334</v>
      </c>
      <c r="C10" s="269">
        <f ca="1">ROUND(D10*E10,0)</f>
        <v>532272</v>
      </c>
      <c r="D10" s="1034">
        <f ca="1">IF(B1="",'数据-汇总表'!E6,IF(INDIRECT("'数据-取费表'!c"&amp;$G$1)="住宅",INDIRECT("'数据-取费表'!s"&amp;$G$1),INDIRECT("'数据-取费表'!k"&amp;$G$1)+INDIRECT("'数据-取费表'!s"&amp;$G$1)))</f>
        <v>2661.36</v>
      </c>
      <c r="E10" s="269">
        <f>'数据-取费表'!B28</f>
        <v>200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f ca="1">IF(G19="已包含在土地取得成本中","0",ROUND(D19*E19,0))</f>
        <v>532272</v>
      </c>
      <c r="D19" s="1038">
        <f ca="1">D9+D10</f>
        <v>2661.36</v>
      </c>
      <c r="E19" s="255">
        <f>'数据-取费表'!B31</f>
        <v>200</v>
      </c>
      <c r="F19" s="275"/>
      <c r="G19" s="2545"/>
    </row>
    <row r="20" spans="1:7" s="258" customFormat="1" ht="13.5" customHeight="1">
      <c r="A20" s="299" t="s">
        <v>2428</v>
      </c>
      <c r="B20" s="254" t="s">
        <v>2429</v>
      </c>
      <c r="C20" s="276">
        <f ca="1">ROUND((C5+C19)*F20,0)</f>
        <v>10645</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79">
        <f ca="1">ROUND(SUM(C23:C25),0)</f>
        <v>104040</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0">
        <f ca="1">ROUND(IF('数据-取费表'!B22&lt;=1,C5*F22*'数据-取费表'!B22,C5*(POWER((1+F22),'数据-取费表'!B22)-1)),0)</f>
        <v>51767</v>
      </c>
      <c r="D23" s="282"/>
      <c r="E23" s="282"/>
      <c r="F23" s="283"/>
      <c r="G23" s="284" t="s">
        <v>2438</v>
      </c>
    </row>
    <row r="24" spans="1:7" s="258" customFormat="1" ht="13.5" customHeight="1">
      <c r="A24" s="953" t="s">
        <v>2328</v>
      </c>
      <c r="B24" s="259" t="s">
        <v>2439</v>
      </c>
      <c r="C24" s="1380">
        <f ca="1">ROUND(IF('数据-取费表'!B22&lt;=1,C19*F22*('数据-取费表'!B19/2+'数据-取费表'!B20),C19*(POWER((1+F22),('数据-取费表'!B19/2+'数据-取费表'!B20))-1)),0)</f>
        <v>51767</v>
      </c>
      <c r="D24" s="282"/>
      <c r="E24" s="282"/>
      <c r="F24" s="283"/>
      <c r="G24" s="284" t="s">
        <v>2440</v>
      </c>
    </row>
    <row r="25" spans="1:7" s="258" customFormat="1" ht="24">
      <c r="A25" s="953" t="s">
        <v>2330</v>
      </c>
      <c r="B25" s="259" t="s">
        <v>2441</v>
      </c>
      <c r="C25" s="1380">
        <f ca="1">ROUND(IF('数据-取费表'!B22&lt;=1,C20*F22*'数据-取费表'!B22/2,C20*(POWER((1+F22),'数据-取费表'!B22/2)-1)),0)</f>
        <v>506</v>
      </c>
      <c r="D25" s="282"/>
      <c r="E25" s="285"/>
      <c r="F25" s="283"/>
      <c r="G25" s="286" t="s">
        <v>2442</v>
      </c>
    </row>
    <row r="26" spans="1:7" s="258" customFormat="1">
      <c r="A26" s="953"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215038</v>
      </c>
      <c r="D27" s="279">
        <f ca="1">C29</f>
        <v>2E-3</v>
      </c>
      <c r="E27" s="280" t="s">
        <v>2368</v>
      </c>
      <c r="F27" s="290">
        <f ca="1">IF(B1="",'数据-取费表'!Q16,INDIRECT("'数据-取费表'!q"&amp;$G$1))</f>
        <v>0.2</v>
      </c>
      <c r="G27" s="291" t="s">
        <v>2369</v>
      </c>
    </row>
    <row r="28" spans="1:7" s="258" customFormat="1" ht="13.5" customHeight="1">
      <c r="A28" s="953" t="s">
        <v>791</v>
      </c>
      <c r="B28" s="292" t="s">
        <v>2370</v>
      </c>
      <c r="C28" s="293">
        <f ca="1">ROUND((C5+C19+C20)*F27,0)</f>
        <v>215038</v>
      </c>
      <c r="D28" s="279"/>
      <c r="E28" s="280"/>
      <c r="F28" s="290"/>
      <c r="G28" s="291"/>
    </row>
    <row r="29" spans="1:7" s="258" customFormat="1" ht="13.5" customHeight="1">
      <c r="A29" s="953" t="s">
        <v>792</v>
      </c>
      <c r="B29" s="292" t="s">
        <v>2371</v>
      </c>
      <c r="C29" s="282">
        <f ca="1">ROUND(C21*F27,4)</f>
        <v>2E-3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1492472</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9035317</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7984080</v>
      </c>
      <c r="D34" s="261"/>
      <c r="E34" s="264"/>
      <c r="F34" s="301"/>
      <c r="G34" s="263"/>
    </row>
    <row r="35" spans="1:7" ht="13.5" customHeight="1">
      <c r="A35" s="953" t="s">
        <v>796</v>
      </c>
      <c r="B35" s="259" t="s">
        <v>2381</v>
      </c>
      <c r="C35" s="264">
        <f ca="1">ROUND(C34*F35,0)</f>
        <v>399204</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532272</v>
      </c>
      <c r="D37" s="261">
        <f ca="1">D19</f>
        <v>2661.36</v>
      </c>
      <c r="E37" s="293">
        <f>'数据-取费表'!B35</f>
        <v>200</v>
      </c>
      <c r="F37" s="303"/>
      <c r="G37" s="305"/>
    </row>
    <row r="38" spans="1:7" ht="13.5" customHeight="1">
      <c r="A38" s="953" t="s">
        <v>799</v>
      </c>
      <c r="B38" s="259" t="s">
        <v>2387</v>
      </c>
      <c r="C38" s="264">
        <f ca="1">ROUND(C34*F38,0)</f>
        <v>119761</v>
      </c>
      <c r="D38" s="264"/>
      <c r="E38" s="264"/>
      <c r="F38" s="303">
        <f>'数据-取费表'!B36</f>
        <v>1.4999999999999999E-2</v>
      </c>
      <c r="G38" s="263" t="s">
        <v>2382</v>
      </c>
    </row>
    <row r="39" spans="1:7" s="258" customFormat="1" ht="13.5" customHeight="1">
      <c r="A39" s="299" t="s">
        <v>2388</v>
      </c>
      <c r="B39" s="254" t="s">
        <v>2389</v>
      </c>
      <c r="C39" s="276">
        <f ca="1">ROUND(C33*F20,0)</f>
        <v>90353</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433470</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429178</v>
      </c>
      <c r="D42" s="282"/>
      <c r="E42" s="282"/>
      <c r="F42" s="283"/>
      <c r="G42" s="3189" t="s">
        <v>2445</v>
      </c>
    </row>
    <row r="43" spans="1:7" ht="13.5" customHeight="1">
      <c r="A43" s="953" t="s">
        <v>792</v>
      </c>
      <c r="B43" s="259" t="s">
        <v>2399</v>
      </c>
      <c r="C43" s="282">
        <f ca="1">ROUND(IF('数据-取费表'!B22&lt;=1,C39*F22*'数据-取费表'!B20/2,C39*(POWER((1+F22),'数据-取费表'!B20/2)-1)),0)</f>
        <v>4292</v>
      </c>
      <c r="D43" s="282"/>
      <c r="E43" s="282"/>
      <c r="F43" s="283"/>
      <c r="G43" s="3190"/>
    </row>
    <row r="44" spans="1:7" ht="13.5" customHeight="1">
      <c r="A44" s="953" t="s">
        <v>793</v>
      </c>
      <c r="B44" s="259" t="s">
        <v>2400</v>
      </c>
      <c r="C44" s="282">
        <f ca="1">ROUND(IF('数据-取费表'!B22&lt;=1,C40*F22*'数据-取费表'!B20/2,C40*(POWER((1+F22),'数据-取费表'!B20/2)-1)),4)</f>
        <v>5.0000000000000001E-4</v>
      </c>
      <c r="D44" s="282"/>
      <c r="E44" s="282"/>
      <c r="F44" s="283"/>
      <c r="G44" s="3191"/>
    </row>
    <row r="45" spans="1:7" s="258" customFormat="1" ht="13.5" customHeight="1">
      <c r="A45" s="299" t="s">
        <v>2401</v>
      </c>
      <c r="B45" s="288" t="s">
        <v>2367</v>
      </c>
      <c r="C45" s="289">
        <f ca="1">C46</f>
        <v>1825134</v>
      </c>
      <c r="D45" s="279">
        <f ca="1">C47</f>
        <v>2E-3</v>
      </c>
      <c r="E45" s="280" t="s">
        <v>2393</v>
      </c>
      <c r="F45" s="290"/>
      <c r="G45" s="291" t="s">
        <v>2402</v>
      </c>
    </row>
    <row r="46" spans="1:7" s="258" customFormat="1" ht="13.5" customHeight="1">
      <c r="A46" s="953" t="s">
        <v>791</v>
      </c>
      <c r="B46" s="292" t="s">
        <v>2403</v>
      </c>
      <c r="C46" s="293">
        <f ca="1">ROUND((C33+C39)*F27,0)</f>
        <v>1825134</v>
      </c>
      <c r="D46" s="307"/>
      <c r="E46" s="280"/>
      <c r="F46" s="290"/>
      <c r="G46" s="291"/>
    </row>
    <row r="47" spans="1:7" s="258" customFormat="1" ht="13.5" customHeight="1">
      <c r="A47" s="953" t="s">
        <v>792</v>
      </c>
      <c r="B47" s="292" t="s">
        <v>2404</v>
      </c>
      <c r="C47" s="282">
        <f ca="1">ROUND(C40*F27,4)</f>
        <v>2E-3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12186121</v>
      </c>
      <c r="D49" s="276"/>
      <c r="E49" s="276"/>
      <c r="F49" s="308"/>
      <c r="G49" s="278" t="s">
        <v>2408</v>
      </c>
    </row>
    <row r="50" spans="1:7" s="302" customFormat="1">
      <c r="A50" s="299" t="s">
        <v>2409</v>
      </c>
      <c r="B50" s="254" t="s">
        <v>2410</v>
      </c>
      <c r="C50" s="276"/>
      <c r="D50" s="276"/>
      <c r="E50" s="276"/>
      <c r="F50" s="308">
        <f>IF('数据-取费表'!B24=0,'数据-取费表'!N16,1)</f>
        <v>0.87</v>
      </c>
      <c r="G50" s="291"/>
    </row>
    <row r="51" spans="1:7" ht="16.5" customHeight="1">
      <c r="A51" s="299" t="s">
        <v>2412</v>
      </c>
      <c r="B51" s="254" t="s">
        <v>2447</v>
      </c>
      <c r="C51" s="276">
        <f ca="1">ROUND(C49*F50,0)</f>
        <v>10601925</v>
      </c>
      <c r="D51" s="276"/>
      <c r="E51" s="276"/>
      <c r="F51" s="308"/>
      <c r="G51" s="278" t="s">
        <v>2414</v>
      </c>
    </row>
    <row r="52" spans="1:7" s="252" customFormat="1" ht="16.5" thickBot="1">
      <c r="A52" s="309" t="s">
        <v>2415</v>
      </c>
      <c r="B52" s="310"/>
      <c r="C52" s="311">
        <f ca="1">C31+C51</f>
        <v>12094397</v>
      </c>
      <c r="D52" s="310"/>
      <c r="E52" s="310"/>
      <c r="F52" s="310"/>
      <c r="G52" s="312"/>
    </row>
    <row r="55" spans="1:7" ht="15">
      <c r="B55" s="314" t="s">
        <v>2416</v>
      </c>
      <c r="C55" s="315"/>
    </row>
    <row r="56" spans="1:7">
      <c r="B56" s="317" t="s">
        <v>1514</v>
      </c>
      <c r="C56" s="319">
        <f ca="1">1-C57</f>
        <v>0.123</v>
      </c>
    </row>
    <row r="57" spans="1:7">
      <c r="B57" s="317" t="s">
        <v>1515</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8" customFormat="1" ht="16.5" customHeight="1">
      <c r="A4" s="955" t="s">
        <v>2451</v>
      </c>
      <c r="B4" s="956"/>
      <c r="C4" s="998">
        <f>SUM(C8:K8)</f>
        <v>0</v>
      </c>
      <c r="D4" s="956"/>
      <c r="E4" s="956"/>
      <c r="F4" s="956"/>
      <c r="G4" s="956"/>
      <c r="H4" s="956"/>
      <c r="I4" s="956"/>
      <c r="J4" s="956"/>
      <c r="K4" s="957"/>
    </row>
    <row r="5" spans="1:33" s="962" customFormat="1" ht="24.75">
      <c r="A5" s="959" t="s">
        <v>2452</v>
      </c>
      <c r="B5" s="960" t="s">
        <v>2453</v>
      </c>
      <c r="C5" s="2549" t="s">
        <v>2454</v>
      </c>
      <c r="D5" s="2549" t="s">
        <v>2455</v>
      </c>
      <c r="E5" s="2549" t="s">
        <v>2456</v>
      </c>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2460</v>
      </c>
      <c r="B8" s="177" t="s">
        <v>2461</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2462</v>
      </c>
      <c r="B9" s="956"/>
      <c r="C9" s="956"/>
      <c r="D9" s="956"/>
      <c r="E9" s="956"/>
      <c r="F9" s="956"/>
      <c r="G9" s="956"/>
      <c r="H9" s="956"/>
      <c r="I9" s="956"/>
      <c r="J9" s="956"/>
      <c r="K9" s="957"/>
    </row>
    <row r="10" spans="1:33" s="972" customFormat="1" ht="13.5" customHeight="1">
      <c r="A10" s="959" t="s">
        <v>2463</v>
      </c>
      <c r="B10" s="8" t="s">
        <v>2464</v>
      </c>
      <c r="C10" s="968" t="s">
        <v>2465</v>
      </c>
      <c r="D10" s="969" t="s">
        <v>2466</v>
      </c>
      <c r="E10" s="969" t="s">
        <v>2467</v>
      </c>
      <c r="F10" s="969" t="s">
        <v>2468</v>
      </c>
      <c r="G10" s="8"/>
      <c r="H10" s="970"/>
      <c r="I10" s="970"/>
      <c r="J10" s="970"/>
      <c r="K10" s="971"/>
    </row>
    <row r="11" spans="1:33" s="977" customFormat="1" ht="13.5" customHeight="1">
      <c r="A11" s="973" t="s">
        <v>1334</v>
      </c>
      <c r="B11" s="974" t="s">
        <v>2469</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2470</v>
      </c>
      <c r="C12" s="24">
        <f ca="1">ROUND(C11*F12,0)</f>
        <v>0</v>
      </c>
      <c r="D12" s="975"/>
      <c r="E12" s="375"/>
      <c r="F12" s="978">
        <f>'数据-取费表'!B33</f>
        <v>0.05</v>
      </c>
      <c r="G12" s="8" t="s">
        <v>2471</v>
      </c>
      <c r="H12" s="970"/>
      <c r="I12" s="970"/>
      <c r="J12" s="970"/>
      <c r="K12" s="971"/>
    </row>
    <row r="13" spans="1:33" s="977" customFormat="1" ht="13.5" customHeight="1">
      <c r="A13" s="973" t="s">
        <v>1336</v>
      </c>
      <c r="B13" s="974" t="s">
        <v>2472</v>
      </c>
      <c r="C13" s="24">
        <f ca="1">ROUND(IF(C1="",SUMIF('数据-取费表'!C:C,"住宅",'数据-取费表'!P:P)*F13,IF(INDIRECT("'数据-取费表'!c"&amp;$K$1)="住宅",INDIRECT("'数据-取费表'!P"&amp;$K$1)*F13,0)),0)</f>
        <v>0</v>
      </c>
      <c r="D13" s="1035"/>
      <c r="E13" s="375"/>
      <c r="F13" s="978">
        <f>'数据-取费表'!B34</f>
        <v>0</v>
      </c>
      <c r="G13" s="8" t="s">
        <v>2473</v>
      </c>
      <c r="H13" s="970"/>
      <c r="I13" s="970"/>
      <c r="J13" s="970"/>
      <c r="K13" s="971"/>
    </row>
    <row r="14" spans="1:33" s="979" customFormat="1" ht="13.5" customHeight="1">
      <c r="A14" s="973" t="s">
        <v>1337</v>
      </c>
      <c r="B14" s="974" t="s">
        <v>2474</v>
      </c>
      <c r="C14" s="24">
        <f ca="1">ROUND(D14*E14*F11/10000,0)</f>
        <v>0</v>
      </c>
      <c r="D14" s="1035">
        <f ca="1">IF(C1="",'数据-汇总表'!E3,INDIRECT("'数据-取费表'!K"&amp;$K$1)+INDIRECT("'数据-取费表'!S"&amp;$K$1))</f>
        <v>2661.36</v>
      </c>
      <c r="E14" s="24">
        <f>'数据-取费表'!B35</f>
        <v>200</v>
      </c>
      <c r="F14" s="978"/>
      <c r="G14" s="8" t="s">
        <v>2475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2476</v>
      </c>
      <c r="C15" s="985">
        <f ca="1">ROUND(C11*F15,0)</f>
        <v>0</v>
      </c>
      <c r="D15" s="980"/>
      <c r="E15" s="985"/>
      <c r="F15" s="986">
        <f>'数据-取费表'!B36</f>
        <v>1.4999999999999999E-2</v>
      </c>
      <c r="G15" s="140" t="s">
        <v>2477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2478</v>
      </c>
      <c r="C16" s="985">
        <f ca="1">SUM(C11:C15)</f>
        <v>0</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2479</v>
      </c>
      <c r="C17" s="24">
        <f ca="1">ROUND(D17*E17/10000,0)</f>
        <v>0</v>
      </c>
      <c r="D17" s="1035">
        <f ca="1">D14</f>
        <v>2661.36</v>
      </c>
      <c r="E17" s="24">
        <f>'数据-取费表'!B32</f>
        <v>0</v>
      </c>
      <c r="F17" s="980"/>
      <c r="G17" s="140" t="s">
        <v>2480</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2481</v>
      </c>
      <c r="C18" s="24">
        <f ca="1">C19+C20-IF(C1="",'数据-取费表'!B29,IF(G18="已全部缴纳",C19+C20,H18))</f>
        <v>0</v>
      </c>
      <c r="D18" s="1035"/>
      <c r="E18" s="24"/>
      <c r="F18" s="978"/>
      <c r="G18" s="2551"/>
      <c r="H18" s="1576"/>
      <c r="I18" s="2552" t="s">
        <v>2482</v>
      </c>
      <c r="J18" s="981"/>
      <c r="K18" s="982"/>
    </row>
    <row r="19" spans="1:33" s="977" customFormat="1" ht="13.5" customHeight="1">
      <c r="A19" s="973" t="s">
        <v>805</v>
      </c>
      <c r="B19" s="974" t="s">
        <v>2483</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2484</v>
      </c>
      <c r="C20" s="24">
        <f ca="1">ROUND(D20*E20/10000,0)</f>
        <v>53</v>
      </c>
      <c r="D20" s="1035">
        <f ca="1">IF(C1="",'数据-汇总表'!E6,IF(INDIRECT("'数据-取费表'!c"&amp;$K$1)="住宅",INDIRECT("'数据-取费表'!s"&amp;$K$1),INDIRECT("'数据-取费表'!k"&amp;$K$1)+INDIRECT("'数据-取费表'!s"&amp;$K$1)))</f>
        <v>2661.36</v>
      </c>
      <c r="E20" s="24">
        <f>'数据-取费表'!B28</f>
        <v>200</v>
      </c>
      <c r="F20" s="978"/>
      <c r="G20" s="15"/>
      <c r="H20" s="983"/>
      <c r="I20" s="983"/>
      <c r="J20" s="983"/>
      <c r="K20" s="984"/>
    </row>
    <row r="21" spans="1:33" s="977" customFormat="1" ht="13.5" customHeight="1">
      <c r="A21" s="963" t="s">
        <v>802</v>
      </c>
      <c r="B21" s="987" t="s">
        <v>2485</v>
      </c>
      <c r="C21" s="988">
        <f ca="1">C16+C17+C18</f>
        <v>0</v>
      </c>
      <c r="D21" s="989"/>
      <c r="E21" s="325"/>
      <c r="F21" s="325"/>
      <c r="G21" s="140" t="s">
        <v>2486</v>
      </c>
      <c r="H21" s="981"/>
      <c r="I21" s="981"/>
      <c r="J21" s="981"/>
      <c r="K21" s="982"/>
    </row>
    <row r="22" spans="1:33" s="977" customFormat="1" ht="13.5" customHeight="1">
      <c r="A22" s="963" t="s">
        <v>2458</v>
      </c>
      <c r="B22" s="987" t="s">
        <v>2487</v>
      </c>
      <c r="C22" s="988">
        <f ca="1">ROUND(C21*F22,0)</f>
        <v>0</v>
      </c>
      <c r="D22" s="325"/>
      <c r="E22" s="325"/>
      <c r="F22" s="990">
        <f>'数据-取费表'!B37</f>
        <v>0.01</v>
      </c>
      <c r="G22" s="8" t="s">
        <v>2488</v>
      </c>
      <c r="H22" s="970"/>
      <c r="I22" s="970"/>
      <c r="J22" s="970"/>
      <c r="K22" s="971"/>
    </row>
    <row r="23" spans="1:33" s="977" customFormat="1" ht="13.5" customHeight="1">
      <c r="A23" s="963" t="s">
        <v>2460</v>
      </c>
      <c r="B23" s="987" t="s">
        <v>2489</v>
      </c>
      <c r="C23" s="988">
        <f ca="1">ROUND(C4*F23*F11,0)</f>
        <v>0</v>
      </c>
      <c r="D23" s="325"/>
      <c r="E23" s="325"/>
      <c r="F23" s="990">
        <f>'数据-取费表'!B38</f>
        <v>0.01</v>
      </c>
      <c r="G23" s="8" t="s">
        <v>2490</v>
      </c>
      <c r="H23" s="970"/>
      <c r="I23" s="970"/>
      <c r="J23" s="970"/>
      <c r="K23" s="971"/>
    </row>
    <row r="24" spans="1:33" s="977" customFormat="1" ht="13.5" customHeight="1">
      <c r="A24" s="963" t="s">
        <v>2491</v>
      </c>
      <c r="B24" s="987" t="s">
        <v>2492</v>
      </c>
      <c r="C24" s="324">
        <f>ROUND(F24/(1+'数据-取费表'!C42),4)</f>
        <v>2.9000000000000001E-2</v>
      </c>
      <c r="D24" s="325" t="s">
        <v>15</v>
      </c>
      <c r="E24" s="325"/>
      <c r="F24" s="990">
        <f>'数据-取费表'!B48+'数据-取费表'!B49</f>
        <v>3.0499999999999999E-2</v>
      </c>
      <c r="G24" s="8" t="s">
        <v>2493</v>
      </c>
      <c r="H24" s="992"/>
      <c r="I24" s="992"/>
      <c r="J24" s="992"/>
      <c r="K24" s="993"/>
    </row>
    <row r="25" spans="1:33" s="977" customFormat="1" ht="13.5" customHeight="1">
      <c r="A25" s="963" t="s">
        <v>2494</v>
      </c>
      <c r="B25" s="989" t="s">
        <v>2495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2496</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2497</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2498</v>
      </c>
      <c r="B28" s="2554" t="s">
        <v>2499</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2500</v>
      </c>
      <c r="C29" s="328">
        <f ca="1">ROUND((1+C24)*F28*'数据-取费表'!B24/'数据-取费表'!B20,4)</f>
        <v>0</v>
      </c>
      <c r="D29" s="328"/>
      <c r="E29" s="329"/>
      <c r="F29" s="334"/>
      <c r="G29" s="140" t="s">
        <v>2501</v>
      </c>
      <c r="H29" s="981"/>
      <c r="I29" s="981"/>
      <c r="J29" s="981"/>
      <c r="K29" s="982"/>
    </row>
    <row r="30" spans="1:33" s="335" customFormat="1" ht="13.5" customHeight="1">
      <c r="A30" s="973" t="s">
        <v>804</v>
      </c>
      <c r="B30" s="996" t="s">
        <v>2502</v>
      </c>
      <c r="C30" s="336">
        <f ca="1">ROUND((C21+C22+C23)*F28,0)</f>
        <v>0</v>
      </c>
      <c r="D30" s="328"/>
      <c r="E30" s="329"/>
      <c r="F30" s="334"/>
      <c r="G30" s="140"/>
      <c r="H30" s="981"/>
      <c r="I30" s="981"/>
      <c r="J30" s="981"/>
      <c r="K30" s="982"/>
    </row>
    <row r="31" spans="1:33" s="977" customFormat="1" ht="13.5" customHeight="1" thickBot="1">
      <c r="A31" s="2555" t="s">
        <v>2503</v>
      </c>
      <c r="B31" s="1007" t="s">
        <v>2504</v>
      </c>
      <c r="C31" s="1008">
        <f>ROUND(C4*F31/(1+'数据-取费表'!C42),0)</f>
        <v>0</v>
      </c>
      <c r="D31" s="1009"/>
      <c r="E31" s="1010"/>
      <c r="F31" s="1011">
        <f>'数据-取费表'!B41</f>
        <v>5.6000000000000001E-2</v>
      </c>
      <c r="G31" s="1012" t="s">
        <v>2505</v>
      </c>
      <c r="H31" s="1013"/>
      <c r="I31" s="1013"/>
      <c r="J31" s="1013"/>
      <c r="K31" s="1014"/>
    </row>
    <row r="32" spans="1:33" s="972" customFormat="1" ht="13.5" customHeight="1" thickBot="1">
      <c r="A32" s="1002" t="s">
        <v>2506</v>
      </c>
      <c r="B32" s="1003"/>
      <c r="C32" s="1004">
        <f ca="1">ROUND((C4-C21-C22-C23-C25-C28-C31)/(1+C24+D25+D28),0)</f>
        <v>0</v>
      </c>
      <c r="D32" s="1003"/>
      <c r="E32" s="1003"/>
      <c r="F32" s="1003"/>
      <c r="G32" s="1005" t="s">
        <v>2507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5" zoomScale="90" zoomScaleNormal="90" workbookViewId="0">
      <selection activeCell="K17" sqref="K17"/>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7" t="s">
        <v>2631</v>
      </c>
      <c r="C1" s="1633" t="s">
        <v>2519</v>
      </c>
      <c r="D1" s="1620" t="s">
        <v>3060</v>
      </c>
      <c r="E1" s="2652"/>
      <c r="F1" s="2579" t="s">
        <v>3067</v>
      </c>
      <c r="G1" s="1630" t="s">
        <v>2632</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7">
        <f>IF(C2="——",ROUND(C49*D3/10000,0),ROUND(C49*D3/10000,0)-D2)</f>
        <v>0</v>
      </c>
      <c r="C2" s="2581" t="s">
        <v>70</v>
      </c>
      <c r="D2" s="1364"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2318</v>
      </c>
      <c r="B3" s="609">
        <f>IF(C2="——",C49,ROUND(B2*10000/D3,0))</f>
        <v>42933</v>
      </c>
      <c r="C3" s="400" t="s">
        <v>2633</v>
      </c>
      <c r="D3" s="399">
        <f>IF(D1="",'数据-汇总表'!E3,SUMIF('数据-汇总表'!$C19:$C33,D1,'数据-汇总表'!$E19:$E33))</f>
        <v>0</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2634</v>
      </c>
      <c r="B4" s="402"/>
      <c r="C4" s="3211" t="s">
        <v>2635</v>
      </c>
      <c r="D4" s="3212"/>
      <c r="E4" s="3213" t="s">
        <v>2636</v>
      </c>
      <c r="F4" s="3214"/>
      <c r="G4" s="3211" t="s">
        <v>2637</v>
      </c>
      <c r="H4" s="3212"/>
      <c r="I4" s="3211" t="s">
        <v>2638</v>
      </c>
      <c r="J4" s="3212"/>
      <c r="K4" s="610" t="s">
        <v>2639</v>
      </c>
      <c r="L4" s="1129"/>
      <c r="M4" s="1130"/>
      <c r="N4" s="1130"/>
      <c r="O4" s="1130"/>
      <c r="P4" s="3215" t="s">
        <v>2640</v>
      </c>
      <c r="Q4" s="3216"/>
      <c r="R4" s="3198" t="s">
        <v>2636</v>
      </c>
      <c r="S4" s="3199"/>
      <c r="T4" s="3198" t="s">
        <v>2637</v>
      </c>
      <c r="U4" s="3199"/>
      <c r="V4" s="3195" t="s">
        <v>2638</v>
      </c>
      <c r="W4" s="3195"/>
      <c r="X4" s="1811"/>
      <c r="Y4" s="3198" t="s">
        <v>2640</v>
      </c>
      <c r="Z4" s="3199"/>
      <c r="AA4" s="3192" t="s">
        <v>2636</v>
      </c>
      <c r="AB4" s="3195" t="s">
        <v>2637</v>
      </c>
      <c r="AC4" s="3192" t="s">
        <v>2638</v>
      </c>
    </row>
    <row r="5" spans="1:29" ht="15">
      <c r="A5" s="404"/>
      <c r="B5" s="405"/>
      <c r="C5" s="3204" t="s">
        <v>3068</v>
      </c>
      <c r="D5" s="3205"/>
      <c r="E5" s="3202" t="s">
        <v>3104</v>
      </c>
      <c r="F5" s="3203"/>
      <c r="G5" s="3204" t="s">
        <v>3111</v>
      </c>
      <c r="H5" s="3205"/>
      <c r="I5" s="3204" t="s">
        <v>3108</v>
      </c>
      <c r="J5" s="3205"/>
      <c r="K5" s="610"/>
      <c r="L5" s="1129"/>
      <c r="M5" s="1130"/>
      <c r="N5" s="1130"/>
      <c r="O5" s="1130"/>
      <c r="P5" s="3217"/>
      <c r="Q5" s="3218"/>
      <c r="R5" s="3200"/>
      <c r="S5" s="3201"/>
      <c r="T5" s="3200"/>
      <c r="U5" s="3201"/>
      <c r="V5" s="3195"/>
      <c r="W5" s="3195"/>
      <c r="X5" s="1811"/>
      <c r="Y5" s="3200"/>
      <c r="Z5" s="3201"/>
      <c r="AA5" s="3193"/>
      <c r="AB5" s="3195"/>
      <c r="AC5" s="3193"/>
    </row>
    <row r="6" spans="1:29" ht="15.75" thickBot="1">
      <c r="A6" s="406"/>
      <c r="B6" s="407"/>
      <c r="C6" s="3206" t="s">
        <v>2535</v>
      </c>
      <c r="D6" s="3207"/>
      <c r="E6" s="3208" t="s">
        <v>2535</v>
      </c>
      <c r="F6" s="3209"/>
      <c r="G6" s="3206" t="s">
        <v>2535</v>
      </c>
      <c r="H6" s="3207"/>
      <c r="I6" s="3206" t="s">
        <v>2535</v>
      </c>
      <c r="J6" s="3207"/>
      <c r="K6" s="610" t="s">
        <v>2536</v>
      </c>
      <c r="L6" s="1129"/>
      <c r="M6" s="1130"/>
      <c r="N6" s="1130"/>
      <c r="O6" s="1130"/>
      <c r="P6" s="3219"/>
      <c r="Q6" s="3220"/>
      <c r="R6" s="3200"/>
      <c r="S6" s="3201"/>
      <c r="T6" s="3221"/>
      <c r="U6" s="3222"/>
      <c r="V6" s="3195"/>
      <c r="W6" s="3195"/>
      <c r="X6" s="1811"/>
      <c r="Y6" s="3221"/>
      <c r="Z6" s="3222"/>
      <c r="AA6" s="3194"/>
      <c r="AB6" s="3195"/>
      <c r="AC6" s="3194"/>
    </row>
    <row r="7" spans="1:29" s="117" customFormat="1" ht="15.75" thickBot="1">
      <c r="A7" s="408" t="s">
        <v>2537</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1"/>
      <c r="M7" s="1132"/>
      <c r="N7" s="1132"/>
      <c r="O7" s="1132"/>
      <c r="P7" s="3196" t="s">
        <v>2538</v>
      </c>
      <c r="Q7" s="3223"/>
      <c r="R7" s="769" t="s">
        <v>17</v>
      </c>
      <c r="S7" s="770">
        <f t="shared" ref="S7:S15" si="0">F7</f>
        <v>100</v>
      </c>
      <c r="T7" s="769" t="s">
        <v>17</v>
      </c>
      <c r="U7" s="770">
        <f t="shared" ref="U7:U15" si="1">H7</f>
        <v>100</v>
      </c>
      <c r="V7" s="769" t="s">
        <v>17</v>
      </c>
      <c r="W7" s="770">
        <f t="shared" ref="W7:W15" si="2">J7</f>
        <v>100</v>
      </c>
      <c r="X7" s="771"/>
      <c r="Y7" s="3196" t="s">
        <v>2538</v>
      </c>
      <c r="Z7" s="3197"/>
      <c r="AA7" s="772">
        <f>D7/F7</f>
        <v>1</v>
      </c>
      <c r="AB7" s="772">
        <f>D7/H7</f>
        <v>1</v>
      </c>
      <c r="AC7" s="772">
        <f>D7/J7</f>
        <v>1</v>
      </c>
    </row>
    <row r="8" spans="1:29" s="117" customFormat="1" ht="15.75" thickBot="1">
      <c r="A8" s="408" t="s">
        <v>2539</v>
      </c>
      <c r="B8" s="409"/>
      <c r="C8" s="414" t="s">
        <v>2641</v>
      </c>
      <c r="D8" s="411">
        <v>100</v>
      </c>
      <c r="E8" s="414" t="s">
        <v>2576</v>
      </c>
      <c r="F8" s="413">
        <f>SUMIF(61:61,E8,62:62)-SUMIF(61:61,C8,62:62)+100</f>
        <v>100</v>
      </c>
      <c r="G8" s="414" t="s">
        <v>2576</v>
      </c>
      <c r="H8" s="411">
        <f>SUMIF(61:61,G8,62:62)-SUMIF(61:61,C8,62:62)+100</f>
        <v>100</v>
      </c>
      <c r="I8" s="414" t="s">
        <v>2576</v>
      </c>
      <c r="J8" s="411">
        <f>SUMIF(61:61,I8,62:62)-SUMIF(61:61,C8,62:62)+100</f>
        <v>100</v>
      </c>
      <c r="K8" s="611"/>
      <c r="L8" s="1131"/>
      <c r="M8" s="1132"/>
      <c r="N8" s="1132"/>
      <c r="O8" s="1132"/>
      <c r="P8" s="3196" t="s">
        <v>2541</v>
      </c>
      <c r="Q8" s="3197"/>
      <c r="R8" s="769" t="s">
        <v>17</v>
      </c>
      <c r="S8" s="770">
        <f t="shared" si="0"/>
        <v>100</v>
      </c>
      <c r="T8" s="769" t="s">
        <v>17</v>
      </c>
      <c r="U8" s="770">
        <f t="shared" si="1"/>
        <v>100</v>
      </c>
      <c r="V8" s="769" t="s">
        <v>17</v>
      </c>
      <c r="W8" s="770">
        <f t="shared" si="2"/>
        <v>100</v>
      </c>
      <c r="X8" s="771"/>
      <c r="Y8" s="3196" t="s">
        <v>2541</v>
      </c>
      <c r="Z8" s="3197"/>
      <c r="AA8" s="772">
        <f t="shared" ref="AA8:AA46" si="3">D8/F8</f>
        <v>1</v>
      </c>
      <c r="AB8" s="772">
        <f t="shared" ref="AB8:AB46" si="4">D8/H8</f>
        <v>1</v>
      </c>
      <c r="AC8" s="772">
        <f t="shared" ref="AC8:AC46" si="5">D8/J8</f>
        <v>1</v>
      </c>
    </row>
    <row r="9" spans="1:29" s="117" customFormat="1">
      <c r="A9" s="415" t="s">
        <v>2542</v>
      </c>
      <c r="B9" s="71" t="s">
        <v>2543</v>
      </c>
      <c r="C9" s="2958" t="s">
        <v>3069</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10" t="s">
        <v>2544</v>
      </c>
      <c r="Q9" s="1793" t="str">
        <f t="shared" ref="Q9:Q15" si="6">B9</f>
        <v>用途</v>
      </c>
      <c r="R9" s="769" t="s">
        <v>17</v>
      </c>
      <c r="S9" s="770">
        <f t="shared" si="0"/>
        <v>100</v>
      </c>
      <c r="T9" s="769" t="s">
        <v>17</v>
      </c>
      <c r="U9" s="770">
        <f t="shared" si="1"/>
        <v>100</v>
      </c>
      <c r="V9" s="769" t="s">
        <v>17</v>
      </c>
      <c r="W9" s="770">
        <f t="shared" si="2"/>
        <v>100</v>
      </c>
      <c r="X9" s="771"/>
      <c r="Y9" s="3069" t="s">
        <v>2545</v>
      </c>
      <c r="Z9" s="55" t="str">
        <f t="shared" ref="Z9:Z15" si="7">Q9</f>
        <v>用途</v>
      </c>
      <c r="AA9" s="772">
        <f t="shared" si="3"/>
        <v>1</v>
      </c>
      <c r="AB9" s="772">
        <f t="shared" si="4"/>
        <v>1</v>
      </c>
      <c r="AC9" s="772">
        <f t="shared" si="5"/>
        <v>1</v>
      </c>
    </row>
    <row r="10" spans="1:29" s="427" customFormat="1" ht="27.75" thickBot="1">
      <c r="A10" s="421"/>
      <c r="B10" s="422" t="s">
        <v>2546</v>
      </c>
      <c r="C10" s="423" t="s">
        <v>3070</v>
      </c>
      <c r="D10" s="136">
        <v>100</v>
      </c>
      <c r="E10" s="424" t="s">
        <v>3105</v>
      </c>
      <c r="F10" s="425">
        <f>SUMIF(65:65,E10,66:66)-SUMIF(65:65,C10,66:66)+100</f>
        <v>98</v>
      </c>
      <c r="G10" s="423" t="s">
        <v>3070</v>
      </c>
      <c r="H10" s="136">
        <f>SUMIF(65:65,G10,66:66)-SUMIF(65:65,C10,66:66)+100</f>
        <v>100</v>
      </c>
      <c r="I10" s="423" t="s">
        <v>3105</v>
      </c>
      <c r="J10" s="136">
        <f>SUMIF(65:65,I10,66:66)-SUMIF(65:65,C10,66:66)+100</f>
        <v>98</v>
      </c>
      <c r="K10" s="612">
        <v>2</v>
      </c>
      <c r="L10" s="1134"/>
      <c r="M10" s="1135"/>
      <c r="N10" s="1135"/>
      <c r="O10" s="1135"/>
      <c r="P10" s="3210"/>
      <c r="Q10" s="1793" t="str">
        <f t="shared" si="6"/>
        <v>土地使用年限（年）</v>
      </c>
      <c r="R10" s="769" t="s">
        <v>17</v>
      </c>
      <c r="S10" s="770">
        <f t="shared" si="0"/>
        <v>98</v>
      </c>
      <c r="T10" s="769" t="s">
        <v>17</v>
      </c>
      <c r="U10" s="770">
        <f t="shared" si="1"/>
        <v>100</v>
      </c>
      <c r="V10" s="769" t="s">
        <v>17</v>
      </c>
      <c r="W10" s="770">
        <f t="shared" si="2"/>
        <v>98</v>
      </c>
      <c r="X10" s="771"/>
      <c r="Y10" s="3069"/>
      <c r="Z10" s="55" t="str">
        <f t="shared" si="7"/>
        <v>土地使用年限（年）</v>
      </c>
      <c r="AA10" s="772">
        <f t="shared" si="3"/>
        <v>1.0204081632653061</v>
      </c>
      <c r="AB10" s="772">
        <f t="shared" si="4"/>
        <v>1</v>
      </c>
      <c r="AC10" s="772">
        <f t="shared" si="5"/>
        <v>1.0204081632653061</v>
      </c>
    </row>
    <row r="11" spans="1:29" ht="15" hidden="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10"/>
      <c r="Q11" s="1793" t="str">
        <f t="shared" si="6"/>
        <v>容积率</v>
      </c>
      <c r="R11" s="769" t="s">
        <v>17</v>
      </c>
      <c r="S11" s="770">
        <f t="shared" si="0"/>
        <v>100</v>
      </c>
      <c r="T11" s="769" t="s">
        <v>17</v>
      </c>
      <c r="U11" s="770">
        <f t="shared" si="1"/>
        <v>100</v>
      </c>
      <c r="V11" s="769" t="s">
        <v>17</v>
      </c>
      <c r="W11" s="770">
        <f t="shared" si="2"/>
        <v>100</v>
      </c>
      <c r="X11" s="771"/>
      <c r="Y11" s="3069"/>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0"/>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0"/>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0"/>
      <c r="Q14" s="1793">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772">
        <f t="shared" si="5"/>
        <v>1</v>
      </c>
    </row>
    <row r="15" spans="1:29" ht="57">
      <c r="A15" s="440" t="s">
        <v>2548</v>
      </c>
      <c r="B15" s="69" t="s">
        <v>2642</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39"/>
      <c r="M15" s="1130"/>
      <c r="N15" s="1130"/>
      <c r="O15" s="1130"/>
      <c r="P15" s="3224" t="s">
        <v>2549</v>
      </c>
      <c r="Q15" s="1808" t="str">
        <f t="shared" si="6"/>
        <v>商业繁华度</v>
      </c>
      <c r="R15" s="773" t="s">
        <v>17</v>
      </c>
      <c r="S15" s="774">
        <f t="shared" si="0"/>
        <v>102</v>
      </c>
      <c r="T15" s="773" t="s">
        <v>17</v>
      </c>
      <c r="U15" s="774">
        <f t="shared" si="1"/>
        <v>102</v>
      </c>
      <c r="V15" s="773" t="s">
        <v>17</v>
      </c>
      <c r="W15" s="774">
        <f t="shared" si="2"/>
        <v>102</v>
      </c>
      <c r="X15" s="1811"/>
      <c r="Y15" s="3226" t="s">
        <v>2549</v>
      </c>
      <c r="Z15" s="1812" t="str">
        <f t="shared" si="7"/>
        <v>商业繁华度</v>
      </c>
      <c r="AA15" s="1809">
        <f t="shared" si="3"/>
        <v>0.98039215686274506</v>
      </c>
      <c r="AB15" s="1809">
        <f t="shared" si="4"/>
        <v>0.98039215686274506</v>
      </c>
      <c r="AC15" s="1809">
        <f t="shared" si="5"/>
        <v>0.98039215686274506</v>
      </c>
    </row>
    <row r="16" spans="1:29" ht="15">
      <c r="A16" s="428"/>
      <c r="B16" s="446"/>
      <c r="C16" s="447" t="s">
        <v>3071</v>
      </c>
      <c r="D16" s="448"/>
      <c r="E16" s="447" t="s">
        <v>3072</v>
      </c>
      <c r="F16" s="449"/>
      <c r="G16" s="447" t="s">
        <v>3072</v>
      </c>
      <c r="H16" s="450"/>
      <c r="I16" s="447" t="s">
        <v>3072</v>
      </c>
      <c r="J16" s="448"/>
      <c r="K16" s="615"/>
      <c r="L16" s="1139"/>
      <c r="M16" s="1130"/>
      <c r="N16" s="1130"/>
      <c r="O16" s="1130"/>
      <c r="P16" s="3225"/>
      <c r="Q16" s="1808"/>
      <c r="R16" s="773"/>
      <c r="S16" s="774"/>
      <c r="T16" s="773"/>
      <c r="U16" s="774"/>
      <c r="V16" s="773"/>
      <c r="W16" s="774"/>
      <c r="X16" s="1811"/>
      <c r="Y16" s="3227"/>
      <c r="Z16" s="1812"/>
      <c r="AA16" s="1809">
        <v>1</v>
      </c>
      <c r="AB16" s="1809">
        <v>1</v>
      </c>
      <c r="AC16" s="1809">
        <v>1</v>
      </c>
    </row>
    <row r="17" spans="1:29" ht="99.75">
      <c r="A17" s="428"/>
      <c r="B17" s="451" t="s">
        <v>2091</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25"/>
      <c r="Q17" s="1808" t="str">
        <f>B17</f>
        <v>交通便捷度</v>
      </c>
      <c r="R17" s="773" t="s">
        <v>17</v>
      </c>
      <c r="S17" s="774">
        <f>F17</f>
        <v>100</v>
      </c>
      <c r="T17" s="773" t="s">
        <v>17</v>
      </c>
      <c r="U17" s="774">
        <f>H17</f>
        <v>100</v>
      </c>
      <c r="V17" s="773" t="s">
        <v>17</v>
      </c>
      <c r="W17" s="774">
        <f>J17</f>
        <v>100</v>
      </c>
      <c r="X17" s="1811"/>
      <c r="Y17" s="3227"/>
      <c r="Z17" s="1812" t="str">
        <f>Q17</f>
        <v>交通便捷度</v>
      </c>
      <c r="AA17" s="1809">
        <f t="shared" si="3"/>
        <v>1</v>
      </c>
      <c r="AB17" s="1809">
        <f t="shared" si="4"/>
        <v>1</v>
      </c>
      <c r="AC17" s="1809">
        <f t="shared" si="5"/>
        <v>1</v>
      </c>
    </row>
    <row r="18" spans="1:29" ht="15">
      <c r="A18" s="428"/>
      <c r="B18" s="456"/>
      <c r="C18" s="2603" t="s">
        <v>3072</v>
      </c>
      <c r="D18" s="450"/>
      <c r="E18" s="2603" t="s">
        <v>3072</v>
      </c>
      <c r="F18" s="453"/>
      <c r="G18" s="2603" t="s">
        <v>3072</v>
      </c>
      <c r="H18" s="448"/>
      <c r="I18" s="2603" t="s">
        <v>3072</v>
      </c>
      <c r="J18" s="448"/>
      <c r="K18" s="615"/>
      <c r="L18" s="1139"/>
      <c r="M18" s="1130"/>
      <c r="N18" s="1130"/>
      <c r="O18" s="1130"/>
      <c r="P18" s="3225"/>
      <c r="Q18" s="1808"/>
      <c r="R18" s="773"/>
      <c r="S18" s="774"/>
      <c r="T18" s="773"/>
      <c r="U18" s="774"/>
      <c r="V18" s="773"/>
      <c r="W18" s="774"/>
      <c r="X18" s="1811"/>
      <c r="Y18" s="3227"/>
      <c r="Z18" s="1812"/>
      <c r="AA18" s="1809">
        <v>1</v>
      </c>
      <c r="AB18" s="1809">
        <v>1</v>
      </c>
      <c r="AC18" s="1809">
        <v>1</v>
      </c>
    </row>
    <row r="19" spans="1:29" ht="93" customHeight="1">
      <c r="A19" s="428"/>
      <c r="B19" s="451" t="s">
        <v>2643</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25"/>
      <c r="Q19" s="1808" t="str">
        <f>B19</f>
        <v>公共配套设施</v>
      </c>
      <c r="R19" s="773" t="s">
        <v>17</v>
      </c>
      <c r="S19" s="774">
        <f>F19</f>
        <v>100</v>
      </c>
      <c r="T19" s="773" t="s">
        <v>17</v>
      </c>
      <c r="U19" s="774">
        <f>H19</f>
        <v>100</v>
      </c>
      <c r="V19" s="773" t="s">
        <v>17</v>
      </c>
      <c r="W19" s="774">
        <f>J19</f>
        <v>100</v>
      </c>
      <c r="X19" s="1811"/>
      <c r="Y19" s="3227"/>
      <c r="Z19" s="1812" t="str">
        <f>Q19</f>
        <v>公共配套设施</v>
      </c>
      <c r="AA19" s="1809">
        <f t="shared" si="3"/>
        <v>1</v>
      </c>
      <c r="AB19" s="1809">
        <f t="shared" si="4"/>
        <v>1</v>
      </c>
      <c r="AC19" s="1809">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25"/>
      <c r="Q20" s="1808"/>
      <c r="R20" s="773"/>
      <c r="S20" s="774"/>
      <c r="T20" s="773"/>
      <c r="U20" s="774"/>
      <c r="V20" s="773"/>
      <c r="W20" s="774"/>
      <c r="X20" s="1811"/>
      <c r="Y20" s="3227"/>
      <c r="Z20" s="1812"/>
      <c r="AA20" s="1809">
        <v>1</v>
      </c>
      <c r="AB20" s="1809">
        <v>1</v>
      </c>
      <c r="AC20" s="1809">
        <v>1</v>
      </c>
    </row>
    <row r="21" spans="1:29" ht="15">
      <c r="A21" s="428"/>
      <c r="B21" s="1383" t="s">
        <v>2644</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25"/>
      <c r="Q21" s="1808" t="str">
        <f>B21</f>
        <v>基础设施水平</v>
      </c>
      <c r="R21" s="773" t="s">
        <v>17</v>
      </c>
      <c r="S21" s="774">
        <f>F21</f>
        <v>100</v>
      </c>
      <c r="T21" s="773" t="s">
        <v>17</v>
      </c>
      <c r="U21" s="774">
        <f>H21</f>
        <v>100</v>
      </c>
      <c r="V21" s="773" t="s">
        <v>17</v>
      </c>
      <c r="W21" s="774">
        <f>J21</f>
        <v>100</v>
      </c>
      <c r="X21" s="1811"/>
      <c r="Y21" s="3227"/>
      <c r="Z21" s="1812" t="str">
        <f>Q21</f>
        <v>基础设施水平</v>
      </c>
      <c r="AA21" s="1809">
        <f t="shared" ref="AA21" si="8">D21/F21</f>
        <v>1</v>
      </c>
      <c r="AB21" s="1809">
        <f t="shared" ref="AB21" si="9">D21/H21</f>
        <v>1</v>
      </c>
      <c r="AC21" s="1809">
        <f t="shared" ref="AC21" si="10">D21/J21</f>
        <v>1</v>
      </c>
    </row>
    <row r="22" spans="1:29" ht="15">
      <c r="A22" s="428"/>
      <c r="B22" s="1383"/>
      <c r="C22" s="2603" t="s">
        <v>3073</v>
      </c>
      <c r="D22" s="448"/>
      <c r="E22" s="2603" t="s">
        <v>3073</v>
      </c>
      <c r="F22" s="449"/>
      <c r="G22" s="2603" t="s">
        <v>3073</v>
      </c>
      <c r="H22" s="448"/>
      <c r="I22" s="2603" t="s">
        <v>3073</v>
      </c>
      <c r="J22" s="448"/>
      <c r="K22" s="1382"/>
      <c r="L22" s="1139"/>
      <c r="M22" s="1130"/>
      <c r="N22" s="1130"/>
      <c r="O22" s="1130"/>
      <c r="P22" s="3225"/>
      <c r="Q22" s="1808"/>
      <c r="R22" s="773"/>
      <c r="S22" s="774"/>
      <c r="T22" s="773"/>
      <c r="U22" s="774"/>
      <c r="V22" s="773"/>
      <c r="W22" s="774"/>
      <c r="X22" s="1811"/>
      <c r="Y22" s="3227"/>
      <c r="Z22" s="1812"/>
      <c r="AA22" s="1809">
        <v>1</v>
      </c>
      <c r="AB22" s="1809">
        <v>1</v>
      </c>
      <c r="AC22" s="1809">
        <v>1</v>
      </c>
    </row>
    <row r="23" spans="1:29" ht="28.5">
      <c r="A23" s="428"/>
      <c r="B23" s="451" t="s">
        <v>2094</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25"/>
      <c r="Q23" s="1808" t="str">
        <f>B23</f>
        <v>自然及人文环境</v>
      </c>
      <c r="R23" s="773" t="s">
        <v>17</v>
      </c>
      <c r="S23" s="774">
        <f>F23</f>
        <v>100</v>
      </c>
      <c r="T23" s="773" t="s">
        <v>17</v>
      </c>
      <c r="U23" s="774">
        <f>H23</f>
        <v>100</v>
      </c>
      <c r="V23" s="773" t="s">
        <v>17</v>
      </c>
      <c r="W23" s="774">
        <f>J23</f>
        <v>100</v>
      </c>
      <c r="X23" s="1811"/>
      <c r="Y23" s="3227"/>
      <c r="Z23" s="1812" t="str">
        <f>Q23</f>
        <v>自然及人文环境</v>
      </c>
      <c r="AA23" s="1809">
        <f t="shared" si="3"/>
        <v>1</v>
      </c>
      <c r="AB23" s="1809">
        <f t="shared" si="4"/>
        <v>1</v>
      </c>
      <c r="AC23" s="1809">
        <f t="shared" si="5"/>
        <v>1</v>
      </c>
    </row>
    <row r="24" spans="1:29" ht="15">
      <c r="A24" s="428"/>
      <c r="B24" s="456"/>
      <c r="C24" s="447" t="s">
        <v>3071</v>
      </c>
      <c r="D24" s="448"/>
      <c r="E24" s="447" t="s">
        <v>3071</v>
      </c>
      <c r="F24" s="449"/>
      <c r="G24" s="447" t="s">
        <v>3071</v>
      </c>
      <c r="H24" s="448"/>
      <c r="I24" s="447" t="s">
        <v>3071</v>
      </c>
      <c r="J24" s="448"/>
      <c r="K24" s="615"/>
      <c r="L24" s="1139"/>
      <c r="M24" s="1130"/>
      <c r="N24" s="1130"/>
      <c r="O24" s="1130"/>
      <c r="P24" s="3225"/>
      <c r="Q24" s="1808"/>
      <c r="R24" s="773"/>
      <c r="S24" s="774"/>
      <c r="T24" s="773"/>
      <c r="U24" s="774"/>
      <c r="V24" s="773"/>
      <c r="W24" s="774"/>
      <c r="X24" s="1811"/>
      <c r="Y24" s="3227"/>
      <c r="Z24" s="1812"/>
      <c r="AA24" s="1809">
        <v>1</v>
      </c>
      <c r="AB24" s="1809">
        <v>1</v>
      </c>
      <c r="AC24" s="1809">
        <v>1</v>
      </c>
    </row>
    <row r="25" spans="1:29" ht="15">
      <c r="A25" s="428"/>
      <c r="B25" s="422" t="s">
        <v>2645</v>
      </c>
      <c r="C25" s="616" t="s">
        <v>3078</v>
      </c>
      <c r="D25" s="435">
        <v>100</v>
      </c>
      <c r="E25" s="616" t="s">
        <v>3078</v>
      </c>
      <c r="F25" s="461">
        <f>SUMIF(86:86,E25,87:87)-SUMIF(86:86,C25,87:87)+100</f>
        <v>100</v>
      </c>
      <c r="G25" s="616" t="s">
        <v>3078</v>
      </c>
      <c r="H25" s="435">
        <f>SUMIF(86:86,G25,87:87)-SUMIF(86:86,C25,87:87)+100</f>
        <v>100</v>
      </c>
      <c r="I25" s="616" t="s">
        <v>3078</v>
      </c>
      <c r="J25" s="435">
        <f>SUMIF(86:86,I25,87:87)-SUMIF(86:86,C25,87:87)+100</f>
        <v>100</v>
      </c>
      <c r="K25" s="612">
        <v>2</v>
      </c>
      <c r="L25" s="1139"/>
      <c r="M25" s="1130"/>
      <c r="N25" s="1130"/>
      <c r="O25" s="1130"/>
      <c r="P25" s="3225"/>
      <c r="Q25" s="1808" t="str">
        <f t="shared" ref="Q25:Q46" si="11">B25</f>
        <v>临街状况</v>
      </c>
      <c r="R25" s="773" t="s">
        <v>17</v>
      </c>
      <c r="S25" s="774">
        <f>F25</f>
        <v>100</v>
      </c>
      <c r="T25" s="773" t="s">
        <v>17</v>
      </c>
      <c r="U25" s="774">
        <f>H25</f>
        <v>100</v>
      </c>
      <c r="V25" s="773" t="s">
        <v>17</v>
      </c>
      <c r="W25" s="774">
        <f>J25</f>
        <v>100</v>
      </c>
      <c r="X25" s="1811"/>
      <c r="Y25" s="3227"/>
      <c r="Z25" s="1812" t="str">
        <f>Q25</f>
        <v>临街状况</v>
      </c>
      <c r="AA25" s="1809">
        <f t="shared" si="3"/>
        <v>1</v>
      </c>
      <c r="AB25" s="1809">
        <f t="shared" si="4"/>
        <v>1</v>
      </c>
      <c r="AC25" s="1809">
        <f t="shared" si="5"/>
        <v>1</v>
      </c>
    </row>
    <row r="26" spans="1:29" ht="15">
      <c r="A26" s="428"/>
      <c r="B26" s="1385" t="s">
        <v>2646</v>
      </c>
      <c r="C26" s="2961" t="s">
        <v>3075</v>
      </c>
      <c r="D26" s="435">
        <v>100</v>
      </c>
      <c r="E26" s="2961" t="s">
        <v>3075</v>
      </c>
      <c r="F26" s="461">
        <f>SUMIF(88:88,E26,89:89)-SUMIF(88:88,C26,89:89)+100</f>
        <v>100</v>
      </c>
      <c r="G26" s="2961" t="s">
        <v>3075</v>
      </c>
      <c r="H26" s="435">
        <f>SUMIF(88:88,G26,89:89)-SUMIF(88:88,C26,89:89)+100</f>
        <v>100</v>
      </c>
      <c r="I26" s="2961" t="s">
        <v>3075</v>
      </c>
      <c r="J26" s="435">
        <f>SUMIF(88:88,I26,89:89)-SUMIF(88:88,C26,89:89)+100</f>
        <v>100</v>
      </c>
      <c r="K26" s="613"/>
      <c r="L26" s="1139"/>
      <c r="M26" s="1130"/>
      <c r="N26" s="1130"/>
      <c r="O26" s="1130"/>
      <c r="P26" s="3225"/>
      <c r="Q26" s="1808" t="str">
        <f t="shared" si="11"/>
        <v>平面位置/可视性</v>
      </c>
      <c r="R26" s="773" t="s">
        <v>17</v>
      </c>
      <c r="S26" s="774">
        <f>F26</f>
        <v>100</v>
      </c>
      <c r="T26" s="773" t="s">
        <v>17</v>
      </c>
      <c r="U26" s="774">
        <f>H26</f>
        <v>100</v>
      </c>
      <c r="V26" s="773" t="s">
        <v>17</v>
      </c>
      <c r="W26" s="774">
        <f>J26</f>
        <v>100</v>
      </c>
      <c r="X26" s="1811"/>
      <c r="Y26" s="3227"/>
      <c r="Z26" s="1812" t="str">
        <f>Q26</f>
        <v>平面位置/可视性</v>
      </c>
      <c r="AA26" s="1809">
        <f t="shared" si="3"/>
        <v>1</v>
      </c>
      <c r="AB26" s="1809">
        <f t="shared" si="4"/>
        <v>1</v>
      </c>
      <c r="AC26" s="1809">
        <f t="shared" si="5"/>
        <v>1</v>
      </c>
    </row>
    <row r="27" spans="1:29" s="117" customFormat="1" ht="15">
      <c r="A27" s="431"/>
      <c r="B27" s="451" t="s">
        <v>2647</v>
      </c>
      <c r="C27" s="2660" t="s">
        <v>3071</v>
      </c>
      <c r="D27" s="462">
        <v>100</v>
      </c>
      <c r="E27" s="2660" t="s">
        <v>3072</v>
      </c>
      <c r="F27" s="464">
        <f>SUMIF(90:90,E27,91:91)-SUMIF(90:90,C27,91:91)+100</f>
        <v>102</v>
      </c>
      <c r="G27" s="2660" t="s">
        <v>3072</v>
      </c>
      <c r="H27" s="462">
        <f>SUMIF(90:90,G27,91:91)-SUMIF(90:90,C27,91:91)+100</f>
        <v>102</v>
      </c>
      <c r="I27" s="2660" t="s">
        <v>3072</v>
      </c>
      <c r="J27" s="462">
        <f>SUMIF(90:90,I27,91:91)-SUMIF(90:90,C27,91:91)+100</f>
        <v>102</v>
      </c>
      <c r="K27" s="612">
        <v>2</v>
      </c>
      <c r="L27" s="1131"/>
      <c r="M27" s="1132"/>
      <c r="N27" s="1132"/>
      <c r="O27" s="1132"/>
      <c r="P27" s="3225"/>
      <c r="Q27" s="1793" t="str">
        <f t="shared" si="11"/>
        <v>人流量</v>
      </c>
      <c r="R27" s="769" t="s">
        <v>17</v>
      </c>
      <c r="S27" s="770">
        <f>F27</f>
        <v>102</v>
      </c>
      <c r="T27" s="769" t="s">
        <v>17</v>
      </c>
      <c r="U27" s="770">
        <f>H27</f>
        <v>102</v>
      </c>
      <c r="V27" s="769" t="s">
        <v>17</v>
      </c>
      <c r="W27" s="770">
        <f>J27</f>
        <v>102</v>
      </c>
      <c r="X27" s="771"/>
      <c r="Y27" s="3227"/>
      <c r="Z27" s="55" t="str">
        <f>Q27</f>
        <v>人流量</v>
      </c>
      <c r="AA27" s="1809">
        <f>D27/F27</f>
        <v>0.98039215686274506</v>
      </c>
      <c r="AB27" s="1809">
        <f>D27/H27</f>
        <v>0.98039215686274506</v>
      </c>
      <c r="AC27" s="1809">
        <f>D27/J27</f>
        <v>0.98039215686274506</v>
      </c>
    </row>
    <row r="28" spans="1:29" ht="15.75" thickBot="1">
      <c r="A28" s="428"/>
      <c r="B28" s="422" t="s">
        <v>2648</v>
      </c>
      <c r="C28" s="616" t="s">
        <v>3079</v>
      </c>
      <c r="D28" s="435">
        <v>100</v>
      </c>
      <c r="E28" s="616">
        <v>1</v>
      </c>
      <c r="F28" s="461">
        <f>SUMIF(92:92,E28,93:93)-SUMIF(92:92,C28,93:93)+100</f>
        <v>115</v>
      </c>
      <c r="G28" s="616">
        <v>1</v>
      </c>
      <c r="H28" s="435">
        <f>SUMIF(92:92,G28,93:93)-SUMIF(92:92,C28,93:93)+100</f>
        <v>115</v>
      </c>
      <c r="I28" s="616">
        <v>1</v>
      </c>
      <c r="J28" s="435">
        <f>SUMIF(92:92,I28,93:93)-SUMIF(92:92,C28,93:93)+100</f>
        <v>115</v>
      </c>
      <c r="K28" s="613"/>
      <c r="L28" s="1139"/>
      <c r="M28" s="1130"/>
      <c r="N28" s="1130"/>
      <c r="O28" s="1130"/>
      <c r="P28" s="3225"/>
      <c r="Q28" s="1808" t="str">
        <f t="shared" si="11"/>
        <v>楼层</v>
      </c>
      <c r="R28" s="773" t="s">
        <v>17</v>
      </c>
      <c r="S28" s="774">
        <f t="shared" ref="S28:S46" si="12">F28</f>
        <v>115</v>
      </c>
      <c r="T28" s="773" t="s">
        <v>17</v>
      </c>
      <c r="U28" s="774">
        <f t="shared" ref="U28:U46" si="13">H28</f>
        <v>115</v>
      </c>
      <c r="V28" s="773" t="s">
        <v>17</v>
      </c>
      <c r="W28" s="774">
        <f t="shared" ref="W28:W46" si="14">J28</f>
        <v>115</v>
      </c>
      <c r="X28" s="1811"/>
      <c r="Y28" s="3227"/>
      <c r="Z28" s="1812" t="str">
        <f t="shared" ref="Z28:Z46" si="15">Q28</f>
        <v>楼层</v>
      </c>
      <c r="AA28" s="1809">
        <f t="shared" si="3"/>
        <v>0.86956521739130432</v>
      </c>
      <c r="AB28" s="1809">
        <f t="shared" si="4"/>
        <v>0.86956521739130432</v>
      </c>
      <c r="AC28" s="1809">
        <f t="shared" si="5"/>
        <v>0.86956521739130432</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5"/>
      <c r="Q29" s="1808">
        <f t="shared" si="11"/>
        <v>111</v>
      </c>
      <c r="R29" s="773" t="s">
        <v>17</v>
      </c>
      <c r="S29" s="774">
        <f t="shared" si="12"/>
        <v>100</v>
      </c>
      <c r="T29" s="773" t="s">
        <v>17</v>
      </c>
      <c r="U29" s="774">
        <f t="shared" si="13"/>
        <v>100</v>
      </c>
      <c r="V29" s="773" t="s">
        <v>17</v>
      </c>
      <c r="W29" s="774">
        <f t="shared" si="14"/>
        <v>100</v>
      </c>
      <c r="X29" s="1811"/>
      <c r="Y29" s="3227"/>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5"/>
      <c r="Q30" s="1808">
        <f t="shared" si="11"/>
        <v>111</v>
      </c>
      <c r="R30" s="773" t="s">
        <v>17</v>
      </c>
      <c r="S30" s="774">
        <f t="shared" si="12"/>
        <v>100</v>
      </c>
      <c r="T30" s="773" t="s">
        <v>17</v>
      </c>
      <c r="U30" s="774">
        <f t="shared" si="13"/>
        <v>100</v>
      </c>
      <c r="V30" s="773" t="s">
        <v>17</v>
      </c>
      <c r="W30" s="774">
        <f t="shared" si="14"/>
        <v>100</v>
      </c>
      <c r="X30" s="1811"/>
      <c r="Y30" s="3227"/>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5"/>
      <c r="Q31" s="1808">
        <f t="shared" si="11"/>
        <v>111</v>
      </c>
      <c r="R31" s="773" t="s">
        <v>17</v>
      </c>
      <c r="S31" s="774">
        <f t="shared" si="12"/>
        <v>100</v>
      </c>
      <c r="T31" s="773" t="s">
        <v>17</v>
      </c>
      <c r="U31" s="774">
        <f t="shared" si="13"/>
        <v>100</v>
      </c>
      <c r="V31" s="773" t="s">
        <v>17</v>
      </c>
      <c r="W31" s="774">
        <f t="shared" si="14"/>
        <v>100</v>
      </c>
      <c r="X31" s="1811"/>
      <c r="Y31" s="3227"/>
      <c r="Z31" s="1812">
        <f t="shared" si="15"/>
        <v>111</v>
      </c>
      <c r="AA31" s="1809">
        <f t="shared" si="3"/>
        <v>1</v>
      </c>
      <c r="AB31" s="1809">
        <f t="shared" si="4"/>
        <v>1</v>
      </c>
      <c r="AC31" s="1809">
        <f t="shared" si="5"/>
        <v>1</v>
      </c>
    </row>
    <row r="32" spans="1:29" ht="15">
      <c r="A32" s="440" t="s">
        <v>2552</v>
      </c>
      <c r="B32" s="71" t="s">
        <v>2649</v>
      </c>
      <c r="C32" s="2612" t="s">
        <v>3080</v>
      </c>
      <c r="D32" s="467">
        <v>100</v>
      </c>
      <c r="E32" s="2612" t="s">
        <v>3080</v>
      </c>
      <c r="F32" s="461">
        <f>SUMIF(100:100,E32,101:101)-SUMIF(100:100,C32,101:101)+100</f>
        <v>100</v>
      </c>
      <c r="G32" s="2612" t="s">
        <v>3080</v>
      </c>
      <c r="H32" s="435">
        <f>SUMIF(100:100,G32,101:101)-SUMIF(100:100,C32,101:101)+100</f>
        <v>100</v>
      </c>
      <c r="I32" s="2612" t="s">
        <v>3080</v>
      </c>
      <c r="J32" s="467">
        <f>SUMIF(100:100,I32,101:101)-SUMIF(100:100,C32,101:101)+100</f>
        <v>100</v>
      </c>
      <c r="K32" s="612">
        <v>2</v>
      </c>
      <c r="L32" s="1139"/>
      <c r="M32" s="1130"/>
      <c r="N32" s="1130"/>
      <c r="O32" s="1130"/>
      <c r="P32" s="3228" t="s">
        <v>2554</v>
      </c>
      <c r="Q32" s="1808" t="str">
        <f t="shared" si="11"/>
        <v>商业类型</v>
      </c>
      <c r="R32" s="773" t="s">
        <v>17</v>
      </c>
      <c r="S32" s="774">
        <f t="shared" si="12"/>
        <v>100</v>
      </c>
      <c r="T32" s="773" t="s">
        <v>17</v>
      </c>
      <c r="U32" s="774">
        <f t="shared" si="13"/>
        <v>100</v>
      </c>
      <c r="V32" s="773" t="s">
        <v>17</v>
      </c>
      <c r="W32" s="774">
        <f t="shared" si="14"/>
        <v>100</v>
      </c>
      <c r="X32" s="1811"/>
      <c r="Y32" s="3231" t="s">
        <v>2554</v>
      </c>
      <c r="Z32" s="1812" t="str">
        <f t="shared" si="15"/>
        <v>商业类型</v>
      </c>
      <c r="AA32" s="1809">
        <f t="shared" si="3"/>
        <v>1</v>
      </c>
      <c r="AB32" s="1809">
        <f t="shared" si="4"/>
        <v>1</v>
      </c>
      <c r="AC32" s="1809">
        <f t="shared" si="5"/>
        <v>1</v>
      </c>
    </row>
    <row r="33" spans="1:29" s="471" customFormat="1" ht="15">
      <c r="A33" s="468"/>
      <c r="B33" s="422" t="s">
        <v>2555</v>
      </c>
      <c r="C33" s="469">
        <f>典型户型修正!B24</f>
        <v>261.92</v>
      </c>
      <c r="D33" s="136">
        <v>100</v>
      </c>
      <c r="E33" s="430">
        <v>87</v>
      </c>
      <c r="F33" s="425">
        <f>LOOKUP(E33,103:103,104:104)-LOOKUP(C33,103:103,104:104)+100</f>
        <v>104</v>
      </c>
      <c r="G33" s="429">
        <v>123</v>
      </c>
      <c r="H33" s="136">
        <f>LOOKUP(G33,103:103,104:104)-LOOKUP(C33,103:103,104:104)+100</f>
        <v>103</v>
      </c>
      <c r="I33" s="429">
        <v>153</v>
      </c>
      <c r="J33" s="136">
        <f>LOOKUP(I33,103:103,104:104)-LOOKUP(C33,103:103,104:104)+100</f>
        <v>102</v>
      </c>
      <c r="K33" s="613"/>
      <c r="L33" s="1137"/>
      <c r="M33" s="1140"/>
      <c r="N33" s="1140"/>
      <c r="O33" s="1140"/>
      <c r="P33" s="3229"/>
      <c r="Q33" s="775" t="str">
        <f t="shared" si="11"/>
        <v>项目建筑规模</v>
      </c>
      <c r="R33" s="776" t="s">
        <v>17</v>
      </c>
      <c r="S33" s="777">
        <f t="shared" si="12"/>
        <v>104</v>
      </c>
      <c r="T33" s="776" t="s">
        <v>17</v>
      </c>
      <c r="U33" s="777">
        <f t="shared" si="13"/>
        <v>103</v>
      </c>
      <c r="V33" s="776" t="s">
        <v>17</v>
      </c>
      <c r="W33" s="777">
        <f t="shared" si="14"/>
        <v>102</v>
      </c>
      <c r="X33" s="778"/>
      <c r="Y33" s="3231"/>
      <c r="Z33" s="779" t="str">
        <f t="shared" si="15"/>
        <v>项目建筑规模</v>
      </c>
      <c r="AA33" s="1809">
        <f t="shared" si="3"/>
        <v>0.96153846153846156</v>
      </c>
      <c r="AB33" s="1809">
        <f t="shared" si="4"/>
        <v>0.970873786407767</v>
      </c>
      <c r="AC33" s="1809">
        <f t="shared" si="5"/>
        <v>0.98039215686274506</v>
      </c>
    </row>
    <row r="34" spans="1:29" ht="15">
      <c r="A34" s="472"/>
      <c r="B34" s="422" t="s">
        <v>2556</v>
      </c>
      <c r="C34" s="2614" t="s">
        <v>3082</v>
      </c>
      <c r="D34" s="435">
        <v>100</v>
      </c>
      <c r="E34" s="2614" t="s">
        <v>3082</v>
      </c>
      <c r="F34" s="461">
        <f>SUMIF(105:105,E34,106:106)-SUMIF(105:105,C34,106:106)+100</f>
        <v>100</v>
      </c>
      <c r="G34" s="2614" t="s">
        <v>3082</v>
      </c>
      <c r="H34" s="435">
        <f>SUMIF(105:105,G34,106:106)-SUMIF(105:105,C34,106:106)+100</f>
        <v>100</v>
      </c>
      <c r="I34" s="2614" t="s">
        <v>3082</v>
      </c>
      <c r="J34" s="435">
        <f>SUMIF(105:105,I34,106:106)-SUMIF(105:105,C34,106:106)+100</f>
        <v>100</v>
      </c>
      <c r="K34" s="612">
        <v>2</v>
      </c>
      <c r="L34" s="1139"/>
      <c r="M34" s="1130"/>
      <c r="N34" s="1130"/>
      <c r="O34" s="1130"/>
      <c r="P34" s="3229"/>
      <c r="Q34" s="1808" t="str">
        <f t="shared" si="11"/>
        <v>建筑结构</v>
      </c>
      <c r="R34" s="773" t="s">
        <v>17</v>
      </c>
      <c r="S34" s="774">
        <f t="shared" si="12"/>
        <v>100</v>
      </c>
      <c r="T34" s="773" t="s">
        <v>17</v>
      </c>
      <c r="U34" s="774">
        <f t="shared" si="13"/>
        <v>100</v>
      </c>
      <c r="V34" s="773" t="s">
        <v>17</v>
      </c>
      <c r="W34" s="774">
        <f t="shared" si="14"/>
        <v>100</v>
      </c>
      <c r="X34" s="1811"/>
      <c r="Y34" s="3231"/>
      <c r="Z34" s="1812" t="str">
        <f t="shared" si="15"/>
        <v>建筑结构</v>
      </c>
      <c r="AA34" s="1809">
        <f t="shared" si="3"/>
        <v>1</v>
      </c>
      <c r="AB34" s="1809">
        <f t="shared" si="4"/>
        <v>1</v>
      </c>
      <c r="AC34" s="1809">
        <f t="shared" si="5"/>
        <v>1</v>
      </c>
    </row>
    <row r="35" spans="1:29" ht="15">
      <c r="A35" s="472"/>
      <c r="B35" s="422" t="s">
        <v>2650</v>
      </c>
      <c r="C35" s="2608" t="s">
        <v>3087</v>
      </c>
      <c r="D35" s="435">
        <v>100</v>
      </c>
      <c r="E35" s="2608" t="s">
        <v>3087</v>
      </c>
      <c r="F35" s="461">
        <f>SUMIF(107:107,E35,108:108)-SUMIF(107:107,C35,108:108)+100</f>
        <v>100</v>
      </c>
      <c r="G35" s="2608" t="s">
        <v>3087</v>
      </c>
      <c r="H35" s="435">
        <f>SUMIF(107:107,G35,108:108)-SUMIF(107:107,C35,108:108)+100</f>
        <v>100</v>
      </c>
      <c r="I35" s="2608" t="s">
        <v>3087</v>
      </c>
      <c r="J35" s="435">
        <f>SUMIF(107:107,I35,108:108)-SUMIF(107:107,C35,108:108)+100</f>
        <v>100</v>
      </c>
      <c r="K35" s="612">
        <v>2</v>
      </c>
      <c r="L35" s="1139"/>
      <c r="M35" s="1130"/>
      <c r="N35" s="1130"/>
      <c r="O35" s="1130"/>
      <c r="P35" s="3229"/>
      <c r="Q35" s="1808" t="str">
        <f t="shared" si="11"/>
        <v>公共部分装修</v>
      </c>
      <c r="R35" s="773" t="s">
        <v>17</v>
      </c>
      <c r="S35" s="774">
        <f t="shared" si="12"/>
        <v>100</v>
      </c>
      <c r="T35" s="773" t="s">
        <v>17</v>
      </c>
      <c r="U35" s="774">
        <f t="shared" si="13"/>
        <v>100</v>
      </c>
      <c r="V35" s="773" t="s">
        <v>17</v>
      </c>
      <c r="W35" s="774">
        <f t="shared" si="14"/>
        <v>100</v>
      </c>
      <c r="X35" s="1811"/>
      <c r="Y35" s="3231"/>
      <c r="Z35" s="1812" t="str">
        <f t="shared" si="15"/>
        <v>公共部分装修</v>
      </c>
      <c r="AA35" s="1809">
        <f t="shared" si="3"/>
        <v>1</v>
      </c>
      <c r="AB35" s="1809">
        <f t="shared" si="4"/>
        <v>1</v>
      </c>
      <c r="AC35" s="1809">
        <f t="shared" si="5"/>
        <v>1</v>
      </c>
    </row>
    <row r="36" spans="1:29" ht="15">
      <c r="A36" s="472"/>
      <c r="B36" s="422" t="s">
        <v>2651</v>
      </c>
      <c r="C36" s="474">
        <f>'数据-取费表'!N6</f>
        <v>0.87</v>
      </c>
      <c r="D36" s="435">
        <v>100</v>
      </c>
      <c r="E36" s="474">
        <f>ROUND(1-(1-0%)*(2018-2006)/60,2)</f>
        <v>0.8</v>
      </c>
      <c r="F36" s="461">
        <f>LOOKUP(E36,110:110,111:111)-LOOKUP(C36,110:110,111:111)+100</f>
        <v>100</v>
      </c>
      <c r="G36" s="474">
        <f>ROUND(1-(1-0%)*(2018-2008)/60,2)</f>
        <v>0.83</v>
      </c>
      <c r="H36" s="461">
        <f>LOOKUP(G36,110:110,111:111)-LOOKUP(C36,110:110,111:111)+100</f>
        <v>100</v>
      </c>
      <c r="I36" s="474">
        <f>ROUND(1-(1-0%)*(2018-2003)/60,2)</f>
        <v>0.75</v>
      </c>
      <c r="J36" s="435">
        <f>LOOKUP(I36,110:110,111:111)-LOOKUP(C36,110:110,111:111)+100</f>
        <v>98</v>
      </c>
      <c r="K36" s="612">
        <v>2</v>
      </c>
      <c r="L36" s="1139"/>
      <c r="M36" s="1130"/>
      <c r="N36" s="1130"/>
      <c r="O36" s="1130"/>
      <c r="P36" s="3229"/>
      <c r="Q36" s="1808" t="str">
        <f t="shared" si="11"/>
        <v>成新度</v>
      </c>
      <c r="R36" s="773" t="s">
        <v>17</v>
      </c>
      <c r="S36" s="774">
        <f t="shared" si="12"/>
        <v>100</v>
      </c>
      <c r="T36" s="773" t="s">
        <v>17</v>
      </c>
      <c r="U36" s="774">
        <f t="shared" si="13"/>
        <v>100</v>
      </c>
      <c r="V36" s="773" t="s">
        <v>17</v>
      </c>
      <c r="W36" s="774">
        <f t="shared" si="14"/>
        <v>98</v>
      </c>
      <c r="X36" s="1811"/>
      <c r="Y36" s="3231"/>
      <c r="Z36" s="1812" t="str">
        <f t="shared" si="15"/>
        <v>成新度</v>
      </c>
      <c r="AA36" s="1809">
        <f t="shared" si="3"/>
        <v>1</v>
      </c>
      <c r="AB36" s="1809">
        <f t="shared" si="4"/>
        <v>1</v>
      </c>
      <c r="AC36" s="1809">
        <f t="shared" si="5"/>
        <v>1.0204081632653061</v>
      </c>
    </row>
    <row r="37" spans="1:29" s="117" customFormat="1" ht="15">
      <c r="A37" s="473"/>
      <c r="B37" s="422" t="s">
        <v>2652</v>
      </c>
      <c r="C37" s="2608" t="s">
        <v>3094</v>
      </c>
      <c r="D37" s="136">
        <v>100</v>
      </c>
      <c r="E37" s="2608" t="s">
        <v>3094</v>
      </c>
      <c r="F37" s="461">
        <f>SUMIF(112:112,E37,113:113)-SUMIF(112:112,C37,113:113)+100</f>
        <v>100</v>
      </c>
      <c r="G37" s="2608" t="s">
        <v>3094</v>
      </c>
      <c r="H37" s="435">
        <f>SUMIF(112:112,G37,113:113)-SUMIF(112:112,C37,113:113)+100</f>
        <v>100</v>
      </c>
      <c r="I37" s="2608" t="s">
        <v>3094</v>
      </c>
      <c r="J37" s="435">
        <f>SUMIF(112:112,I37,113:113)-SUMIF(112:112,C37,113:113)+100</f>
        <v>100</v>
      </c>
      <c r="K37" s="612">
        <v>1</v>
      </c>
      <c r="L37" s="1131"/>
      <c r="M37" s="1132"/>
      <c r="N37" s="1132"/>
      <c r="O37" s="1132"/>
      <c r="P37" s="3229"/>
      <c r="Q37" s="1793" t="str">
        <f t="shared" si="11"/>
        <v>市政基础设施</v>
      </c>
      <c r="R37" s="769" t="s">
        <v>17</v>
      </c>
      <c r="S37" s="770">
        <f t="shared" si="12"/>
        <v>100</v>
      </c>
      <c r="T37" s="769" t="s">
        <v>17</v>
      </c>
      <c r="U37" s="770">
        <f t="shared" si="13"/>
        <v>100</v>
      </c>
      <c r="V37" s="769" t="s">
        <v>17</v>
      </c>
      <c r="W37" s="770">
        <f t="shared" si="14"/>
        <v>100</v>
      </c>
      <c r="X37" s="771"/>
      <c r="Y37" s="3231"/>
      <c r="Z37" s="55" t="str">
        <f t="shared" si="15"/>
        <v>市政基础设施</v>
      </c>
      <c r="AA37" s="772">
        <f t="shared" si="3"/>
        <v>1</v>
      </c>
      <c r="AB37" s="772">
        <f t="shared" si="4"/>
        <v>1</v>
      </c>
      <c r="AC37" s="772">
        <f t="shared" si="5"/>
        <v>1</v>
      </c>
    </row>
    <row r="38" spans="1:29" ht="15">
      <c r="A38" s="472"/>
      <c r="B38" s="422" t="s">
        <v>2653</v>
      </c>
      <c r="C38" s="2608" t="s">
        <v>3100</v>
      </c>
      <c r="D38" s="435">
        <v>100</v>
      </c>
      <c r="E38" s="2608" t="s">
        <v>3100</v>
      </c>
      <c r="F38" s="461">
        <f>SUMIF(114:114,E38,115:115)-SUMIF(114:114,C38,115:115)+100</f>
        <v>100</v>
      </c>
      <c r="G38" s="2608" t="s">
        <v>3100</v>
      </c>
      <c r="H38" s="435">
        <f>SUMIF(114:114,G38,115:115)-SUMIF(114:114,C38,115:115)+100</f>
        <v>100</v>
      </c>
      <c r="I38" s="2608" t="s">
        <v>3100</v>
      </c>
      <c r="J38" s="435">
        <f>SUMIF(114:114,I38,115:115)-SUMIF(114:114,C38,115:115)+100</f>
        <v>100</v>
      </c>
      <c r="K38" s="612">
        <v>2</v>
      </c>
      <c r="L38" s="1139"/>
      <c r="M38" s="1130"/>
      <c r="N38" s="1130"/>
      <c r="O38" s="1130"/>
      <c r="P38" s="3229" t="s">
        <v>2554</v>
      </c>
      <c r="Q38" s="1808" t="str">
        <f t="shared" si="11"/>
        <v>业态</v>
      </c>
      <c r="R38" s="773" t="s">
        <v>17</v>
      </c>
      <c r="S38" s="774">
        <f t="shared" si="12"/>
        <v>100</v>
      </c>
      <c r="T38" s="773" t="s">
        <v>17</v>
      </c>
      <c r="U38" s="774">
        <f t="shared" si="13"/>
        <v>100</v>
      </c>
      <c r="V38" s="773" t="s">
        <v>17</v>
      </c>
      <c r="W38" s="774">
        <f t="shared" si="14"/>
        <v>100</v>
      </c>
      <c r="X38" s="1811"/>
      <c r="Y38" s="3231" t="s">
        <v>2554</v>
      </c>
      <c r="Z38" s="1812" t="str">
        <f t="shared" si="15"/>
        <v>业态</v>
      </c>
      <c r="AA38" s="1809">
        <f t="shared" si="3"/>
        <v>1</v>
      </c>
      <c r="AB38" s="1809">
        <f t="shared" si="4"/>
        <v>1</v>
      </c>
      <c r="AC38" s="1809">
        <f t="shared" si="5"/>
        <v>1</v>
      </c>
    </row>
    <row r="39" spans="1:29" ht="15">
      <c r="A39" s="472"/>
      <c r="B39" s="422" t="s">
        <v>2654</v>
      </c>
      <c r="C39" s="2608" t="s">
        <v>3102</v>
      </c>
      <c r="D39" s="435">
        <v>100</v>
      </c>
      <c r="E39" s="2608" t="s">
        <v>3102</v>
      </c>
      <c r="F39" s="461">
        <f>SUMIF(116:116,E39,117:117)-SUMIF(116:116,C39,117:117)+100</f>
        <v>100</v>
      </c>
      <c r="G39" s="2608" t="s">
        <v>3102</v>
      </c>
      <c r="H39" s="435">
        <f>SUMIF(116:116,G39,117:117)-SUMIF(116:116,C39,117:117)+100</f>
        <v>100</v>
      </c>
      <c r="I39" s="2608" t="s">
        <v>3102</v>
      </c>
      <c r="J39" s="435">
        <f>SUMIF(116:116,I39,117:117)-SUMIF(116:116,C39,117:117)+100</f>
        <v>100</v>
      </c>
      <c r="K39" s="612">
        <v>5</v>
      </c>
      <c r="L39" s="1139"/>
      <c r="M39" s="1130"/>
      <c r="N39" s="1130"/>
      <c r="O39" s="1130"/>
      <c r="P39" s="3229"/>
      <c r="Q39" s="1808" t="str">
        <f t="shared" si="11"/>
        <v>层高</v>
      </c>
      <c r="R39" s="773" t="s">
        <v>17</v>
      </c>
      <c r="S39" s="774">
        <f t="shared" si="12"/>
        <v>100</v>
      </c>
      <c r="T39" s="773" t="s">
        <v>17</v>
      </c>
      <c r="U39" s="774">
        <f t="shared" si="13"/>
        <v>100</v>
      </c>
      <c r="V39" s="773" t="s">
        <v>17</v>
      </c>
      <c r="W39" s="774">
        <f t="shared" si="14"/>
        <v>100</v>
      </c>
      <c r="X39" s="1811"/>
      <c r="Y39" s="3231"/>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29"/>
      <c r="Q40" s="1808" t="str">
        <f t="shared" si="11"/>
        <v>单套建筑面积</v>
      </c>
      <c r="R40" s="773" t="s">
        <v>17</v>
      </c>
      <c r="S40" s="774">
        <f t="shared" si="12"/>
        <v>100</v>
      </c>
      <c r="T40" s="773" t="s">
        <v>17</v>
      </c>
      <c r="U40" s="774">
        <f t="shared" si="13"/>
        <v>100</v>
      </c>
      <c r="V40" s="773" t="s">
        <v>17</v>
      </c>
      <c r="W40" s="774">
        <f t="shared" si="14"/>
        <v>100</v>
      </c>
      <c r="X40" s="1811"/>
      <c r="Y40" s="3231"/>
      <c r="Z40" s="1812" t="str">
        <f t="shared" si="15"/>
        <v>单套建筑面积</v>
      </c>
      <c r="AA40" s="1809">
        <f t="shared" si="3"/>
        <v>1</v>
      </c>
      <c r="AB40" s="1809">
        <f t="shared" si="4"/>
        <v>1</v>
      </c>
      <c r="AC40" s="1809">
        <f t="shared" si="5"/>
        <v>1</v>
      </c>
    </row>
    <row r="41" spans="1:29" s="471" customFormat="1" ht="15">
      <c r="A41" s="468"/>
      <c r="B41" s="1810" t="s">
        <v>2656</v>
      </c>
      <c r="C41" s="616" t="s">
        <v>3072</v>
      </c>
      <c r="D41" s="435">
        <v>100</v>
      </c>
      <c r="E41" s="616" t="s">
        <v>3072</v>
      </c>
      <c r="F41" s="461">
        <f>SUMIF(120:120,E41,121:121)-SUMIF(120:120,C41,121:121)+100</f>
        <v>100</v>
      </c>
      <c r="G41" s="616" t="s">
        <v>3072</v>
      </c>
      <c r="H41" s="435">
        <f>SUMIF(120:120,G41,121:121)-SUMIF(120:120,C41,121:121)+100</f>
        <v>100</v>
      </c>
      <c r="I41" s="616" t="s">
        <v>3072</v>
      </c>
      <c r="J41" s="435">
        <f>SUMIF(120:120,I41,121:121)-SUMIF(120:120,C41,121:121)+100</f>
        <v>100</v>
      </c>
      <c r="K41" s="612">
        <v>2</v>
      </c>
      <c r="L41" s="1137"/>
      <c r="M41" s="1140"/>
      <c r="N41" s="1140"/>
      <c r="O41" s="1140"/>
      <c r="P41" s="3229"/>
      <c r="Q41" s="775" t="str">
        <f t="shared" si="11"/>
        <v>进深比</v>
      </c>
      <c r="R41" s="776" t="s">
        <v>17</v>
      </c>
      <c r="S41" s="777">
        <f t="shared" si="12"/>
        <v>100</v>
      </c>
      <c r="T41" s="776" t="s">
        <v>17</v>
      </c>
      <c r="U41" s="777">
        <f t="shared" si="13"/>
        <v>100</v>
      </c>
      <c r="V41" s="776" t="s">
        <v>17</v>
      </c>
      <c r="W41" s="777">
        <f t="shared" si="14"/>
        <v>100</v>
      </c>
      <c r="X41" s="778"/>
      <c r="Y41" s="3231"/>
      <c r="Z41" s="779" t="str">
        <f t="shared" si="15"/>
        <v>进深比</v>
      </c>
      <c r="AA41" s="1809">
        <f t="shared" si="3"/>
        <v>1</v>
      </c>
      <c r="AB41" s="1809">
        <f t="shared" si="4"/>
        <v>1</v>
      </c>
      <c r="AC41" s="1809">
        <f t="shared" si="5"/>
        <v>1</v>
      </c>
    </row>
    <row r="42" spans="1:29" ht="15">
      <c r="A42" s="472"/>
      <c r="B42" s="422" t="s">
        <v>2657</v>
      </c>
      <c r="C42" s="2608" t="s">
        <v>3091</v>
      </c>
      <c r="D42" s="435">
        <v>100</v>
      </c>
      <c r="E42" s="2608" t="s">
        <v>3085</v>
      </c>
      <c r="F42" s="461">
        <f>SUMIF(122:122,E42,123:123)-SUMIF(122:122,C42,123:123)+100</f>
        <v>104.5</v>
      </c>
      <c r="G42" s="2608" t="s">
        <v>3089</v>
      </c>
      <c r="H42" s="435">
        <f>SUMIF(122:122,G42,123:123)-SUMIF(122:122,C42,123:123)+100</f>
        <v>101.5</v>
      </c>
      <c r="I42" s="2608" t="s">
        <v>3087</v>
      </c>
      <c r="J42" s="435">
        <f>SUMIF(122:122,I42,123:123)-SUMIF(122:122,C42,123:123)+100</f>
        <v>103</v>
      </c>
      <c r="K42" s="612">
        <v>1.5</v>
      </c>
      <c r="L42" s="1139"/>
      <c r="M42" s="1130"/>
      <c r="N42" s="1130"/>
      <c r="O42" s="1130"/>
      <c r="P42" s="3229"/>
      <c r="Q42" s="1808" t="str">
        <f t="shared" si="11"/>
        <v>内部装修</v>
      </c>
      <c r="R42" s="773" t="s">
        <v>17</v>
      </c>
      <c r="S42" s="774">
        <f t="shared" si="12"/>
        <v>104.5</v>
      </c>
      <c r="T42" s="773" t="s">
        <v>17</v>
      </c>
      <c r="U42" s="774">
        <f t="shared" si="13"/>
        <v>101.5</v>
      </c>
      <c r="V42" s="773" t="s">
        <v>17</v>
      </c>
      <c r="W42" s="774">
        <f t="shared" si="14"/>
        <v>103</v>
      </c>
      <c r="X42" s="1811"/>
      <c r="Y42" s="3231"/>
      <c r="Z42" s="1812" t="str">
        <f t="shared" si="15"/>
        <v>内部装修</v>
      </c>
      <c r="AA42" s="1809">
        <f t="shared" si="3"/>
        <v>0.9569377990430622</v>
      </c>
      <c r="AB42" s="1809">
        <f t="shared" si="4"/>
        <v>0.98522167487684731</v>
      </c>
      <c r="AC42" s="1809">
        <f t="shared" si="5"/>
        <v>0.970873786407767</v>
      </c>
    </row>
    <row r="43" spans="1:29" ht="15.75" thickBot="1">
      <c r="A43" s="472"/>
      <c r="B43" s="422" t="s">
        <v>2565</v>
      </c>
      <c r="C43" s="2608" t="s">
        <v>3072</v>
      </c>
      <c r="D43" s="435">
        <v>100</v>
      </c>
      <c r="E43" s="2608" t="s">
        <v>3072</v>
      </c>
      <c r="F43" s="461">
        <f>SUMIF(124:124,E43,125:125)-SUMIF(124:124,C43,125:125)+100</f>
        <v>100</v>
      </c>
      <c r="G43" s="2608" t="s">
        <v>3072</v>
      </c>
      <c r="H43" s="435">
        <f>SUMIF(124:124,G43,125:125)-SUMIF(124:124,C43,125:125)+100</f>
        <v>100</v>
      </c>
      <c r="I43" s="2608" t="s">
        <v>3072</v>
      </c>
      <c r="J43" s="435">
        <f>SUMIF(124:124,I43,125:125)-SUMIF(124:124,C43,125:125)+100</f>
        <v>100</v>
      </c>
      <c r="K43" s="612">
        <v>2</v>
      </c>
      <c r="L43" s="1139"/>
      <c r="M43" s="1130"/>
      <c r="N43" s="1130"/>
      <c r="O43" s="1130"/>
      <c r="P43" s="3229"/>
      <c r="Q43" s="1808" t="str">
        <f t="shared" si="11"/>
        <v>内部装修维护情况</v>
      </c>
      <c r="R43" s="773" t="s">
        <v>17</v>
      </c>
      <c r="S43" s="774">
        <f t="shared" si="12"/>
        <v>100</v>
      </c>
      <c r="T43" s="773" t="s">
        <v>17</v>
      </c>
      <c r="U43" s="774">
        <f t="shared" si="13"/>
        <v>100</v>
      </c>
      <c r="V43" s="773" t="s">
        <v>17</v>
      </c>
      <c r="W43" s="774">
        <f t="shared" si="14"/>
        <v>100</v>
      </c>
      <c r="X43" s="1811"/>
      <c r="Y43" s="3231"/>
      <c r="Z43" s="1812" t="str">
        <f t="shared" si="15"/>
        <v>内部装修维护情况</v>
      </c>
      <c r="AA43" s="1809">
        <f t="shared" si="3"/>
        <v>1</v>
      </c>
      <c r="AB43" s="1809">
        <f t="shared" si="4"/>
        <v>1</v>
      </c>
      <c r="AC43" s="1809">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9"/>
      <c r="Q44" s="1793">
        <f t="shared" si="11"/>
        <v>111</v>
      </c>
      <c r="R44" s="769" t="s">
        <v>17</v>
      </c>
      <c r="S44" s="770">
        <f t="shared" si="12"/>
        <v>100</v>
      </c>
      <c r="T44" s="769" t="s">
        <v>17</v>
      </c>
      <c r="U44" s="770">
        <f t="shared" si="13"/>
        <v>100</v>
      </c>
      <c r="V44" s="769" t="s">
        <v>17</v>
      </c>
      <c r="W44" s="770">
        <f t="shared" si="14"/>
        <v>100</v>
      </c>
      <c r="X44" s="771"/>
      <c r="Y44" s="3231"/>
      <c r="Z44" s="55">
        <f t="shared" si="15"/>
        <v>111</v>
      </c>
      <c r="AA44" s="772">
        <f t="shared" si="3"/>
        <v>1</v>
      </c>
      <c r="AB44" s="772">
        <f t="shared" si="4"/>
        <v>1</v>
      </c>
      <c r="AC44" s="772">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9"/>
      <c r="Q45" s="1808">
        <f t="shared" si="11"/>
        <v>111</v>
      </c>
      <c r="R45" s="773" t="s">
        <v>17</v>
      </c>
      <c r="S45" s="774">
        <f t="shared" si="12"/>
        <v>100</v>
      </c>
      <c r="T45" s="773" t="s">
        <v>17</v>
      </c>
      <c r="U45" s="774">
        <f t="shared" si="13"/>
        <v>100</v>
      </c>
      <c r="V45" s="773" t="s">
        <v>17</v>
      </c>
      <c r="W45" s="774">
        <f t="shared" si="14"/>
        <v>100</v>
      </c>
      <c r="X45" s="1811"/>
      <c r="Y45" s="3231"/>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0"/>
      <c r="Q46" s="1808">
        <f t="shared" si="11"/>
        <v>111</v>
      </c>
      <c r="R46" s="773" t="s">
        <v>17</v>
      </c>
      <c r="S46" s="774">
        <f t="shared" si="12"/>
        <v>100</v>
      </c>
      <c r="T46" s="773" t="s">
        <v>17</v>
      </c>
      <c r="U46" s="774">
        <f t="shared" si="13"/>
        <v>100</v>
      </c>
      <c r="V46" s="773" t="s">
        <v>17</v>
      </c>
      <c r="W46" s="774">
        <f t="shared" si="14"/>
        <v>100</v>
      </c>
      <c r="X46" s="1811"/>
      <c r="Y46" s="3232"/>
      <c r="Z46" s="1812">
        <f t="shared" si="15"/>
        <v>111</v>
      </c>
      <c r="AA46" s="1809">
        <f t="shared" si="3"/>
        <v>1</v>
      </c>
      <c r="AB46" s="1809">
        <f t="shared" si="4"/>
        <v>1</v>
      </c>
      <c r="AC46" s="1809">
        <f t="shared" si="5"/>
        <v>1</v>
      </c>
    </row>
    <row r="47" spans="1:29" ht="15">
      <c r="A47" s="479" t="s">
        <v>2566</v>
      </c>
      <c r="B47" s="480"/>
      <c r="C47" s="1406" t="s">
        <v>1</v>
      </c>
      <c r="D47" s="1407"/>
      <c r="E47" s="1408">
        <f>E62</f>
        <v>59310</v>
      </c>
      <c r="F47" s="1409"/>
      <c r="G47" s="1410">
        <f>F62</f>
        <v>48780</v>
      </c>
      <c r="H47" s="1411"/>
      <c r="I47" s="1408">
        <f>G62</f>
        <v>52222</v>
      </c>
      <c r="J47" s="1411"/>
      <c r="K47" s="782"/>
      <c r="L47" s="1142"/>
      <c r="M47" s="1143"/>
      <c r="N47" s="1130"/>
      <c r="O47" s="1143"/>
      <c r="P47" s="3233" t="str">
        <f>A47</f>
        <v>成交单价（元/平方米）</v>
      </c>
      <c r="Q47" s="3233"/>
      <c r="R47" s="3195">
        <f>E47</f>
        <v>59310</v>
      </c>
      <c r="S47" s="3195"/>
      <c r="T47" s="3195">
        <f>G47</f>
        <v>48780</v>
      </c>
      <c r="U47" s="3195"/>
      <c r="V47" s="3195">
        <f>I47</f>
        <v>52222</v>
      </c>
      <c r="W47" s="3195"/>
      <c r="X47" s="758"/>
      <c r="Y47" s="780"/>
      <c r="Z47" s="758"/>
      <c r="AA47" s="758"/>
      <c r="AB47" s="758"/>
      <c r="AC47" s="758"/>
    </row>
    <row r="48" spans="1:29" ht="15.75" thickBot="1">
      <c r="A48" s="486" t="s">
        <v>2658</v>
      </c>
      <c r="B48" s="487"/>
      <c r="C48" s="1412">
        <f>R49</f>
        <v>42933</v>
      </c>
      <c r="D48" s="1413"/>
      <c r="E48" s="1414">
        <f>R48</f>
        <v>46543</v>
      </c>
      <c r="F48" s="1414"/>
      <c r="G48" s="1412">
        <f>T48</f>
        <v>38998</v>
      </c>
      <c r="H48" s="1413"/>
      <c r="I48" s="1414">
        <f>V48</f>
        <v>43258</v>
      </c>
      <c r="J48" s="1413"/>
      <c r="K48" s="783"/>
      <c r="L48" s="1142"/>
      <c r="M48" s="1143"/>
      <c r="N48" s="1130"/>
      <c r="O48" s="1143"/>
      <c r="P48" s="3233" t="str">
        <f>A48</f>
        <v>比较价值（元/平方米）</v>
      </c>
      <c r="Q48" s="3233"/>
      <c r="R48" s="3234">
        <f>IF(F1="售价",ROUND(PRODUCT(R47,AA7:AA46),0),ROUND(PRODUCT(R47,AA7:AA46),1))</f>
        <v>46543</v>
      </c>
      <c r="S48" s="3234"/>
      <c r="T48" s="3234">
        <f>IF(F1="售价",ROUND(PRODUCT(T47,AB7:AB46),0),ROUND(PRODUCT(T47,AB7:AB46),1))</f>
        <v>38998</v>
      </c>
      <c r="U48" s="3234"/>
      <c r="V48" s="3234">
        <f>IF(F1="售价",ROUND(PRODUCT(V47,AC7:AC46),0),ROUND(PRODUCT(V47,AC7:AC46),1))</f>
        <v>43258</v>
      </c>
      <c r="W48" s="3234"/>
      <c r="X48" s="758"/>
      <c r="Y48" s="758"/>
      <c r="Z48" s="758"/>
      <c r="AA48" s="758"/>
      <c r="AB48" s="758"/>
      <c r="AC48" s="758"/>
    </row>
    <row r="49" spans="1:29" ht="15.75" thickBot="1">
      <c r="A49" s="492" t="s">
        <v>2659</v>
      </c>
      <c r="B49" s="493"/>
      <c r="C49" s="1416">
        <f>R49</f>
        <v>42933</v>
      </c>
      <c r="D49" s="1416"/>
      <c r="E49" s="1416"/>
      <c r="F49" s="1416"/>
      <c r="G49" s="1416"/>
      <c r="H49" s="1416"/>
      <c r="I49" s="1416"/>
      <c r="J49" s="1416"/>
      <c r="K49" s="784"/>
      <c r="L49" s="1142"/>
      <c r="M49" s="1143"/>
      <c r="N49" s="1130"/>
      <c r="O49" s="1143"/>
      <c r="P49" s="3235" t="str">
        <f>A49</f>
        <v>估价对象XX用房的比较价值（楼面单价，元/平方米）</v>
      </c>
      <c r="Q49" s="3236"/>
      <c r="R49" s="3237">
        <f>IF(F1="售价",ROUND(AVERAGE(R48:V48),0),ROUND(AVERAGE(R48:V48),1))</f>
        <v>42933</v>
      </c>
      <c r="S49" s="3237"/>
      <c r="T49" s="3237"/>
      <c r="U49" s="3237"/>
      <c r="V49" s="3237"/>
      <c r="W49" s="3237"/>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5"/>
      <c r="L51" s="1106"/>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2660</v>
      </c>
      <c r="D52" s="498"/>
      <c r="E52" s="499">
        <f>IF(E47&lt;E48,E48/E47-1,E47/E48-1)</f>
        <v>0.27430548095309715</v>
      </c>
      <c r="F52" s="500" t="str">
        <f>IF(OR(E52&gt;=0.3,E52&lt;=-0.3),"超过30%","")</f>
        <v/>
      </c>
      <c r="G52" s="499">
        <f>IF(G47&lt;G48,G48/G47-1,G47/G48-1)</f>
        <v>0.25083337607056766</v>
      </c>
      <c r="H52" s="500" t="str">
        <f>IF(OR(G52&gt;=0.3,G52&lt;=-0.3),"超过30%","")</f>
        <v/>
      </c>
      <c r="I52" s="499">
        <f>IF(I47&lt;I48,I48/I47-1,I47/I48-1)</f>
        <v>0.20722178556567572</v>
      </c>
      <c r="J52" s="500" t="str">
        <f>IF(OR(I52&gt;=0.3,I52&lt;=-0.3),"超过30%","")</f>
        <v/>
      </c>
      <c r="K52" s="1105"/>
      <c r="L52" s="1106"/>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2661</v>
      </c>
      <c r="D53" s="501"/>
      <c r="E53" s="499">
        <f>IF(E48&lt;G48,G48/E48-1,E48/G48-1)</f>
        <v>0.1934714600748757</v>
      </c>
      <c r="F53" s="500" t="str">
        <f>IF(OR(E53&gt;=0.2,E53&lt;=-0.2),"超过20%","")</f>
        <v/>
      </c>
      <c r="G53" s="499">
        <f>IF(G48&lt;I48,I48/G48-1,G48/I48-1)</f>
        <v>0.10923637109595363</v>
      </c>
      <c r="H53" s="500" t="str">
        <f>IF(OR(G53&gt;=0.2,G53&lt;=-0.2),"超过20%","")</f>
        <v/>
      </c>
      <c r="I53" s="499">
        <f>IF(I48&lt;E48,E48/I48-1,I48/E48-1)</f>
        <v>7.5939710573766694E-2</v>
      </c>
      <c r="J53" s="500" t="str">
        <f>IF(OR(I53&gt;=0.2,I53&lt;=-0.2),"超过20%","")</f>
        <v/>
      </c>
      <c r="K53" s="1105"/>
      <c r="L53" s="1106"/>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2662</v>
      </c>
      <c r="D54" s="501"/>
      <c r="E54" s="499">
        <f>IF(E47&lt;G47,G47/E47-1,E47/G47-1)</f>
        <v>0.21586715867158679</v>
      </c>
      <c r="F54" s="500" t="str">
        <f>IF(OR(E54&gt;=0.3,E54&lt;=-0.3),"超过30%","")</f>
        <v/>
      </c>
      <c r="G54" s="499">
        <f>IF(G47&lt;I47,I47/G47-1,G47/I47-1)</f>
        <v>7.0561705617056214E-2</v>
      </c>
      <c r="H54" s="500" t="str">
        <f>IF(OR(G54&gt;=0.3,G54&lt;=-0.3),"超过30%","")</f>
        <v/>
      </c>
      <c r="I54" s="499">
        <f>IF(I47&lt;E47,E47/I47-1,I47/E47-1)</f>
        <v>0.13572823714143456</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5"/>
      <c r="L56" s="1106"/>
      <c r="M56" s="1143"/>
      <c r="N56" s="1143"/>
      <c r="O56" s="1143"/>
      <c r="P56" s="675"/>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2537</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2539</v>
      </c>
      <c r="B61" s="510"/>
      <c r="C61" s="522" t="s">
        <v>2641</v>
      </c>
      <c r="D61" s="523">
        <v>1</v>
      </c>
      <c r="E61" s="523">
        <v>516</v>
      </c>
      <c r="F61" s="523">
        <v>600</v>
      </c>
      <c r="G61" s="523">
        <v>799</v>
      </c>
      <c r="H61" s="523"/>
      <c r="I61" s="523"/>
      <c r="J61" s="523"/>
      <c r="K61" s="523"/>
      <c r="L61" s="524"/>
      <c r="M61" s="525"/>
      <c r="N61" s="1150"/>
      <c r="O61" s="1150"/>
      <c r="P61" s="2624"/>
      <c r="Q61" s="504"/>
    </row>
    <row r="62" spans="1:29" s="117" customFormat="1" ht="15.75" thickBot="1">
      <c r="A62" s="521"/>
      <c r="B62" s="510"/>
      <c r="C62" s="511">
        <v>100</v>
      </c>
      <c r="D62" s="512"/>
      <c r="E62" s="512">
        <f>ROUND(E61*10000/E33*D61,0)</f>
        <v>59310</v>
      </c>
      <c r="F62" s="512">
        <f>ROUND(F61*10000/G33*D61,0)</f>
        <v>48780</v>
      </c>
      <c r="G62" s="512">
        <f>ROUND(G61*10000/I33*D61,0)</f>
        <v>52222</v>
      </c>
      <c r="H62" s="512"/>
      <c r="I62" s="512"/>
      <c r="J62" s="512"/>
      <c r="K62" s="512"/>
      <c r="L62" s="512"/>
      <c r="M62" s="514"/>
      <c r="N62" s="1150"/>
      <c r="O62" s="1150"/>
      <c r="P62" s="2623"/>
      <c r="Q62" s="504"/>
    </row>
    <row r="63" spans="1:29">
      <c r="A63" s="527" t="s">
        <v>2577</v>
      </c>
      <c r="B63" s="528" t="s">
        <v>2543</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2547</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25"/>
      <c r="Q67" s="504"/>
    </row>
    <row r="68" spans="1:17" ht="15">
      <c r="A68" s="534"/>
      <c r="B68" s="548"/>
      <c r="C68" s="549">
        <v>0</v>
      </c>
      <c r="D68" s="549">
        <v>1</v>
      </c>
      <c r="E68" s="549">
        <v>2</v>
      </c>
      <c r="F68" s="549">
        <v>3</v>
      </c>
      <c r="G68" s="549"/>
      <c r="H68" s="549"/>
      <c r="I68" s="549"/>
      <c r="J68" s="549"/>
      <c r="K68" s="550"/>
      <c r="L68" s="551"/>
      <c r="M68" s="552"/>
      <c r="N68" s="1151"/>
      <c r="O68" s="1151"/>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5"/>
      <c r="Q85" s="504"/>
    </row>
    <row r="86" spans="1:17" s="117" customFormat="1" ht="15.75" thickTop="1">
      <c r="A86" s="579"/>
      <c r="B86" s="538" t="s">
        <v>2669</v>
      </c>
      <c r="C86" s="2959" t="s">
        <v>3074</v>
      </c>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25"/>
      <c r="Q87" s="504"/>
    </row>
    <row r="88" spans="1:17" s="117" customFormat="1" ht="15.75" thickTop="1">
      <c r="A88" s="579"/>
      <c r="B88" s="538" t="str">
        <f>B26</f>
        <v>平面位置/可视性</v>
      </c>
      <c r="C88" s="2960" t="s">
        <v>3075</v>
      </c>
      <c r="D88" s="554"/>
      <c r="E88" s="554"/>
      <c r="F88" s="2630"/>
      <c r="G88" s="554"/>
      <c r="H88" s="554"/>
      <c r="I88" s="554"/>
      <c r="J88" s="554"/>
      <c r="K88" s="554"/>
      <c r="L88" s="554"/>
      <c r="M88" s="581"/>
      <c r="N88" s="1150"/>
      <c r="O88" s="1150"/>
      <c r="P88" s="2625"/>
      <c r="Q88" s="504"/>
    </row>
    <row r="89" spans="1:17" s="117" customFormat="1" ht="15.75" thickBot="1">
      <c r="A89" s="579"/>
      <c r="B89" s="543"/>
      <c r="C89" s="560">
        <v>100</v>
      </c>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60" t="s">
        <v>3075</v>
      </c>
      <c r="D90" s="2960" t="s">
        <v>3076</v>
      </c>
      <c r="E90" s="2960" t="s">
        <v>3077</v>
      </c>
      <c r="F90" s="554"/>
      <c r="G90" s="554"/>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26"/>
      <c r="Q91" s="559"/>
    </row>
    <row r="92" spans="1:17" ht="15.75" thickTop="1">
      <c r="A92" s="534"/>
      <c r="B92" s="538" t="str">
        <f>B28</f>
        <v>楼层</v>
      </c>
      <c r="C92" s="2959">
        <v>1</v>
      </c>
      <c r="D92" s="2962" t="s">
        <v>3052</v>
      </c>
      <c r="E92" s="554"/>
      <c r="F92" s="554"/>
      <c r="G92" s="554"/>
      <c r="H92" s="554"/>
      <c r="I92" s="554"/>
      <c r="J92" s="554"/>
      <c r="K92" s="554"/>
      <c r="L92" s="580"/>
      <c r="M92" s="581"/>
      <c r="N92" s="1151"/>
      <c r="O92" s="1151"/>
      <c r="P92" s="2625"/>
      <c r="Q92" s="504"/>
    </row>
    <row r="93" spans="1:17" ht="15.75" thickBot="1">
      <c r="A93" s="534"/>
      <c r="B93" s="543"/>
      <c r="C93" s="536">
        <v>100</v>
      </c>
      <c r="D93" s="536">
        <v>85</v>
      </c>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2963" t="s">
        <v>3107</v>
      </c>
      <c r="D100" s="2963" t="s">
        <v>3106</v>
      </c>
      <c r="E100" s="2963" t="s">
        <v>3110</v>
      </c>
      <c r="F100" s="2963" t="s">
        <v>3081</v>
      </c>
      <c r="G100" s="530"/>
      <c r="H100" s="530"/>
      <c r="I100" s="530"/>
      <c r="J100" s="530"/>
      <c r="K100" s="531"/>
      <c r="L100" s="532"/>
      <c r="M100" s="533"/>
      <c r="N100" s="1151"/>
      <c r="O100" s="1151"/>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25"/>
      <c r="Q101" s="504"/>
    </row>
    <row r="102" spans="1:17" ht="15.75" thickTop="1">
      <c r="A102" s="534"/>
      <c r="B102" s="538" t="s">
        <v>2602</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0"/>
      <c r="O102" s="1150"/>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3"/>
      <c r="O103" s="1153"/>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2"/>
      <c r="O104" s="1152"/>
      <c r="P104" s="2626"/>
      <c r="Q104" s="559"/>
    </row>
    <row r="105" spans="1:17" ht="15" thickTop="1">
      <c r="A105" s="599"/>
      <c r="B105" s="538" t="s">
        <v>2603</v>
      </c>
      <c r="C105" s="2960" t="s">
        <v>3083</v>
      </c>
      <c r="D105" s="2960" t="s">
        <v>3084</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2"/>
      <c r="O106" s="1152"/>
      <c r="P106" s="2625"/>
      <c r="Q106" s="504"/>
    </row>
    <row r="107" spans="1:17" ht="15" thickTop="1">
      <c r="A107" s="599"/>
      <c r="B107" s="538" t="s">
        <v>2605</v>
      </c>
      <c r="C107" s="2960" t="s">
        <v>3086</v>
      </c>
      <c r="D107" s="2960" t="s">
        <v>3088</v>
      </c>
      <c r="E107" s="2960" t="s">
        <v>3090</v>
      </c>
      <c r="F107" s="2964" t="s">
        <v>3092</v>
      </c>
      <c r="G107" s="583"/>
      <c r="H107" s="583"/>
      <c r="I107" s="583"/>
      <c r="J107" s="583"/>
      <c r="K107" s="584"/>
      <c r="L107" s="585"/>
      <c r="M107" s="586"/>
      <c r="N107" s="1151"/>
      <c r="O107" s="1151"/>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2"/>
      <c r="O108" s="1152"/>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8">D111+$K36</f>
        <v>104</v>
      </c>
      <c r="F111" s="544">
        <f t="shared" si="28"/>
        <v>106</v>
      </c>
      <c r="G111" s="544">
        <f t="shared" si="28"/>
        <v>108</v>
      </c>
      <c r="H111" s="544">
        <f t="shared" si="28"/>
        <v>110</v>
      </c>
      <c r="I111" s="544">
        <f t="shared" si="28"/>
        <v>112</v>
      </c>
      <c r="J111" s="544">
        <f t="shared" si="28"/>
        <v>114</v>
      </c>
      <c r="K111" s="544">
        <f t="shared" si="28"/>
        <v>116</v>
      </c>
      <c r="L111" s="544">
        <f t="shared" si="28"/>
        <v>118</v>
      </c>
      <c r="M111" s="544">
        <f t="shared" si="28"/>
        <v>120</v>
      </c>
      <c r="N111" s="1152"/>
      <c r="O111" s="1152"/>
      <c r="P111" s="2625"/>
      <c r="Q111" s="504"/>
    </row>
    <row r="112" spans="1:17" s="471" customFormat="1" ht="15" thickTop="1">
      <c r="A112" s="593"/>
      <c r="B112" s="538" t="s">
        <v>2607</v>
      </c>
      <c r="C112" s="2960" t="s">
        <v>3093</v>
      </c>
      <c r="D112" s="2960" t="s">
        <v>3095</v>
      </c>
      <c r="E112" s="2960" t="s">
        <v>3096</v>
      </c>
      <c r="F112" s="2960" t="s">
        <v>3097</v>
      </c>
      <c r="G112" s="2960" t="s">
        <v>3098</v>
      </c>
      <c r="H112" s="583"/>
      <c r="I112" s="583"/>
      <c r="J112" s="583"/>
      <c r="K112" s="584"/>
      <c r="L112" s="585"/>
      <c r="M112" s="586"/>
      <c r="N112" s="1153"/>
      <c r="O112" s="1153"/>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3"/>
      <c r="O113" s="1153"/>
      <c r="P113" s="2626"/>
      <c r="Q113" s="559"/>
    </row>
    <row r="114" spans="1:17" ht="15" thickTop="1">
      <c r="A114" s="599"/>
      <c r="B114" s="538" t="s">
        <v>2671</v>
      </c>
      <c r="C114" s="2960" t="s">
        <v>3099</v>
      </c>
      <c r="D114" s="2960" t="s">
        <v>3101</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2"/>
      <c r="O115" s="1152"/>
      <c r="P115" s="2625"/>
      <c r="Q115" s="504"/>
    </row>
    <row r="116" spans="1:17" ht="15" thickTop="1">
      <c r="A116" s="599"/>
      <c r="B116" s="538" t="s">
        <v>2672</v>
      </c>
      <c r="C116" s="2960" t="s">
        <v>3103</v>
      </c>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5"/>
      <c r="Q117" s="504"/>
    </row>
    <row r="118" spans="1:17" ht="15" thickTop="1">
      <c r="A118" s="599"/>
      <c r="B118" s="538" t="s">
        <v>2673</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2674</v>
      </c>
      <c r="C120" s="2965" t="s">
        <v>2586</v>
      </c>
      <c r="D120" s="2965" t="s">
        <v>2587</v>
      </c>
      <c r="E120" s="2965" t="s">
        <v>2588</v>
      </c>
      <c r="F120" s="2965" t="s">
        <v>2589</v>
      </c>
      <c r="G120" s="2965" t="s">
        <v>2590</v>
      </c>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3"/>
      <c r="O121" s="1153"/>
      <c r="P121" s="2626"/>
      <c r="Q121" s="559"/>
    </row>
    <row r="122" spans="1:17" ht="15" thickTop="1">
      <c r="A122" s="599"/>
      <c r="B122" s="538" t="s">
        <v>2609</v>
      </c>
      <c r="C122" s="2960" t="s">
        <v>3086</v>
      </c>
      <c r="D122" s="2960" t="s">
        <v>3088</v>
      </c>
      <c r="E122" s="2960" t="s">
        <v>3090</v>
      </c>
      <c r="F122" s="2964" t="s">
        <v>3092</v>
      </c>
      <c r="G122" s="583"/>
      <c r="H122" s="583"/>
      <c r="I122" s="583"/>
      <c r="J122" s="583"/>
      <c r="K122" s="584"/>
      <c r="L122" s="585"/>
      <c r="M122" s="586"/>
      <c r="N122" s="1151"/>
      <c r="O122" s="1151"/>
      <c r="P122" s="2625"/>
      <c r="Q122" s="504"/>
    </row>
    <row r="123" spans="1:17" ht="15.75" thickBot="1">
      <c r="A123" s="534"/>
      <c r="B123" s="543"/>
      <c r="C123" s="544">
        <v>100</v>
      </c>
      <c r="D123" s="544">
        <f t="shared" ref="D123:M123" si="32">C123-$K42</f>
        <v>98.5</v>
      </c>
      <c r="E123" s="544">
        <f t="shared" si="32"/>
        <v>97</v>
      </c>
      <c r="F123" s="544">
        <f t="shared" si="32"/>
        <v>95.5</v>
      </c>
      <c r="G123" s="544">
        <f t="shared" si="32"/>
        <v>94</v>
      </c>
      <c r="H123" s="544">
        <f t="shared" si="32"/>
        <v>92.5</v>
      </c>
      <c r="I123" s="544">
        <f t="shared" si="32"/>
        <v>91</v>
      </c>
      <c r="J123" s="544">
        <f t="shared" si="32"/>
        <v>89.5</v>
      </c>
      <c r="K123" s="544">
        <f t="shared" si="32"/>
        <v>88</v>
      </c>
      <c r="L123" s="544">
        <f t="shared" si="32"/>
        <v>86.5</v>
      </c>
      <c r="M123" s="545">
        <f t="shared" si="32"/>
        <v>85</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37" sqref="H3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2996</v>
      </c>
      <c r="C1" s="3239" t="s">
        <v>2997</v>
      </c>
      <c r="D1" s="3240"/>
      <c r="E1" s="3240"/>
      <c r="F1" s="3240"/>
      <c r="G1" s="3240"/>
      <c r="H1" s="3240"/>
      <c r="I1" s="3240"/>
      <c r="J1" s="3240"/>
      <c r="K1" s="3240"/>
      <c r="L1" s="3240"/>
      <c r="M1" s="3240"/>
      <c r="N1" s="3240"/>
      <c r="O1" s="3240"/>
      <c r="P1" s="3240"/>
      <c r="Q1" s="3240"/>
      <c r="R1" s="3240"/>
      <c r="S1" s="3241"/>
      <c r="T1" s="1203" t="s">
        <v>2998</v>
      </c>
    </row>
    <row r="2" spans="1:45" s="707" customFormat="1" ht="38.25">
      <c r="A2" s="1204"/>
      <c r="B2" s="703" t="s">
        <v>2999</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50</v>
      </c>
      <c r="E3" s="709">
        <f>'比较法-商业'!E103</f>
        <v>100</v>
      </c>
      <c r="F3" s="709">
        <f>'比较法-商业'!F103</f>
        <v>150</v>
      </c>
      <c r="G3" s="709">
        <f>'比较法-商业'!G103</f>
        <v>200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709">
        <f>'比较法-商业'!C104</f>
        <v>100</v>
      </c>
      <c r="D4" s="709">
        <f>'比较法-商业'!D104</f>
        <v>99</v>
      </c>
      <c r="E4" s="709">
        <f>'比较法-商业'!E104</f>
        <v>98</v>
      </c>
      <c r="F4" s="709">
        <f>'比较法-商业'!F104</f>
        <v>97</v>
      </c>
      <c r="G4" s="709">
        <f>'比较法-商业'!G104</f>
        <v>96</v>
      </c>
      <c r="H4" s="709">
        <f>'比较法-商业'!H104</f>
        <v>95</v>
      </c>
      <c r="I4" s="709">
        <f>H4-1</f>
        <v>94</v>
      </c>
      <c r="J4" s="709">
        <f>I4-1</f>
        <v>93</v>
      </c>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4"/>
      <c r="B5" s="2967" t="s">
        <v>3124</v>
      </c>
      <c r="C5" s="2968" t="s">
        <v>3125</v>
      </c>
      <c r="D5" s="2969" t="s">
        <v>3126</v>
      </c>
      <c r="E5" s="2969" t="s">
        <v>3127</v>
      </c>
      <c r="F5" s="2970" t="s">
        <v>3128</v>
      </c>
      <c r="G5" s="1710"/>
      <c r="H5" s="1710"/>
      <c r="I5" s="1710"/>
      <c r="J5" s="1710"/>
      <c r="K5" s="1710"/>
      <c r="L5" s="1711"/>
      <c r="M5" s="1712"/>
      <c r="N5" s="1712"/>
      <c r="O5" s="1710"/>
      <c r="P5" s="1710"/>
      <c r="Q5" s="1710"/>
      <c r="R5" s="1710"/>
      <c r="S5" s="1713"/>
      <c r="T5" s="1218">
        <f>'比较法-商业'!K42</f>
        <v>1.5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6"/>
      <c r="C6" s="1121">
        <v>100</v>
      </c>
      <c r="D6" s="1119">
        <f>C6-$T5</f>
        <v>98.5</v>
      </c>
      <c r="E6" s="1119">
        <f t="shared" ref="E6:S6" si="7">D6-$T5</f>
        <v>97</v>
      </c>
      <c r="F6" s="1714">
        <f t="shared" si="7"/>
        <v>95.5</v>
      </c>
      <c r="G6" s="1714">
        <f t="shared" si="7"/>
        <v>94</v>
      </c>
      <c r="H6" s="1714">
        <f t="shared" si="7"/>
        <v>92.5</v>
      </c>
      <c r="I6" s="1714">
        <f t="shared" si="7"/>
        <v>91</v>
      </c>
      <c r="J6" s="1714">
        <f t="shared" si="7"/>
        <v>89.5</v>
      </c>
      <c r="K6" s="1714">
        <f t="shared" si="7"/>
        <v>88</v>
      </c>
      <c r="L6" s="1714">
        <f t="shared" si="7"/>
        <v>86.5</v>
      </c>
      <c r="M6" s="1714">
        <f t="shared" si="7"/>
        <v>85</v>
      </c>
      <c r="N6" s="1714">
        <f t="shared" si="7"/>
        <v>83.5</v>
      </c>
      <c r="O6" s="1714">
        <f t="shared" si="7"/>
        <v>82</v>
      </c>
      <c r="P6" s="1714">
        <f t="shared" si="7"/>
        <v>80.5</v>
      </c>
      <c r="Q6" s="1714">
        <f t="shared" si="7"/>
        <v>79</v>
      </c>
      <c r="R6" s="1714">
        <f t="shared" si="7"/>
        <v>77.5</v>
      </c>
      <c r="S6" s="1714">
        <f t="shared" si="7"/>
        <v>76</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2971" t="s">
        <v>3129</v>
      </c>
      <c r="C7" s="2972">
        <v>1</v>
      </c>
      <c r="D7" s="2973" t="s">
        <v>3130</v>
      </c>
      <c r="E7" s="1115"/>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6"/>
      <c r="C8" s="1121">
        <v>100</v>
      </c>
      <c r="D8" s="1119">
        <f>C8-$T7</f>
        <v>85</v>
      </c>
      <c r="E8" s="1119">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4"/>
      <c r="B9" s="2971" t="s">
        <v>3131</v>
      </c>
      <c r="C9" s="2974" t="s">
        <v>3132</v>
      </c>
      <c r="D9" s="1115"/>
      <c r="E9" s="1115"/>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98</v>
      </c>
      <c r="E10" s="1220">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2975" t="s">
        <v>3133</v>
      </c>
      <c r="C11" s="2968" t="s">
        <v>3134</v>
      </c>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6"/>
      <c r="C12" s="1121">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2975" t="s">
        <v>3135</v>
      </c>
      <c r="C13" s="2968" t="s">
        <v>3138</v>
      </c>
      <c r="D13" s="2969" t="s">
        <v>3139</v>
      </c>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6"/>
      <c r="C14" s="1120">
        <v>100</v>
      </c>
      <c r="D14" s="1117">
        <v>98</v>
      </c>
      <c r="E14" s="1117"/>
      <c r="F14" s="1117"/>
      <c r="G14" s="1117"/>
      <c r="H14" s="1117"/>
      <c r="I14" s="1117"/>
      <c r="J14" s="1117"/>
      <c r="K14" s="1117"/>
      <c r="L14" s="1117"/>
      <c r="M14" s="1228"/>
      <c r="N14" s="1228"/>
      <c r="O14" s="1117"/>
      <c r="P14" s="1117"/>
      <c r="Q14" s="1117"/>
      <c r="R14" s="1117"/>
      <c r="S14" s="1229"/>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3001</v>
      </c>
      <c r="B17" s="2912" t="s">
        <v>3002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3" t="s">
        <v>3003</v>
      </c>
      <c r="E19" s="1790"/>
      <c r="F19" s="1790"/>
      <c r="G19" s="1790"/>
      <c r="H19" s="1279"/>
      <c r="I19" s="168"/>
      <c r="J19" s="168"/>
      <c r="K19" s="168"/>
      <c r="L19" s="168"/>
      <c r="M19" s="168"/>
      <c r="N19" s="168"/>
      <c r="O19" s="168"/>
      <c r="P19" s="168"/>
      <c r="Q19" s="168"/>
      <c r="R19" s="787"/>
      <c r="S19" s="138"/>
    </row>
    <row r="20" spans="1:45" ht="16.5" thickBot="1">
      <c r="A20" s="714" t="s">
        <v>3004</v>
      </c>
      <c r="B20" s="338">
        <f ca="1">IF(D20="——",S22,S22-F20)</f>
        <v>11438</v>
      </c>
      <c r="C20" s="168"/>
      <c r="D20" s="2914" t="s">
        <v>3176</v>
      </c>
      <c r="E20" s="1791"/>
      <c r="F20" s="1203">
        <f ca="1">SUMIF(INDIRECT("'"&amp;H20&amp;"'"&amp;"!A:A"),"承租人权益价值",INDIRECT("'"&amp;H20&amp;"'"&amp;"!c:c"))</f>
        <v>439</v>
      </c>
      <c r="G20" s="1203" t="s">
        <v>3005</v>
      </c>
      <c r="H20" s="2915" t="s">
        <v>3174</v>
      </c>
      <c r="I20" s="168"/>
      <c r="J20" s="168"/>
      <c r="K20" s="168"/>
      <c r="L20" s="168"/>
      <c r="M20" s="168"/>
      <c r="N20" s="168"/>
      <c r="O20" s="168"/>
      <c r="P20" s="168"/>
      <c r="Q20" s="168"/>
      <c r="R20" s="787"/>
      <c r="S20" s="138"/>
    </row>
    <row r="21" spans="1:45" ht="15.75">
      <c r="A21" s="714" t="s">
        <v>3006</v>
      </c>
      <c r="B21" s="338">
        <f>R22</f>
        <v>44628</v>
      </c>
      <c r="C21" s="168"/>
      <c r="D21" s="168"/>
      <c r="E21" s="168"/>
      <c r="F21" s="168"/>
      <c r="G21" s="168"/>
      <c r="H21" s="168"/>
      <c r="I21" s="168"/>
      <c r="J21" s="168"/>
      <c r="K21" s="168"/>
      <c r="L21" s="168"/>
      <c r="M21" s="168"/>
      <c r="N21" s="168"/>
      <c r="O21" s="168"/>
      <c r="P21" s="168"/>
      <c r="Q21" s="168"/>
      <c r="R21" s="787"/>
      <c r="S21" s="138"/>
    </row>
    <row r="22" spans="1:45">
      <c r="A22" s="361" t="s">
        <v>3007</v>
      </c>
      <c r="B22" s="24">
        <f>SUM(B24:B10000)</f>
        <v>2661.36</v>
      </c>
      <c r="C22" s="3104" t="s">
        <v>33</v>
      </c>
      <c r="D22" s="3105"/>
      <c r="E22" s="3105"/>
      <c r="F22" s="3105"/>
      <c r="G22" s="3105"/>
      <c r="H22" s="3105"/>
      <c r="I22" s="3105"/>
      <c r="J22" s="3105"/>
      <c r="K22" s="3105"/>
      <c r="L22" s="3105"/>
      <c r="M22" s="3105"/>
      <c r="N22" s="3105"/>
      <c r="O22" s="3105"/>
      <c r="P22" s="3105"/>
      <c r="Q22" s="3238"/>
      <c r="R22" s="715">
        <f>ROUND(S22*10000/B22,0)</f>
        <v>44628</v>
      </c>
      <c r="S22" s="24">
        <f>SUM(S24:S10000)</f>
        <v>11877</v>
      </c>
    </row>
    <row r="23" spans="1:45" s="12" customFormat="1" ht="24">
      <c r="A23" s="11" t="s">
        <v>3008</v>
      </c>
      <c r="B23" s="11" t="s">
        <v>3009</v>
      </c>
      <c r="C23" s="11" t="s">
        <v>3010</v>
      </c>
      <c r="D23" s="11" t="str">
        <f>B5</f>
        <v>装修</v>
      </c>
      <c r="E23" s="11" t="s">
        <v>3010</v>
      </c>
      <c r="F23" s="11" t="str">
        <f>B7</f>
        <v>楼层</v>
      </c>
      <c r="G23" s="11" t="s">
        <v>3010</v>
      </c>
      <c r="H23" s="11" t="str">
        <f>B9</f>
        <v>临街状况</v>
      </c>
      <c r="I23" s="11" t="s">
        <v>3010</v>
      </c>
      <c r="J23" s="11" t="str">
        <f>B11</f>
        <v>可视性</v>
      </c>
      <c r="K23" s="11" t="s">
        <v>3010</v>
      </c>
      <c r="L23" s="11" t="str">
        <f>B13</f>
        <v>人流量</v>
      </c>
      <c r="M23" s="11" t="s">
        <v>3010</v>
      </c>
      <c r="N23" s="11" t="str">
        <f>B15</f>
        <v>修正项7</v>
      </c>
      <c r="O23" s="11" t="s">
        <v>3010</v>
      </c>
      <c r="P23" s="11" t="str">
        <f>B17</f>
        <v>楼层</v>
      </c>
      <c r="Q23" s="11" t="s">
        <v>3010</v>
      </c>
      <c r="R23" s="716" t="s">
        <v>3011</v>
      </c>
      <c r="S23" s="11" t="s">
        <v>3012</v>
      </c>
      <c r="T23" s="2986">
        <f ca="1">B20+[1]典型户型修正!$B$20</f>
        <v>30119</v>
      </c>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6" t="s">
        <v>3114</v>
      </c>
      <c r="B24" s="717">
        <f>'数据-基础表'!I13</f>
        <v>261.92</v>
      </c>
      <c r="C24" s="718">
        <v>1</v>
      </c>
      <c r="D24" s="719" t="s">
        <v>3091</v>
      </c>
      <c r="E24" s="718">
        <v>1</v>
      </c>
      <c r="F24" s="719" t="s">
        <v>3079</v>
      </c>
      <c r="G24" s="718">
        <v>1</v>
      </c>
      <c r="H24" s="719" t="s">
        <v>3078</v>
      </c>
      <c r="I24" s="718">
        <v>1</v>
      </c>
      <c r="J24" s="719" t="s">
        <v>3072</v>
      </c>
      <c r="K24" s="718">
        <v>1</v>
      </c>
      <c r="L24" s="719" t="s">
        <v>3071</v>
      </c>
      <c r="M24" s="718">
        <v>1</v>
      </c>
      <c r="N24" s="719"/>
      <c r="O24" s="718">
        <v>1</v>
      </c>
      <c r="P24" s="719"/>
      <c r="Q24" s="718">
        <v>1</v>
      </c>
      <c r="R24" s="720">
        <f>'比较法-商业'!C49</f>
        <v>42933</v>
      </c>
      <c r="S24" s="718">
        <f t="shared" ref="S24:S54" si="11">ROUND(R24*B24/10000,0)</f>
        <v>1125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6" t="s">
        <v>3079</v>
      </c>
      <c r="B25" s="717">
        <f>'数据-基础表'!I14</f>
        <v>315.70999999999998</v>
      </c>
      <c r="C25" s="24">
        <f>IF(B25="",1,(LOOKUP(B25,$3:$3,$4:$4)-LOOKUP($B$24,$3:$3,$4:$4)+100)/100)</f>
        <v>0.99</v>
      </c>
      <c r="D25" s="719" t="s">
        <v>3087</v>
      </c>
      <c r="E25" s="24">
        <f>(SUMIF($5:$5,D25,$6:$6)-SUMIF($5:$5,$D$24,$6:$6)+100)/100</f>
        <v>1.03</v>
      </c>
      <c r="F25" s="719" t="s">
        <v>3079</v>
      </c>
      <c r="G25" s="24">
        <f>(SUMIF($7:$7,F25,$8:$8)-SUMIF($7:$7,$F$24,$8:$8)+100)/100</f>
        <v>1</v>
      </c>
      <c r="H25" s="719" t="s">
        <v>3078</v>
      </c>
      <c r="I25" s="24">
        <f>(SUMIF($9:$9,H25,$10:$10)-SUMIF($9:$9,$H$24,$10:$10)+100)/100</f>
        <v>1</v>
      </c>
      <c r="J25" s="719" t="s">
        <v>3072</v>
      </c>
      <c r="K25" s="24">
        <f>(SUMIF($11:$11,J25,$12:$12)-SUMIF($11:$11,$J$24,$12:$12)+100)/100</f>
        <v>1</v>
      </c>
      <c r="L25" s="719" t="s">
        <v>3071</v>
      </c>
      <c r="M25" s="24">
        <f>(SUMIF($13:$13,L25,$14:$14)-SUMIF($13:$13,$L$24,$14:$14)+100)/100</f>
        <v>1</v>
      </c>
      <c r="N25" s="719"/>
      <c r="O25" s="24">
        <f>(SUMIF($15:$15,N25,$16:$16)-SUMIF($15:$15,$N$24,$16:$16)+100)/100</f>
        <v>1</v>
      </c>
      <c r="P25" s="719"/>
      <c r="Q25" s="24">
        <f>(SUMIF($17:$17,P25,$18:$18)-SUMIF($17:$17,$P$24,$18:$18)+100)/100</f>
        <v>1</v>
      </c>
      <c r="R25" s="715">
        <f>IF(B25="",0,ROUND($R$24*C25*E25*G25*I25*K25*M25*O25*Q25,0))</f>
        <v>43779</v>
      </c>
      <c r="S25" s="361">
        <f t="shared" si="11"/>
        <v>1382</v>
      </c>
    </row>
    <row r="26" spans="1:45">
      <c r="A26" s="2966" t="s">
        <v>3115</v>
      </c>
      <c r="B26" s="717">
        <f>'数据-基础表'!I15</f>
        <v>215.38</v>
      </c>
      <c r="C26" s="24">
        <f t="shared" ref="C26:C89" si="12">IF(B26="",1,(LOOKUP(B26,$3:$3,$4:$4)-LOOKUP($B$24,$3:$3,$4:$4)+100)/100)</f>
        <v>1.01</v>
      </c>
      <c r="D26" s="719" t="s">
        <v>3091</v>
      </c>
      <c r="E26" s="24">
        <f t="shared" ref="E26:E89" si="13">(SUMIF($5:$5,D26,$6:$6)-SUMIF($5:$5,$D$24,$6:$6)+100)/100</f>
        <v>1</v>
      </c>
      <c r="F26" s="719" t="s">
        <v>3079</v>
      </c>
      <c r="G26" s="24">
        <f t="shared" ref="G26:G89" si="14">(SUMIF($7:$7,F26,$8:$8)-SUMIF($7:$7,$F$24,$8:$8)+100)/100</f>
        <v>1</v>
      </c>
      <c r="H26" s="719" t="s">
        <v>3078</v>
      </c>
      <c r="I26" s="24">
        <f t="shared" ref="I26:I89" si="15">(SUMIF($9:$9,H26,$10:$10)-SUMIF($9:$9,$H$24,$10:$10)+100)/100</f>
        <v>1</v>
      </c>
      <c r="J26" s="719" t="s">
        <v>3072</v>
      </c>
      <c r="K26" s="24">
        <f t="shared" ref="K26:K89" si="16">(SUMIF($11:$11,J26,$12:$12)-SUMIF($11:$11,$J$24,$12:$12)+100)/100</f>
        <v>1</v>
      </c>
      <c r="L26" s="719" t="s">
        <v>3071</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43362</v>
      </c>
      <c r="S26" s="361">
        <f t="shared" si="11"/>
        <v>934</v>
      </c>
    </row>
    <row r="27" spans="1:45">
      <c r="A27" s="2966" t="s">
        <v>3116</v>
      </c>
      <c r="B27" s="717">
        <f>'数据-基础表'!I16</f>
        <v>289</v>
      </c>
      <c r="C27" s="24">
        <f t="shared" si="12"/>
        <v>1</v>
      </c>
      <c r="D27" s="719" t="s">
        <v>3136</v>
      </c>
      <c r="E27" s="24">
        <f t="shared" si="13"/>
        <v>1.0449999999999999</v>
      </c>
      <c r="F27" s="719" t="s">
        <v>3079</v>
      </c>
      <c r="G27" s="24">
        <f t="shared" si="14"/>
        <v>1</v>
      </c>
      <c r="H27" s="719" t="s">
        <v>3078</v>
      </c>
      <c r="I27" s="24">
        <f t="shared" si="15"/>
        <v>1</v>
      </c>
      <c r="J27" s="719" t="s">
        <v>3072</v>
      </c>
      <c r="K27" s="24">
        <f t="shared" si="16"/>
        <v>1</v>
      </c>
      <c r="L27" s="719" t="s">
        <v>3071</v>
      </c>
      <c r="M27" s="24">
        <f t="shared" si="17"/>
        <v>1</v>
      </c>
      <c r="N27" s="719"/>
      <c r="O27" s="24">
        <f t="shared" si="18"/>
        <v>1</v>
      </c>
      <c r="P27" s="719"/>
      <c r="Q27" s="24">
        <f t="shared" si="19"/>
        <v>1</v>
      </c>
      <c r="R27" s="715">
        <f t="shared" si="20"/>
        <v>44865</v>
      </c>
      <c r="S27" s="361">
        <f t="shared" si="11"/>
        <v>1297</v>
      </c>
    </row>
    <row r="28" spans="1:45">
      <c r="A28" s="2966" t="s">
        <v>3117</v>
      </c>
      <c r="B28" s="717">
        <f>'数据-基础表'!I17</f>
        <v>190.09</v>
      </c>
      <c r="C28" s="24">
        <f t="shared" si="12"/>
        <v>1.02</v>
      </c>
      <c r="D28" s="719" t="s">
        <v>3091</v>
      </c>
      <c r="E28" s="24">
        <f t="shared" si="13"/>
        <v>1</v>
      </c>
      <c r="F28" s="719" t="s">
        <v>3079</v>
      </c>
      <c r="G28" s="24">
        <f t="shared" si="14"/>
        <v>1</v>
      </c>
      <c r="H28" s="719" t="s">
        <v>3078</v>
      </c>
      <c r="I28" s="24">
        <f t="shared" si="15"/>
        <v>1</v>
      </c>
      <c r="J28" s="719" t="s">
        <v>3072</v>
      </c>
      <c r="K28" s="24">
        <f t="shared" si="16"/>
        <v>1</v>
      </c>
      <c r="L28" s="719" t="s">
        <v>3071</v>
      </c>
      <c r="M28" s="24">
        <f t="shared" si="17"/>
        <v>1</v>
      </c>
      <c r="N28" s="719"/>
      <c r="O28" s="24">
        <f t="shared" si="18"/>
        <v>1</v>
      </c>
      <c r="P28" s="719"/>
      <c r="Q28" s="24">
        <f t="shared" si="19"/>
        <v>1</v>
      </c>
      <c r="R28" s="715">
        <f t="shared" si="20"/>
        <v>43792</v>
      </c>
      <c r="S28" s="361">
        <f t="shared" si="11"/>
        <v>832</v>
      </c>
    </row>
    <row r="29" spans="1:45">
      <c r="A29" s="2966" t="s">
        <v>3118</v>
      </c>
      <c r="B29" s="717">
        <f>'数据-基础表'!I18</f>
        <v>186.43</v>
      </c>
      <c r="C29" s="24">
        <f t="shared" si="12"/>
        <v>1.02</v>
      </c>
      <c r="D29" s="719" t="s">
        <v>3087</v>
      </c>
      <c r="E29" s="24">
        <f t="shared" si="13"/>
        <v>1.03</v>
      </c>
      <c r="F29" s="719" t="s">
        <v>3079</v>
      </c>
      <c r="G29" s="24">
        <f t="shared" si="14"/>
        <v>1</v>
      </c>
      <c r="H29" s="719" t="s">
        <v>3078</v>
      </c>
      <c r="I29" s="24">
        <f t="shared" si="15"/>
        <v>1</v>
      </c>
      <c r="J29" s="719" t="s">
        <v>3072</v>
      </c>
      <c r="K29" s="24">
        <f t="shared" si="16"/>
        <v>1</v>
      </c>
      <c r="L29" s="719" t="s">
        <v>3071</v>
      </c>
      <c r="M29" s="24">
        <f t="shared" si="17"/>
        <v>1</v>
      </c>
      <c r="N29" s="719"/>
      <c r="O29" s="24">
        <f t="shared" si="18"/>
        <v>1</v>
      </c>
      <c r="P29" s="719"/>
      <c r="Q29" s="24">
        <f t="shared" si="19"/>
        <v>1</v>
      </c>
      <c r="R29" s="715">
        <f t="shared" si="20"/>
        <v>45105</v>
      </c>
      <c r="S29" s="361">
        <f t="shared" si="11"/>
        <v>841</v>
      </c>
    </row>
    <row r="30" spans="1:45">
      <c r="A30" s="2966" t="s">
        <v>3119</v>
      </c>
      <c r="B30" s="717">
        <f>'数据-基础表'!I19</f>
        <v>277.52</v>
      </c>
      <c r="C30" s="24">
        <f t="shared" si="12"/>
        <v>1</v>
      </c>
      <c r="D30" s="719" t="s">
        <v>3136</v>
      </c>
      <c r="E30" s="24">
        <f t="shared" si="13"/>
        <v>1.0449999999999999</v>
      </c>
      <c r="F30" s="719" t="s">
        <v>3079</v>
      </c>
      <c r="G30" s="24">
        <f t="shared" si="14"/>
        <v>1</v>
      </c>
      <c r="H30" s="719" t="s">
        <v>3078</v>
      </c>
      <c r="I30" s="24">
        <f t="shared" si="15"/>
        <v>1</v>
      </c>
      <c r="J30" s="719" t="s">
        <v>3072</v>
      </c>
      <c r="K30" s="24">
        <f t="shared" si="16"/>
        <v>1</v>
      </c>
      <c r="L30" s="719" t="s">
        <v>3071</v>
      </c>
      <c r="M30" s="24">
        <f t="shared" si="17"/>
        <v>1</v>
      </c>
      <c r="N30" s="719"/>
      <c r="O30" s="24">
        <f t="shared" si="18"/>
        <v>1</v>
      </c>
      <c r="P30" s="719"/>
      <c r="Q30" s="24">
        <f t="shared" si="19"/>
        <v>1</v>
      </c>
      <c r="R30" s="715">
        <f t="shared" si="20"/>
        <v>44865</v>
      </c>
      <c r="S30" s="361">
        <f t="shared" si="11"/>
        <v>1245</v>
      </c>
    </row>
    <row r="31" spans="1:45">
      <c r="A31" s="2966" t="s">
        <v>3120</v>
      </c>
      <c r="B31" s="717">
        <f>'数据-基础表'!I20</f>
        <v>184.87</v>
      </c>
      <c r="C31" s="24">
        <f t="shared" si="12"/>
        <v>1.02</v>
      </c>
      <c r="D31" s="719" t="s">
        <v>3087</v>
      </c>
      <c r="E31" s="24">
        <f t="shared" si="13"/>
        <v>1.03</v>
      </c>
      <c r="F31" s="719" t="s">
        <v>3079</v>
      </c>
      <c r="G31" s="24">
        <f t="shared" si="14"/>
        <v>1</v>
      </c>
      <c r="H31" s="719" t="s">
        <v>3078</v>
      </c>
      <c r="I31" s="24">
        <f t="shared" si="15"/>
        <v>1</v>
      </c>
      <c r="J31" s="719" t="s">
        <v>3072</v>
      </c>
      <c r="K31" s="24">
        <f t="shared" si="16"/>
        <v>1</v>
      </c>
      <c r="L31" s="719" t="s">
        <v>3137</v>
      </c>
      <c r="M31" s="24">
        <f t="shared" si="17"/>
        <v>1.02</v>
      </c>
      <c r="N31" s="719"/>
      <c r="O31" s="24">
        <f t="shared" si="18"/>
        <v>1</v>
      </c>
      <c r="P31" s="719"/>
      <c r="Q31" s="24">
        <f t="shared" si="19"/>
        <v>1</v>
      </c>
      <c r="R31" s="715">
        <f t="shared" si="20"/>
        <v>46008</v>
      </c>
      <c r="S31" s="361">
        <f t="shared" si="11"/>
        <v>851</v>
      </c>
    </row>
    <row r="32" spans="1:45">
      <c r="A32" s="2966" t="s">
        <v>3121</v>
      </c>
      <c r="B32" s="717">
        <f>'数据-基础表'!I21</f>
        <v>190.44</v>
      </c>
      <c r="C32" s="24">
        <f t="shared" si="12"/>
        <v>1.02</v>
      </c>
      <c r="D32" s="719" t="s">
        <v>3136</v>
      </c>
      <c r="E32" s="24">
        <f t="shared" si="13"/>
        <v>1.0449999999999999</v>
      </c>
      <c r="F32" s="719" t="s">
        <v>3079</v>
      </c>
      <c r="G32" s="24">
        <f t="shared" si="14"/>
        <v>1</v>
      </c>
      <c r="H32" s="719" t="s">
        <v>3078</v>
      </c>
      <c r="I32" s="24">
        <f t="shared" si="15"/>
        <v>1</v>
      </c>
      <c r="J32" s="719" t="s">
        <v>3072</v>
      </c>
      <c r="K32" s="24">
        <f t="shared" si="16"/>
        <v>1</v>
      </c>
      <c r="L32" s="719" t="s">
        <v>3137</v>
      </c>
      <c r="M32" s="24">
        <f t="shared" si="17"/>
        <v>1.02</v>
      </c>
      <c r="N32" s="719"/>
      <c r="O32" s="24">
        <f t="shared" si="18"/>
        <v>1</v>
      </c>
      <c r="P32" s="719"/>
      <c r="Q32" s="24">
        <f t="shared" si="19"/>
        <v>1</v>
      </c>
      <c r="R32" s="715">
        <f t="shared" si="20"/>
        <v>46678</v>
      </c>
      <c r="S32" s="361">
        <f t="shared" si="11"/>
        <v>889</v>
      </c>
    </row>
    <row r="33" spans="1:19">
      <c r="A33" s="2966" t="s">
        <v>3122</v>
      </c>
      <c r="B33" s="717">
        <f>'数据-基础表'!I22</f>
        <v>282.83</v>
      </c>
      <c r="C33" s="24">
        <f t="shared" si="12"/>
        <v>1</v>
      </c>
      <c r="D33" s="719" t="s">
        <v>3087</v>
      </c>
      <c r="E33" s="24">
        <f t="shared" si="13"/>
        <v>1.03</v>
      </c>
      <c r="F33" s="719" t="s">
        <v>3079</v>
      </c>
      <c r="G33" s="24">
        <f t="shared" si="14"/>
        <v>1</v>
      </c>
      <c r="H33" s="719" t="s">
        <v>3078</v>
      </c>
      <c r="I33" s="24">
        <f t="shared" si="15"/>
        <v>1</v>
      </c>
      <c r="J33" s="719" t="s">
        <v>3072</v>
      </c>
      <c r="K33" s="24">
        <f t="shared" si="16"/>
        <v>1</v>
      </c>
      <c r="L33" s="719" t="s">
        <v>3137</v>
      </c>
      <c r="M33" s="24">
        <f t="shared" si="17"/>
        <v>1.02</v>
      </c>
      <c r="N33" s="719"/>
      <c r="O33" s="24">
        <f t="shared" si="18"/>
        <v>1</v>
      </c>
      <c r="P33" s="719"/>
      <c r="Q33" s="24">
        <f t="shared" si="19"/>
        <v>1</v>
      </c>
      <c r="R33" s="715">
        <f t="shared" si="20"/>
        <v>45105</v>
      </c>
      <c r="S33" s="361">
        <f t="shared" si="11"/>
        <v>1276</v>
      </c>
    </row>
    <row r="34" spans="1:19">
      <c r="A34" s="2966" t="s">
        <v>3123</v>
      </c>
      <c r="B34" s="717">
        <f>'数据-基础表'!I23</f>
        <v>267.17</v>
      </c>
      <c r="C34" s="24">
        <f t="shared" si="12"/>
        <v>1</v>
      </c>
      <c r="D34" s="719" t="s">
        <v>3087</v>
      </c>
      <c r="E34" s="24">
        <f t="shared" si="13"/>
        <v>1.03</v>
      </c>
      <c r="F34" s="719" t="s">
        <v>3079</v>
      </c>
      <c r="G34" s="24">
        <f t="shared" si="14"/>
        <v>1</v>
      </c>
      <c r="H34" s="719" t="s">
        <v>3078</v>
      </c>
      <c r="I34" s="24">
        <f t="shared" si="15"/>
        <v>1</v>
      </c>
      <c r="J34" s="719" t="s">
        <v>3072</v>
      </c>
      <c r="K34" s="24">
        <f t="shared" si="16"/>
        <v>1</v>
      </c>
      <c r="L34" s="719" t="s">
        <v>3137</v>
      </c>
      <c r="M34" s="24">
        <f t="shared" si="17"/>
        <v>1.02</v>
      </c>
      <c r="N34" s="719"/>
      <c r="O34" s="24">
        <f t="shared" si="18"/>
        <v>1</v>
      </c>
      <c r="P34" s="719"/>
      <c r="Q34" s="24">
        <f t="shared" si="19"/>
        <v>1</v>
      </c>
      <c r="R34" s="715">
        <f t="shared" si="20"/>
        <v>45105</v>
      </c>
      <c r="S34" s="361">
        <f t="shared" si="11"/>
        <v>1205</v>
      </c>
    </row>
    <row r="35" spans="1:19">
      <c r="A35" s="159"/>
      <c r="B35" s="59"/>
      <c r="C35" s="24">
        <f t="shared" si="12"/>
        <v>1</v>
      </c>
      <c r="D35" s="719"/>
      <c r="E35" s="24">
        <f t="shared" si="13"/>
        <v>4.4999999999999998E-2</v>
      </c>
      <c r="F35" s="719"/>
      <c r="G35" s="24">
        <f t="shared" si="14"/>
        <v>0.15</v>
      </c>
      <c r="H35" s="719"/>
      <c r="I35" s="24">
        <f t="shared" si="15"/>
        <v>0</v>
      </c>
      <c r="J35" s="719"/>
      <c r="K35" s="24">
        <f t="shared" si="16"/>
        <v>0</v>
      </c>
      <c r="L35" s="719"/>
      <c r="M35" s="24">
        <f t="shared" si="17"/>
        <v>0.02</v>
      </c>
      <c r="N35" s="719"/>
      <c r="O35" s="24">
        <f t="shared" si="18"/>
        <v>1</v>
      </c>
      <c r="P35" s="719"/>
      <c r="Q35" s="24">
        <f t="shared" si="19"/>
        <v>1</v>
      </c>
      <c r="R35" s="715">
        <f t="shared" si="20"/>
        <v>0</v>
      </c>
      <c r="S35" s="361">
        <f t="shared" si="11"/>
        <v>0</v>
      </c>
    </row>
    <row r="36" spans="1:19">
      <c r="A36" s="159"/>
      <c r="B36" s="59"/>
      <c r="C36" s="24">
        <f t="shared" si="12"/>
        <v>1</v>
      </c>
      <c r="D36" s="719"/>
      <c r="E36" s="24">
        <f t="shared" si="13"/>
        <v>4.4999999999999998E-2</v>
      </c>
      <c r="F36" s="719"/>
      <c r="G36" s="24">
        <f t="shared" si="14"/>
        <v>0.15</v>
      </c>
      <c r="H36" s="719"/>
      <c r="I36" s="24">
        <f t="shared" si="15"/>
        <v>0</v>
      </c>
      <c r="J36" s="719"/>
      <c r="K36" s="24">
        <f t="shared" si="16"/>
        <v>0</v>
      </c>
      <c r="L36" s="719"/>
      <c r="M36" s="24">
        <f t="shared" si="17"/>
        <v>0.02</v>
      </c>
      <c r="N36" s="719"/>
      <c r="O36" s="24">
        <f t="shared" si="18"/>
        <v>1</v>
      </c>
      <c r="P36" s="719"/>
      <c r="Q36" s="24">
        <f t="shared" si="19"/>
        <v>1</v>
      </c>
      <c r="R36" s="715">
        <f t="shared" si="20"/>
        <v>0</v>
      </c>
      <c r="S36" s="361">
        <f t="shared" si="11"/>
        <v>0</v>
      </c>
    </row>
    <row r="37" spans="1:19">
      <c r="A37" s="159"/>
      <c r="B37" s="59"/>
      <c r="C37" s="24">
        <f t="shared" si="12"/>
        <v>1</v>
      </c>
      <c r="D37" s="719"/>
      <c r="E37" s="24">
        <f t="shared" si="13"/>
        <v>4.4999999999999998E-2</v>
      </c>
      <c r="F37" s="719"/>
      <c r="G37" s="24">
        <f t="shared" si="14"/>
        <v>0.15</v>
      </c>
      <c r="H37" s="719"/>
      <c r="I37" s="24">
        <f t="shared" si="15"/>
        <v>0</v>
      </c>
      <c r="J37" s="719"/>
      <c r="K37" s="24">
        <f t="shared" si="16"/>
        <v>0</v>
      </c>
      <c r="L37" s="719"/>
      <c r="M37" s="24">
        <f t="shared" si="17"/>
        <v>0.02</v>
      </c>
      <c r="N37" s="719"/>
      <c r="O37" s="24">
        <f t="shared" si="18"/>
        <v>1</v>
      </c>
      <c r="P37" s="719"/>
      <c r="Q37" s="24">
        <f t="shared" si="19"/>
        <v>1</v>
      </c>
      <c r="R37" s="715">
        <f t="shared" si="20"/>
        <v>0</v>
      </c>
      <c r="S37" s="361">
        <f t="shared" si="11"/>
        <v>0</v>
      </c>
    </row>
    <row r="38" spans="1:19">
      <c r="A38" s="159"/>
      <c r="B38" s="59"/>
      <c r="C38" s="24">
        <f t="shared" si="12"/>
        <v>1</v>
      </c>
      <c r="D38" s="719"/>
      <c r="E38" s="24">
        <f t="shared" si="13"/>
        <v>4.4999999999999998E-2</v>
      </c>
      <c r="F38" s="719"/>
      <c r="G38" s="24">
        <f t="shared" si="14"/>
        <v>0.15</v>
      </c>
      <c r="H38" s="719"/>
      <c r="I38" s="24">
        <f t="shared" si="15"/>
        <v>0</v>
      </c>
      <c r="J38" s="719"/>
      <c r="K38" s="24">
        <f t="shared" si="16"/>
        <v>0</v>
      </c>
      <c r="L38" s="719"/>
      <c r="M38" s="24">
        <f t="shared" si="17"/>
        <v>0.02</v>
      </c>
      <c r="N38" s="719"/>
      <c r="O38" s="24">
        <f t="shared" si="18"/>
        <v>1</v>
      </c>
      <c r="P38" s="719"/>
      <c r="Q38" s="24">
        <f t="shared" si="19"/>
        <v>1</v>
      </c>
      <c r="R38" s="715">
        <f t="shared" si="20"/>
        <v>0</v>
      </c>
      <c r="S38" s="361">
        <f t="shared" si="11"/>
        <v>0</v>
      </c>
    </row>
    <row r="39" spans="1:19">
      <c r="A39" s="159"/>
      <c r="B39" s="59"/>
      <c r="C39" s="24">
        <f t="shared" si="12"/>
        <v>1</v>
      </c>
      <c r="D39" s="719"/>
      <c r="E39" s="24">
        <f t="shared" si="13"/>
        <v>4.4999999999999998E-2</v>
      </c>
      <c r="F39" s="719"/>
      <c r="G39" s="24">
        <f t="shared" si="14"/>
        <v>0.15</v>
      </c>
      <c r="H39" s="719"/>
      <c r="I39" s="24">
        <f t="shared" si="15"/>
        <v>0</v>
      </c>
      <c r="J39" s="719"/>
      <c r="K39" s="24">
        <f t="shared" si="16"/>
        <v>0</v>
      </c>
      <c r="L39" s="719"/>
      <c r="M39" s="24">
        <f t="shared" si="17"/>
        <v>0.02</v>
      </c>
      <c r="N39" s="719"/>
      <c r="O39" s="24">
        <f t="shared" si="18"/>
        <v>1</v>
      </c>
      <c r="P39" s="719"/>
      <c r="Q39" s="24">
        <f t="shared" si="19"/>
        <v>1</v>
      </c>
      <c r="R39" s="715">
        <f t="shared" si="20"/>
        <v>0</v>
      </c>
      <c r="S39" s="361">
        <f t="shared" si="11"/>
        <v>0</v>
      </c>
    </row>
    <row r="40" spans="1:19">
      <c r="A40" s="159"/>
      <c r="B40" s="59"/>
      <c r="C40" s="24">
        <f t="shared" si="12"/>
        <v>1</v>
      </c>
      <c r="D40" s="719"/>
      <c r="E40" s="24">
        <f t="shared" si="13"/>
        <v>4.4999999999999998E-2</v>
      </c>
      <c r="F40" s="719"/>
      <c r="G40" s="24">
        <f t="shared" si="14"/>
        <v>0.15</v>
      </c>
      <c r="H40" s="719"/>
      <c r="I40" s="24">
        <f t="shared" si="15"/>
        <v>0</v>
      </c>
      <c r="J40" s="719"/>
      <c r="K40" s="24">
        <f t="shared" si="16"/>
        <v>0</v>
      </c>
      <c r="L40" s="719"/>
      <c r="M40" s="24">
        <f t="shared" si="17"/>
        <v>0.02</v>
      </c>
      <c r="N40" s="719"/>
      <c r="O40" s="24">
        <f t="shared" si="18"/>
        <v>1</v>
      </c>
      <c r="P40" s="719"/>
      <c r="Q40" s="24">
        <f t="shared" si="19"/>
        <v>1</v>
      </c>
      <c r="R40" s="715">
        <f t="shared" si="20"/>
        <v>0</v>
      </c>
      <c r="S40" s="361">
        <f t="shared" si="11"/>
        <v>0</v>
      </c>
    </row>
    <row r="41" spans="1:19">
      <c r="A41" s="159"/>
      <c r="B41" s="59"/>
      <c r="C41" s="24">
        <f t="shared" si="12"/>
        <v>1</v>
      </c>
      <c r="D41" s="719"/>
      <c r="E41" s="24">
        <f t="shared" si="13"/>
        <v>4.4999999999999998E-2</v>
      </c>
      <c r="F41" s="719"/>
      <c r="G41" s="24">
        <f t="shared" si="14"/>
        <v>0.15</v>
      </c>
      <c r="H41" s="719"/>
      <c r="I41" s="24">
        <f t="shared" si="15"/>
        <v>0</v>
      </c>
      <c r="J41" s="719"/>
      <c r="K41" s="24">
        <f t="shared" si="16"/>
        <v>0</v>
      </c>
      <c r="L41" s="719"/>
      <c r="M41" s="24">
        <f t="shared" si="17"/>
        <v>0.02</v>
      </c>
      <c r="N41" s="719"/>
      <c r="O41" s="24">
        <f t="shared" si="18"/>
        <v>1</v>
      </c>
      <c r="P41" s="719"/>
      <c r="Q41" s="24">
        <f t="shared" si="19"/>
        <v>1</v>
      </c>
      <c r="R41" s="715">
        <f t="shared" si="20"/>
        <v>0</v>
      </c>
      <c r="S41" s="361">
        <f t="shared" si="11"/>
        <v>0</v>
      </c>
    </row>
    <row r="42" spans="1:19">
      <c r="A42" s="159"/>
      <c r="B42" s="59"/>
      <c r="C42" s="24">
        <f t="shared" si="12"/>
        <v>1</v>
      </c>
      <c r="D42" s="719"/>
      <c r="E42" s="24">
        <f t="shared" si="13"/>
        <v>4.4999999999999998E-2</v>
      </c>
      <c r="F42" s="719"/>
      <c r="G42" s="24">
        <f t="shared" si="14"/>
        <v>0.15</v>
      </c>
      <c r="H42" s="719"/>
      <c r="I42" s="24">
        <f t="shared" si="15"/>
        <v>0</v>
      </c>
      <c r="J42" s="719"/>
      <c r="K42" s="24">
        <f t="shared" si="16"/>
        <v>0</v>
      </c>
      <c r="L42" s="719"/>
      <c r="M42" s="24">
        <f t="shared" si="17"/>
        <v>0.02</v>
      </c>
      <c r="N42" s="719"/>
      <c r="O42" s="24">
        <f t="shared" si="18"/>
        <v>1</v>
      </c>
      <c r="P42" s="719"/>
      <c r="Q42" s="24">
        <f t="shared" si="19"/>
        <v>1</v>
      </c>
      <c r="R42" s="715">
        <f t="shared" si="20"/>
        <v>0</v>
      </c>
      <c r="S42" s="361">
        <f t="shared" si="11"/>
        <v>0</v>
      </c>
    </row>
    <row r="43" spans="1:19">
      <c r="A43" s="159"/>
      <c r="B43" s="59"/>
      <c r="C43" s="24">
        <f t="shared" si="12"/>
        <v>1</v>
      </c>
      <c r="D43" s="719"/>
      <c r="E43" s="24">
        <f t="shared" si="13"/>
        <v>4.4999999999999998E-2</v>
      </c>
      <c r="F43" s="719"/>
      <c r="G43" s="24">
        <f t="shared" si="14"/>
        <v>0.15</v>
      </c>
      <c r="H43" s="719"/>
      <c r="I43" s="24">
        <f t="shared" si="15"/>
        <v>0</v>
      </c>
      <c r="J43" s="719"/>
      <c r="K43" s="24">
        <f t="shared" si="16"/>
        <v>0</v>
      </c>
      <c r="L43" s="719"/>
      <c r="M43" s="24">
        <f t="shared" si="17"/>
        <v>0.02</v>
      </c>
      <c r="N43" s="719"/>
      <c r="O43" s="24">
        <f t="shared" si="18"/>
        <v>1</v>
      </c>
      <c r="P43" s="719"/>
      <c r="Q43" s="24">
        <f t="shared" si="19"/>
        <v>1</v>
      </c>
      <c r="R43" s="715">
        <f t="shared" si="20"/>
        <v>0</v>
      </c>
      <c r="S43" s="361">
        <f t="shared" si="11"/>
        <v>0</v>
      </c>
    </row>
    <row r="44" spans="1:19">
      <c r="A44" s="159"/>
      <c r="B44" s="59"/>
      <c r="C44" s="24">
        <f t="shared" si="12"/>
        <v>1</v>
      </c>
      <c r="D44" s="719"/>
      <c r="E44" s="24">
        <f t="shared" si="13"/>
        <v>4.4999999999999998E-2</v>
      </c>
      <c r="F44" s="719"/>
      <c r="G44" s="24">
        <f t="shared" si="14"/>
        <v>0.15</v>
      </c>
      <c r="H44" s="719"/>
      <c r="I44" s="24">
        <f t="shared" si="15"/>
        <v>0</v>
      </c>
      <c r="J44" s="719"/>
      <c r="K44" s="24">
        <f t="shared" si="16"/>
        <v>0</v>
      </c>
      <c r="L44" s="719"/>
      <c r="M44" s="24">
        <f t="shared" si="17"/>
        <v>0.02</v>
      </c>
      <c r="N44" s="719"/>
      <c r="O44" s="24">
        <f t="shared" si="18"/>
        <v>1</v>
      </c>
      <c r="P44" s="719"/>
      <c r="Q44" s="24">
        <f t="shared" si="19"/>
        <v>1</v>
      </c>
      <c r="R44" s="715">
        <f t="shared" si="20"/>
        <v>0</v>
      </c>
      <c r="S44" s="361">
        <f t="shared" si="11"/>
        <v>0</v>
      </c>
    </row>
    <row r="45" spans="1:19">
      <c r="A45" s="159"/>
      <c r="B45" s="59"/>
      <c r="C45" s="24">
        <f t="shared" si="12"/>
        <v>1</v>
      </c>
      <c r="D45" s="719"/>
      <c r="E45" s="24">
        <f t="shared" si="13"/>
        <v>4.4999999999999998E-2</v>
      </c>
      <c r="F45" s="719"/>
      <c r="G45" s="24">
        <f t="shared" si="14"/>
        <v>0.15</v>
      </c>
      <c r="H45" s="719"/>
      <c r="I45" s="24">
        <f t="shared" si="15"/>
        <v>0</v>
      </c>
      <c r="J45" s="719"/>
      <c r="K45" s="24">
        <f t="shared" si="16"/>
        <v>0</v>
      </c>
      <c r="L45" s="719"/>
      <c r="M45" s="24">
        <f t="shared" si="17"/>
        <v>0.02</v>
      </c>
      <c r="N45" s="719"/>
      <c r="O45" s="24">
        <f t="shared" si="18"/>
        <v>1</v>
      </c>
      <c r="P45" s="719"/>
      <c r="Q45" s="24">
        <f t="shared" si="19"/>
        <v>1</v>
      </c>
      <c r="R45" s="715">
        <f t="shared" si="20"/>
        <v>0</v>
      </c>
      <c r="S45" s="361">
        <f t="shared" si="11"/>
        <v>0</v>
      </c>
    </row>
    <row r="46" spans="1:19">
      <c r="A46" s="159"/>
      <c r="B46" s="59"/>
      <c r="C46" s="24">
        <f t="shared" si="12"/>
        <v>1</v>
      </c>
      <c r="D46" s="719"/>
      <c r="E46" s="24">
        <f t="shared" si="13"/>
        <v>4.4999999999999998E-2</v>
      </c>
      <c r="F46" s="719"/>
      <c r="G46" s="24">
        <f t="shared" si="14"/>
        <v>0.15</v>
      </c>
      <c r="H46" s="719"/>
      <c r="I46" s="24">
        <f t="shared" si="15"/>
        <v>0</v>
      </c>
      <c r="J46" s="719"/>
      <c r="K46" s="24">
        <f t="shared" si="16"/>
        <v>0</v>
      </c>
      <c r="L46" s="719"/>
      <c r="M46" s="24">
        <f t="shared" si="17"/>
        <v>0.02</v>
      </c>
      <c r="N46" s="719"/>
      <c r="O46" s="24">
        <f t="shared" si="18"/>
        <v>1</v>
      </c>
      <c r="P46" s="719"/>
      <c r="Q46" s="24">
        <f t="shared" si="19"/>
        <v>1</v>
      </c>
      <c r="R46" s="715">
        <f t="shared" si="20"/>
        <v>0</v>
      </c>
      <c r="S46" s="361">
        <f t="shared" si="11"/>
        <v>0</v>
      </c>
    </row>
    <row r="47" spans="1:19">
      <c r="A47" s="159"/>
      <c r="B47" s="59"/>
      <c r="C47" s="24">
        <f t="shared" si="12"/>
        <v>1</v>
      </c>
      <c r="D47" s="719"/>
      <c r="E47" s="24">
        <f t="shared" si="13"/>
        <v>4.4999999999999998E-2</v>
      </c>
      <c r="F47" s="719"/>
      <c r="G47" s="24">
        <f t="shared" si="14"/>
        <v>0.15</v>
      </c>
      <c r="H47" s="719"/>
      <c r="I47" s="24">
        <f t="shared" si="15"/>
        <v>0</v>
      </c>
      <c r="J47" s="719"/>
      <c r="K47" s="24">
        <f t="shared" si="16"/>
        <v>0</v>
      </c>
      <c r="L47" s="719"/>
      <c r="M47" s="24">
        <f t="shared" si="17"/>
        <v>0.02</v>
      </c>
      <c r="N47" s="719"/>
      <c r="O47" s="24">
        <f t="shared" si="18"/>
        <v>1</v>
      </c>
      <c r="P47" s="719"/>
      <c r="Q47" s="24">
        <f t="shared" si="19"/>
        <v>1</v>
      </c>
      <c r="R47" s="715">
        <f t="shared" si="20"/>
        <v>0</v>
      </c>
      <c r="S47" s="361">
        <f t="shared" si="11"/>
        <v>0</v>
      </c>
    </row>
    <row r="48" spans="1:19">
      <c r="A48" s="159"/>
      <c r="B48" s="59"/>
      <c r="C48" s="24">
        <f t="shared" si="12"/>
        <v>1</v>
      </c>
      <c r="D48" s="719"/>
      <c r="E48" s="24">
        <f t="shared" si="13"/>
        <v>4.4999999999999998E-2</v>
      </c>
      <c r="F48" s="719"/>
      <c r="G48" s="24">
        <f t="shared" si="14"/>
        <v>0.15</v>
      </c>
      <c r="H48" s="719"/>
      <c r="I48" s="24">
        <f t="shared" si="15"/>
        <v>0</v>
      </c>
      <c r="J48" s="719"/>
      <c r="K48" s="24">
        <f t="shared" si="16"/>
        <v>0</v>
      </c>
      <c r="L48" s="719"/>
      <c r="M48" s="24">
        <f t="shared" si="17"/>
        <v>0.02</v>
      </c>
      <c r="N48" s="719"/>
      <c r="O48" s="24">
        <f t="shared" si="18"/>
        <v>1</v>
      </c>
      <c r="P48" s="719"/>
      <c r="Q48" s="24">
        <f t="shared" si="19"/>
        <v>1</v>
      </c>
      <c r="R48" s="715">
        <f t="shared" si="20"/>
        <v>0</v>
      </c>
      <c r="S48" s="361">
        <f t="shared" si="11"/>
        <v>0</v>
      </c>
    </row>
    <row r="49" spans="1:19">
      <c r="A49" s="159"/>
      <c r="B49" s="59"/>
      <c r="C49" s="24">
        <f t="shared" si="12"/>
        <v>1</v>
      </c>
      <c r="D49" s="719"/>
      <c r="E49" s="24">
        <f t="shared" si="13"/>
        <v>4.4999999999999998E-2</v>
      </c>
      <c r="F49" s="719"/>
      <c r="G49" s="24">
        <f t="shared" si="14"/>
        <v>0.15</v>
      </c>
      <c r="H49" s="719"/>
      <c r="I49" s="24">
        <f t="shared" si="15"/>
        <v>0</v>
      </c>
      <c r="J49" s="719"/>
      <c r="K49" s="24">
        <f t="shared" si="16"/>
        <v>0</v>
      </c>
      <c r="L49" s="719"/>
      <c r="M49" s="24">
        <f t="shared" si="17"/>
        <v>0.02</v>
      </c>
      <c r="N49" s="719"/>
      <c r="O49" s="24">
        <f t="shared" si="18"/>
        <v>1</v>
      </c>
      <c r="P49" s="719"/>
      <c r="Q49" s="24">
        <f t="shared" si="19"/>
        <v>1</v>
      </c>
      <c r="R49" s="715">
        <f t="shared" si="20"/>
        <v>0</v>
      </c>
      <c r="S49" s="361">
        <f t="shared" si="11"/>
        <v>0</v>
      </c>
    </row>
    <row r="50" spans="1:19">
      <c r="A50" s="159"/>
      <c r="B50" s="59"/>
      <c r="C50" s="24">
        <f t="shared" si="12"/>
        <v>1</v>
      </c>
      <c r="D50" s="719"/>
      <c r="E50" s="24">
        <f t="shared" si="13"/>
        <v>4.4999999999999998E-2</v>
      </c>
      <c r="F50" s="719"/>
      <c r="G50" s="24">
        <f t="shared" si="14"/>
        <v>0.15</v>
      </c>
      <c r="H50" s="719"/>
      <c r="I50" s="24">
        <f t="shared" si="15"/>
        <v>0</v>
      </c>
      <c r="J50" s="719"/>
      <c r="K50" s="24">
        <f t="shared" si="16"/>
        <v>0</v>
      </c>
      <c r="L50" s="719"/>
      <c r="M50" s="24">
        <f t="shared" si="17"/>
        <v>0.02</v>
      </c>
      <c r="N50" s="719"/>
      <c r="O50" s="24">
        <f t="shared" si="18"/>
        <v>1</v>
      </c>
      <c r="P50" s="719"/>
      <c r="Q50" s="24">
        <f t="shared" si="19"/>
        <v>1</v>
      </c>
      <c r="R50" s="715">
        <f t="shared" si="20"/>
        <v>0</v>
      </c>
      <c r="S50" s="361">
        <f t="shared" si="11"/>
        <v>0</v>
      </c>
    </row>
    <row r="51" spans="1:19">
      <c r="A51" s="159"/>
      <c r="B51" s="59"/>
      <c r="C51" s="24">
        <f t="shared" si="12"/>
        <v>1</v>
      </c>
      <c r="D51" s="719"/>
      <c r="E51" s="24">
        <f t="shared" si="13"/>
        <v>4.4999999999999998E-2</v>
      </c>
      <c r="F51" s="719"/>
      <c r="G51" s="24">
        <f t="shared" si="14"/>
        <v>0.15</v>
      </c>
      <c r="H51" s="719"/>
      <c r="I51" s="24">
        <f t="shared" si="15"/>
        <v>0</v>
      </c>
      <c r="J51" s="719"/>
      <c r="K51" s="24">
        <f t="shared" si="16"/>
        <v>0</v>
      </c>
      <c r="L51" s="719"/>
      <c r="M51" s="24">
        <f t="shared" si="17"/>
        <v>0.02</v>
      </c>
      <c r="N51" s="719"/>
      <c r="O51" s="24">
        <f t="shared" si="18"/>
        <v>1</v>
      </c>
      <c r="P51" s="719"/>
      <c r="Q51" s="24">
        <f t="shared" si="19"/>
        <v>1</v>
      </c>
      <c r="R51" s="715">
        <f t="shared" si="20"/>
        <v>0</v>
      </c>
      <c r="S51" s="361">
        <f t="shared" si="11"/>
        <v>0</v>
      </c>
    </row>
    <row r="52" spans="1:19">
      <c r="A52" s="159"/>
      <c r="B52" s="59"/>
      <c r="C52" s="24">
        <f t="shared" si="12"/>
        <v>1</v>
      </c>
      <c r="D52" s="719"/>
      <c r="E52" s="24">
        <f t="shared" si="13"/>
        <v>4.4999999999999998E-2</v>
      </c>
      <c r="F52" s="719"/>
      <c r="G52" s="24">
        <f t="shared" si="14"/>
        <v>0.15</v>
      </c>
      <c r="H52" s="719"/>
      <c r="I52" s="24">
        <f t="shared" si="15"/>
        <v>0</v>
      </c>
      <c r="J52" s="719"/>
      <c r="K52" s="24">
        <f t="shared" si="16"/>
        <v>0</v>
      </c>
      <c r="L52" s="719"/>
      <c r="M52" s="24">
        <f t="shared" si="17"/>
        <v>0.02</v>
      </c>
      <c r="N52" s="719"/>
      <c r="O52" s="24">
        <f t="shared" si="18"/>
        <v>1</v>
      </c>
      <c r="P52" s="719"/>
      <c r="Q52" s="24">
        <f t="shared" si="19"/>
        <v>1</v>
      </c>
      <c r="R52" s="715">
        <f t="shared" si="20"/>
        <v>0</v>
      </c>
      <c r="S52" s="361">
        <f t="shared" si="11"/>
        <v>0</v>
      </c>
    </row>
    <row r="53" spans="1:19">
      <c r="A53" s="159"/>
      <c r="B53" s="59"/>
      <c r="C53" s="24">
        <f t="shared" si="12"/>
        <v>1</v>
      </c>
      <c r="D53" s="719"/>
      <c r="E53" s="24">
        <f t="shared" si="13"/>
        <v>4.4999999999999998E-2</v>
      </c>
      <c r="F53" s="719"/>
      <c r="G53" s="24">
        <f t="shared" si="14"/>
        <v>0.15</v>
      </c>
      <c r="H53" s="719"/>
      <c r="I53" s="24">
        <f t="shared" si="15"/>
        <v>0</v>
      </c>
      <c r="J53" s="719"/>
      <c r="K53" s="24">
        <f t="shared" si="16"/>
        <v>0</v>
      </c>
      <c r="L53" s="719"/>
      <c r="M53" s="24">
        <f t="shared" si="17"/>
        <v>0.02</v>
      </c>
      <c r="N53" s="719"/>
      <c r="O53" s="24">
        <f t="shared" si="18"/>
        <v>1</v>
      </c>
      <c r="P53" s="719"/>
      <c r="Q53" s="24">
        <f t="shared" si="19"/>
        <v>1</v>
      </c>
      <c r="R53" s="715">
        <f t="shared" si="20"/>
        <v>0</v>
      </c>
      <c r="S53" s="361">
        <f t="shared" si="11"/>
        <v>0</v>
      </c>
    </row>
    <row r="54" spans="1:19">
      <c r="A54" s="159"/>
      <c r="B54" s="59"/>
      <c r="C54" s="24">
        <f t="shared" si="12"/>
        <v>1</v>
      </c>
      <c r="D54" s="719"/>
      <c r="E54" s="24">
        <f t="shared" si="13"/>
        <v>4.4999999999999998E-2</v>
      </c>
      <c r="F54" s="719"/>
      <c r="G54" s="24">
        <f t="shared" si="14"/>
        <v>0.15</v>
      </c>
      <c r="H54" s="719"/>
      <c r="I54" s="24">
        <f t="shared" si="15"/>
        <v>0</v>
      </c>
      <c r="J54" s="719"/>
      <c r="K54" s="24">
        <f t="shared" si="16"/>
        <v>0</v>
      </c>
      <c r="L54" s="719"/>
      <c r="M54" s="24">
        <f t="shared" si="17"/>
        <v>0.02</v>
      </c>
      <c r="N54" s="719"/>
      <c r="O54" s="24">
        <f t="shared" si="18"/>
        <v>1</v>
      </c>
      <c r="P54" s="719"/>
      <c r="Q54" s="24">
        <f t="shared" si="19"/>
        <v>1</v>
      </c>
      <c r="R54" s="715">
        <f t="shared" si="20"/>
        <v>0</v>
      </c>
      <c r="S54" s="361">
        <f t="shared" si="11"/>
        <v>0</v>
      </c>
    </row>
    <row r="55" spans="1:19">
      <c r="A55" s="159"/>
      <c r="B55" s="59"/>
      <c r="C55" s="24">
        <f t="shared" si="12"/>
        <v>1</v>
      </c>
      <c r="D55" s="719"/>
      <c r="E55" s="24">
        <f t="shared" si="13"/>
        <v>4.4999999999999998E-2</v>
      </c>
      <c r="F55" s="719"/>
      <c r="G55" s="24">
        <f t="shared" si="14"/>
        <v>0.15</v>
      </c>
      <c r="H55" s="719"/>
      <c r="I55" s="24">
        <f t="shared" si="15"/>
        <v>0</v>
      </c>
      <c r="J55" s="719"/>
      <c r="K55" s="24">
        <f t="shared" si="16"/>
        <v>0</v>
      </c>
      <c r="L55" s="719"/>
      <c r="M55" s="24">
        <f t="shared" si="17"/>
        <v>0.02</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4.4999999999999998E-2</v>
      </c>
      <c r="F56" s="719"/>
      <c r="G56" s="24">
        <f t="shared" si="14"/>
        <v>0.15</v>
      </c>
      <c r="H56" s="719"/>
      <c r="I56" s="24">
        <f t="shared" si="15"/>
        <v>0</v>
      </c>
      <c r="J56" s="719"/>
      <c r="K56" s="24">
        <f t="shared" si="16"/>
        <v>0</v>
      </c>
      <c r="L56" s="719"/>
      <c r="M56" s="24">
        <f t="shared" si="17"/>
        <v>0.02</v>
      </c>
      <c r="N56" s="719"/>
      <c r="O56" s="24">
        <f t="shared" si="18"/>
        <v>1</v>
      </c>
      <c r="P56" s="719"/>
      <c r="Q56" s="24">
        <f t="shared" si="19"/>
        <v>1</v>
      </c>
      <c r="R56" s="715">
        <f t="shared" si="20"/>
        <v>0</v>
      </c>
      <c r="S56" s="361">
        <f t="shared" si="21"/>
        <v>0</v>
      </c>
    </row>
    <row r="57" spans="1:19">
      <c r="A57" s="159"/>
      <c r="B57" s="59"/>
      <c r="C57" s="24">
        <f t="shared" si="12"/>
        <v>1</v>
      </c>
      <c r="D57" s="719"/>
      <c r="E57" s="24">
        <f t="shared" si="13"/>
        <v>4.4999999999999998E-2</v>
      </c>
      <c r="F57" s="719"/>
      <c r="G57" s="24">
        <f t="shared" si="14"/>
        <v>0.15</v>
      </c>
      <c r="H57" s="719"/>
      <c r="I57" s="24">
        <f t="shared" si="15"/>
        <v>0</v>
      </c>
      <c r="J57" s="719"/>
      <c r="K57" s="24">
        <f t="shared" si="16"/>
        <v>0</v>
      </c>
      <c r="L57" s="719"/>
      <c r="M57" s="24">
        <f t="shared" si="17"/>
        <v>0.02</v>
      </c>
      <c r="N57" s="719"/>
      <c r="O57" s="24">
        <f t="shared" si="18"/>
        <v>1</v>
      </c>
      <c r="P57" s="719"/>
      <c r="Q57" s="24">
        <f t="shared" si="19"/>
        <v>1</v>
      </c>
      <c r="R57" s="715">
        <f t="shared" si="20"/>
        <v>0</v>
      </c>
      <c r="S57" s="361">
        <f t="shared" si="21"/>
        <v>0</v>
      </c>
    </row>
    <row r="58" spans="1:19">
      <c r="A58" s="159"/>
      <c r="B58" s="59"/>
      <c r="C58" s="24">
        <f t="shared" si="12"/>
        <v>1</v>
      </c>
      <c r="D58" s="719"/>
      <c r="E58" s="24">
        <f t="shared" si="13"/>
        <v>4.4999999999999998E-2</v>
      </c>
      <c r="F58" s="719"/>
      <c r="G58" s="24">
        <f t="shared" si="14"/>
        <v>0.15</v>
      </c>
      <c r="H58" s="719"/>
      <c r="I58" s="24">
        <f t="shared" si="15"/>
        <v>0</v>
      </c>
      <c r="J58" s="719"/>
      <c r="K58" s="24">
        <f t="shared" si="16"/>
        <v>0</v>
      </c>
      <c r="L58" s="719"/>
      <c r="M58" s="24">
        <f t="shared" si="17"/>
        <v>0.02</v>
      </c>
      <c r="N58" s="719"/>
      <c r="O58" s="24">
        <f t="shared" si="18"/>
        <v>1</v>
      </c>
      <c r="P58" s="719"/>
      <c r="Q58" s="24">
        <f t="shared" si="19"/>
        <v>1</v>
      </c>
      <c r="R58" s="715">
        <f t="shared" si="20"/>
        <v>0</v>
      </c>
      <c r="S58" s="361">
        <f t="shared" si="21"/>
        <v>0</v>
      </c>
    </row>
    <row r="59" spans="1:19">
      <c r="A59" s="159"/>
      <c r="B59" s="59"/>
      <c r="C59" s="24">
        <f t="shared" si="12"/>
        <v>1</v>
      </c>
      <c r="D59" s="719"/>
      <c r="E59" s="24">
        <f t="shared" si="13"/>
        <v>4.4999999999999998E-2</v>
      </c>
      <c r="F59" s="719"/>
      <c r="G59" s="24">
        <f t="shared" si="14"/>
        <v>0.15</v>
      </c>
      <c r="H59" s="719"/>
      <c r="I59" s="24">
        <f t="shared" si="15"/>
        <v>0</v>
      </c>
      <c r="J59" s="719"/>
      <c r="K59" s="24">
        <f t="shared" si="16"/>
        <v>0</v>
      </c>
      <c r="L59" s="719"/>
      <c r="M59" s="24">
        <f t="shared" si="17"/>
        <v>0.02</v>
      </c>
      <c r="N59" s="719"/>
      <c r="O59" s="24">
        <f t="shared" si="18"/>
        <v>1</v>
      </c>
      <c r="P59" s="719"/>
      <c r="Q59" s="24">
        <f t="shared" si="19"/>
        <v>1</v>
      </c>
      <c r="R59" s="715">
        <f t="shared" si="20"/>
        <v>0</v>
      </c>
      <c r="S59" s="361">
        <f t="shared" si="21"/>
        <v>0</v>
      </c>
    </row>
    <row r="60" spans="1:19">
      <c r="A60" s="159"/>
      <c r="B60" s="59"/>
      <c r="C60" s="24">
        <f t="shared" si="12"/>
        <v>1</v>
      </c>
      <c r="D60" s="719"/>
      <c r="E60" s="24">
        <f t="shared" si="13"/>
        <v>4.4999999999999998E-2</v>
      </c>
      <c r="F60" s="719"/>
      <c r="G60" s="24">
        <f t="shared" si="14"/>
        <v>0.15</v>
      </c>
      <c r="H60" s="719"/>
      <c r="I60" s="24">
        <f t="shared" si="15"/>
        <v>0</v>
      </c>
      <c r="J60" s="719"/>
      <c r="K60" s="24">
        <f t="shared" si="16"/>
        <v>0</v>
      </c>
      <c r="L60" s="719"/>
      <c r="M60" s="24">
        <f t="shared" si="17"/>
        <v>0.02</v>
      </c>
      <c r="N60" s="719"/>
      <c r="O60" s="24">
        <f t="shared" si="18"/>
        <v>1</v>
      </c>
      <c r="P60" s="719"/>
      <c r="Q60" s="24">
        <f t="shared" si="19"/>
        <v>1</v>
      </c>
      <c r="R60" s="715">
        <f t="shared" si="20"/>
        <v>0</v>
      </c>
      <c r="S60" s="361">
        <f t="shared" si="21"/>
        <v>0</v>
      </c>
    </row>
    <row r="61" spans="1:19">
      <c r="A61" s="159"/>
      <c r="B61" s="59"/>
      <c r="C61" s="24">
        <f t="shared" si="12"/>
        <v>1</v>
      </c>
      <c r="D61" s="719"/>
      <c r="E61" s="24">
        <f t="shared" si="13"/>
        <v>4.4999999999999998E-2</v>
      </c>
      <c r="F61" s="719"/>
      <c r="G61" s="24">
        <f t="shared" si="14"/>
        <v>0.15</v>
      </c>
      <c r="H61" s="719"/>
      <c r="I61" s="24">
        <f t="shared" si="15"/>
        <v>0</v>
      </c>
      <c r="J61" s="719"/>
      <c r="K61" s="24">
        <f t="shared" si="16"/>
        <v>0</v>
      </c>
      <c r="L61" s="719"/>
      <c r="M61" s="24">
        <f t="shared" si="17"/>
        <v>0.02</v>
      </c>
      <c r="N61" s="719"/>
      <c r="O61" s="24">
        <f t="shared" si="18"/>
        <v>1</v>
      </c>
      <c r="P61" s="719"/>
      <c r="Q61" s="24">
        <f t="shared" si="19"/>
        <v>1</v>
      </c>
      <c r="R61" s="715">
        <f t="shared" si="20"/>
        <v>0</v>
      </c>
      <c r="S61" s="361">
        <f t="shared" si="21"/>
        <v>0</v>
      </c>
    </row>
    <row r="62" spans="1:19">
      <c r="A62" s="159"/>
      <c r="B62" s="59"/>
      <c r="C62" s="24">
        <f t="shared" si="12"/>
        <v>1</v>
      </c>
      <c r="D62" s="719"/>
      <c r="E62" s="24">
        <f t="shared" si="13"/>
        <v>4.4999999999999998E-2</v>
      </c>
      <c r="F62" s="719"/>
      <c r="G62" s="24">
        <f t="shared" si="14"/>
        <v>0.15</v>
      </c>
      <c r="H62" s="719"/>
      <c r="I62" s="24">
        <f t="shared" si="15"/>
        <v>0</v>
      </c>
      <c r="J62" s="719"/>
      <c r="K62" s="24">
        <f t="shared" si="16"/>
        <v>0</v>
      </c>
      <c r="L62" s="719"/>
      <c r="M62" s="24">
        <f t="shared" si="17"/>
        <v>0.02</v>
      </c>
      <c r="N62" s="719"/>
      <c r="O62" s="24">
        <f t="shared" si="18"/>
        <v>1</v>
      </c>
      <c r="P62" s="719"/>
      <c r="Q62" s="24">
        <f t="shared" si="19"/>
        <v>1</v>
      </c>
      <c r="R62" s="715">
        <f t="shared" si="20"/>
        <v>0</v>
      </c>
      <c r="S62" s="361">
        <f t="shared" si="21"/>
        <v>0</v>
      </c>
    </row>
    <row r="63" spans="1:19">
      <c r="A63" s="159"/>
      <c r="B63" s="59"/>
      <c r="C63" s="24">
        <f t="shared" si="12"/>
        <v>1</v>
      </c>
      <c r="D63" s="719"/>
      <c r="E63" s="24">
        <f t="shared" si="13"/>
        <v>4.4999999999999998E-2</v>
      </c>
      <c r="F63" s="719"/>
      <c r="G63" s="24">
        <f t="shared" si="14"/>
        <v>0.15</v>
      </c>
      <c r="H63" s="719"/>
      <c r="I63" s="24">
        <f t="shared" si="15"/>
        <v>0</v>
      </c>
      <c r="J63" s="719"/>
      <c r="K63" s="24">
        <f t="shared" si="16"/>
        <v>0</v>
      </c>
      <c r="L63" s="719"/>
      <c r="M63" s="24">
        <f t="shared" si="17"/>
        <v>0.02</v>
      </c>
      <c r="N63" s="719"/>
      <c r="O63" s="24">
        <f t="shared" si="18"/>
        <v>1</v>
      </c>
      <c r="P63" s="719"/>
      <c r="Q63" s="24">
        <f t="shared" si="19"/>
        <v>1</v>
      </c>
      <c r="R63" s="715">
        <f t="shared" si="20"/>
        <v>0</v>
      </c>
      <c r="S63" s="361">
        <f t="shared" si="21"/>
        <v>0</v>
      </c>
    </row>
    <row r="64" spans="1:19">
      <c r="A64" s="159"/>
      <c r="B64" s="59"/>
      <c r="C64" s="24">
        <f t="shared" si="12"/>
        <v>1</v>
      </c>
      <c r="D64" s="719"/>
      <c r="E64" s="24">
        <f t="shared" si="13"/>
        <v>4.4999999999999998E-2</v>
      </c>
      <c r="F64" s="719"/>
      <c r="G64" s="24">
        <f t="shared" si="14"/>
        <v>0.15</v>
      </c>
      <c r="H64" s="719"/>
      <c r="I64" s="24">
        <f t="shared" si="15"/>
        <v>0</v>
      </c>
      <c r="J64" s="719"/>
      <c r="K64" s="24">
        <f t="shared" si="16"/>
        <v>0</v>
      </c>
      <c r="L64" s="719"/>
      <c r="M64" s="24">
        <f t="shared" si="17"/>
        <v>0.02</v>
      </c>
      <c r="N64" s="719"/>
      <c r="O64" s="24">
        <f t="shared" si="18"/>
        <v>1</v>
      </c>
      <c r="P64" s="719"/>
      <c r="Q64" s="24">
        <f t="shared" si="19"/>
        <v>1</v>
      </c>
      <c r="R64" s="715">
        <f t="shared" si="20"/>
        <v>0</v>
      </c>
      <c r="S64" s="361">
        <f t="shared" si="21"/>
        <v>0</v>
      </c>
    </row>
    <row r="65" spans="1:19">
      <c r="A65" s="159"/>
      <c r="B65" s="59"/>
      <c r="C65" s="24">
        <f t="shared" si="12"/>
        <v>1</v>
      </c>
      <c r="D65" s="719"/>
      <c r="E65" s="24">
        <f t="shared" si="13"/>
        <v>4.4999999999999998E-2</v>
      </c>
      <c r="F65" s="719"/>
      <c r="G65" s="24">
        <f t="shared" si="14"/>
        <v>0.15</v>
      </c>
      <c r="H65" s="719"/>
      <c r="I65" s="24">
        <f t="shared" si="15"/>
        <v>0</v>
      </c>
      <c r="J65" s="719"/>
      <c r="K65" s="24">
        <f t="shared" si="16"/>
        <v>0</v>
      </c>
      <c r="L65" s="719"/>
      <c r="M65" s="24">
        <f t="shared" si="17"/>
        <v>0.02</v>
      </c>
      <c r="N65" s="719"/>
      <c r="O65" s="24">
        <f t="shared" si="18"/>
        <v>1</v>
      </c>
      <c r="P65" s="719"/>
      <c r="Q65" s="24">
        <f t="shared" si="19"/>
        <v>1</v>
      </c>
      <c r="R65" s="715">
        <f t="shared" si="20"/>
        <v>0</v>
      </c>
      <c r="S65" s="361">
        <f t="shared" si="21"/>
        <v>0</v>
      </c>
    </row>
    <row r="66" spans="1:19">
      <c r="A66" s="159"/>
      <c r="B66" s="59"/>
      <c r="C66" s="24">
        <f t="shared" si="12"/>
        <v>1</v>
      </c>
      <c r="D66" s="719"/>
      <c r="E66" s="24">
        <f t="shared" si="13"/>
        <v>4.4999999999999998E-2</v>
      </c>
      <c r="F66" s="719"/>
      <c r="G66" s="24">
        <f t="shared" si="14"/>
        <v>0.15</v>
      </c>
      <c r="H66" s="719"/>
      <c r="I66" s="24">
        <f t="shared" si="15"/>
        <v>0</v>
      </c>
      <c r="J66" s="719"/>
      <c r="K66" s="24">
        <f t="shared" si="16"/>
        <v>0</v>
      </c>
      <c r="L66" s="719"/>
      <c r="M66" s="24">
        <f t="shared" si="17"/>
        <v>0.02</v>
      </c>
      <c r="N66" s="719"/>
      <c r="O66" s="24">
        <f t="shared" si="18"/>
        <v>1</v>
      </c>
      <c r="P66" s="719"/>
      <c r="Q66" s="24">
        <f t="shared" si="19"/>
        <v>1</v>
      </c>
      <c r="R66" s="715">
        <f t="shared" si="20"/>
        <v>0</v>
      </c>
      <c r="S66" s="361">
        <f t="shared" si="21"/>
        <v>0</v>
      </c>
    </row>
    <row r="67" spans="1:19">
      <c r="A67" s="159"/>
      <c r="B67" s="59"/>
      <c r="C67" s="24">
        <f t="shared" si="12"/>
        <v>1</v>
      </c>
      <c r="D67" s="719"/>
      <c r="E67" s="24">
        <f t="shared" si="13"/>
        <v>4.4999999999999998E-2</v>
      </c>
      <c r="F67" s="719"/>
      <c r="G67" s="24">
        <f t="shared" si="14"/>
        <v>0.15</v>
      </c>
      <c r="H67" s="719"/>
      <c r="I67" s="24">
        <f t="shared" si="15"/>
        <v>0</v>
      </c>
      <c r="J67" s="719"/>
      <c r="K67" s="24">
        <f t="shared" si="16"/>
        <v>0</v>
      </c>
      <c r="L67" s="719"/>
      <c r="M67" s="24">
        <f t="shared" si="17"/>
        <v>0.02</v>
      </c>
      <c r="N67" s="719"/>
      <c r="O67" s="24">
        <f t="shared" si="18"/>
        <v>1</v>
      </c>
      <c r="P67" s="719"/>
      <c r="Q67" s="24">
        <f t="shared" si="19"/>
        <v>1</v>
      </c>
      <c r="R67" s="715">
        <f t="shared" si="20"/>
        <v>0</v>
      </c>
      <c r="S67" s="361">
        <f t="shared" si="21"/>
        <v>0</v>
      </c>
    </row>
    <row r="68" spans="1:19">
      <c r="A68" s="159"/>
      <c r="B68" s="59"/>
      <c r="C68" s="24">
        <f t="shared" si="12"/>
        <v>1</v>
      </c>
      <c r="D68" s="719"/>
      <c r="E68" s="24">
        <f t="shared" si="13"/>
        <v>4.4999999999999998E-2</v>
      </c>
      <c r="F68" s="719"/>
      <c r="G68" s="24">
        <f t="shared" si="14"/>
        <v>0.15</v>
      </c>
      <c r="H68" s="719"/>
      <c r="I68" s="24">
        <f t="shared" si="15"/>
        <v>0</v>
      </c>
      <c r="J68" s="719"/>
      <c r="K68" s="24">
        <f t="shared" si="16"/>
        <v>0</v>
      </c>
      <c r="L68" s="719"/>
      <c r="M68" s="24">
        <f t="shared" si="17"/>
        <v>0.02</v>
      </c>
      <c r="N68" s="719"/>
      <c r="O68" s="24">
        <f t="shared" si="18"/>
        <v>1</v>
      </c>
      <c r="P68" s="719"/>
      <c r="Q68" s="24">
        <f t="shared" si="19"/>
        <v>1</v>
      </c>
      <c r="R68" s="715">
        <f t="shared" si="20"/>
        <v>0</v>
      </c>
      <c r="S68" s="361">
        <f t="shared" si="21"/>
        <v>0</v>
      </c>
    </row>
    <row r="69" spans="1:19">
      <c r="A69" s="159"/>
      <c r="B69" s="59"/>
      <c r="C69" s="24">
        <f t="shared" si="12"/>
        <v>1</v>
      </c>
      <c r="D69" s="719"/>
      <c r="E69" s="24">
        <f t="shared" si="13"/>
        <v>4.4999999999999998E-2</v>
      </c>
      <c r="F69" s="719"/>
      <c r="G69" s="24">
        <f t="shared" si="14"/>
        <v>0.15</v>
      </c>
      <c r="H69" s="719"/>
      <c r="I69" s="24">
        <f t="shared" si="15"/>
        <v>0</v>
      </c>
      <c r="J69" s="719"/>
      <c r="K69" s="24">
        <f t="shared" si="16"/>
        <v>0</v>
      </c>
      <c r="L69" s="719"/>
      <c r="M69" s="24">
        <f t="shared" si="17"/>
        <v>0.02</v>
      </c>
      <c r="N69" s="719"/>
      <c r="O69" s="24">
        <f t="shared" si="18"/>
        <v>1</v>
      </c>
      <c r="P69" s="719"/>
      <c r="Q69" s="24">
        <f t="shared" si="19"/>
        <v>1</v>
      </c>
      <c r="R69" s="715">
        <f t="shared" si="20"/>
        <v>0</v>
      </c>
      <c r="S69" s="361">
        <f t="shared" si="21"/>
        <v>0</v>
      </c>
    </row>
    <row r="70" spans="1:19">
      <c r="A70" s="159"/>
      <c r="B70" s="59"/>
      <c r="C70" s="24">
        <f t="shared" si="12"/>
        <v>1</v>
      </c>
      <c r="D70" s="719"/>
      <c r="E70" s="24">
        <f t="shared" si="13"/>
        <v>4.4999999999999998E-2</v>
      </c>
      <c r="F70" s="719"/>
      <c r="G70" s="24">
        <f t="shared" si="14"/>
        <v>0.15</v>
      </c>
      <c r="H70" s="719"/>
      <c r="I70" s="24">
        <f t="shared" si="15"/>
        <v>0</v>
      </c>
      <c r="J70" s="719"/>
      <c r="K70" s="24">
        <f t="shared" si="16"/>
        <v>0</v>
      </c>
      <c r="L70" s="719"/>
      <c r="M70" s="24">
        <f t="shared" si="17"/>
        <v>0.02</v>
      </c>
      <c r="N70" s="719"/>
      <c r="O70" s="24">
        <f t="shared" si="18"/>
        <v>1</v>
      </c>
      <c r="P70" s="719"/>
      <c r="Q70" s="24">
        <f t="shared" si="19"/>
        <v>1</v>
      </c>
      <c r="R70" s="715">
        <f t="shared" si="20"/>
        <v>0</v>
      </c>
      <c r="S70" s="361">
        <f t="shared" si="21"/>
        <v>0</v>
      </c>
    </row>
    <row r="71" spans="1:19">
      <c r="A71" s="159"/>
      <c r="B71" s="59"/>
      <c r="C71" s="24">
        <f t="shared" si="12"/>
        <v>1</v>
      </c>
      <c r="D71" s="719"/>
      <c r="E71" s="24">
        <f t="shared" si="13"/>
        <v>4.4999999999999998E-2</v>
      </c>
      <c r="F71" s="719"/>
      <c r="G71" s="24">
        <f t="shared" si="14"/>
        <v>0.15</v>
      </c>
      <c r="H71" s="719"/>
      <c r="I71" s="24">
        <f t="shared" si="15"/>
        <v>0</v>
      </c>
      <c r="J71" s="719"/>
      <c r="K71" s="24">
        <f t="shared" si="16"/>
        <v>0</v>
      </c>
      <c r="L71" s="719"/>
      <c r="M71" s="24">
        <f t="shared" si="17"/>
        <v>0.02</v>
      </c>
      <c r="N71" s="719"/>
      <c r="O71" s="24">
        <f t="shared" si="18"/>
        <v>1</v>
      </c>
      <c r="P71" s="719"/>
      <c r="Q71" s="24">
        <f t="shared" si="19"/>
        <v>1</v>
      </c>
      <c r="R71" s="715">
        <f t="shared" si="20"/>
        <v>0</v>
      </c>
      <c r="S71" s="361">
        <f t="shared" si="21"/>
        <v>0</v>
      </c>
    </row>
    <row r="72" spans="1:19">
      <c r="A72" s="159"/>
      <c r="B72" s="59"/>
      <c r="C72" s="24">
        <f t="shared" si="12"/>
        <v>1</v>
      </c>
      <c r="D72" s="719"/>
      <c r="E72" s="24">
        <f t="shared" si="13"/>
        <v>4.4999999999999998E-2</v>
      </c>
      <c r="F72" s="719"/>
      <c r="G72" s="24">
        <f t="shared" si="14"/>
        <v>0.15</v>
      </c>
      <c r="H72" s="719"/>
      <c r="I72" s="24">
        <f t="shared" si="15"/>
        <v>0</v>
      </c>
      <c r="J72" s="719"/>
      <c r="K72" s="24">
        <f t="shared" si="16"/>
        <v>0</v>
      </c>
      <c r="L72" s="719"/>
      <c r="M72" s="24">
        <f t="shared" si="17"/>
        <v>0.02</v>
      </c>
      <c r="N72" s="719"/>
      <c r="O72" s="24">
        <f t="shared" si="18"/>
        <v>1</v>
      </c>
      <c r="P72" s="719"/>
      <c r="Q72" s="24">
        <f t="shared" si="19"/>
        <v>1</v>
      </c>
      <c r="R72" s="715">
        <f t="shared" si="20"/>
        <v>0</v>
      </c>
      <c r="S72" s="361">
        <f t="shared" si="21"/>
        <v>0</v>
      </c>
    </row>
    <row r="73" spans="1:19">
      <c r="A73" s="159"/>
      <c r="B73" s="59"/>
      <c r="C73" s="24">
        <f t="shared" si="12"/>
        <v>1</v>
      </c>
      <c r="D73" s="719"/>
      <c r="E73" s="24">
        <f t="shared" si="13"/>
        <v>4.4999999999999998E-2</v>
      </c>
      <c r="F73" s="719"/>
      <c r="G73" s="24">
        <f t="shared" si="14"/>
        <v>0.15</v>
      </c>
      <c r="H73" s="719"/>
      <c r="I73" s="24">
        <f t="shared" si="15"/>
        <v>0</v>
      </c>
      <c r="J73" s="719"/>
      <c r="K73" s="24">
        <f t="shared" si="16"/>
        <v>0</v>
      </c>
      <c r="L73" s="719"/>
      <c r="M73" s="24">
        <f t="shared" si="17"/>
        <v>0.02</v>
      </c>
      <c r="N73" s="719"/>
      <c r="O73" s="24">
        <f t="shared" si="18"/>
        <v>1</v>
      </c>
      <c r="P73" s="719"/>
      <c r="Q73" s="24">
        <f t="shared" si="19"/>
        <v>1</v>
      </c>
      <c r="R73" s="715">
        <f t="shared" si="20"/>
        <v>0</v>
      </c>
      <c r="S73" s="361">
        <f t="shared" si="21"/>
        <v>0</v>
      </c>
    </row>
    <row r="74" spans="1:19">
      <c r="A74" s="159"/>
      <c r="B74" s="59"/>
      <c r="C74" s="24">
        <f t="shared" si="12"/>
        <v>1</v>
      </c>
      <c r="D74" s="719"/>
      <c r="E74" s="24">
        <f t="shared" si="13"/>
        <v>4.4999999999999998E-2</v>
      </c>
      <c r="F74" s="719"/>
      <c r="G74" s="24">
        <f t="shared" si="14"/>
        <v>0.15</v>
      </c>
      <c r="H74" s="719"/>
      <c r="I74" s="24">
        <f t="shared" si="15"/>
        <v>0</v>
      </c>
      <c r="J74" s="719"/>
      <c r="K74" s="24">
        <f t="shared" si="16"/>
        <v>0</v>
      </c>
      <c r="L74" s="719"/>
      <c r="M74" s="24">
        <f t="shared" si="17"/>
        <v>0.02</v>
      </c>
      <c r="N74" s="719"/>
      <c r="O74" s="24">
        <f t="shared" si="18"/>
        <v>1</v>
      </c>
      <c r="P74" s="719"/>
      <c r="Q74" s="24">
        <f t="shared" si="19"/>
        <v>1</v>
      </c>
      <c r="R74" s="715">
        <f t="shared" si="20"/>
        <v>0</v>
      </c>
      <c r="S74" s="361">
        <f t="shared" si="21"/>
        <v>0</v>
      </c>
    </row>
    <row r="75" spans="1:19">
      <c r="A75" s="159"/>
      <c r="B75" s="59"/>
      <c r="C75" s="24">
        <f t="shared" si="12"/>
        <v>1</v>
      </c>
      <c r="D75" s="719"/>
      <c r="E75" s="24">
        <f t="shared" si="13"/>
        <v>4.4999999999999998E-2</v>
      </c>
      <c r="F75" s="719"/>
      <c r="G75" s="24">
        <f t="shared" si="14"/>
        <v>0.15</v>
      </c>
      <c r="H75" s="719"/>
      <c r="I75" s="24">
        <f t="shared" si="15"/>
        <v>0</v>
      </c>
      <c r="J75" s="719"/>
      <c r="K75" s="24">
        <f t="shared" si="16"/>
        <v>0</v>
      </c>
      <c r="L75" s="719"/>
      <c r="M75" s="24">
        <f t="shared" si="17"/>
        <v>0.02</v>
      </c>
      <c r="N75" s="719"/>
      <c r="O75" s="24">
        <f t="shared" si="18"/>
        <v>1</v>
      </c>
      <c r="P75" s="719"/>
      <c r="Q75" s="24">
        <f t="shared" si="19"/>
        <v>1</v>
      </c>
      <c r="R75" s="715">
        <f t="shared" si="20"/>
        <v>0</v>
      </c>
      <c r="S75" s="361">
        <f t="shared" si="21"/>
        <v>0</v>
      </c>
    </row>
    <row r="76" spans="1:19">
      <c r="A76" s="159"/>
      <c r="B76" s="59"/>
      <c r="C76" s="24">
        <f t="shared" si="12"/>
        <v>1</v>
      </c>
      <c r="D76" s="719"/>
      <c r="E76" s="24">
        <f t="shared" si="13"/>
        <v>4.4999999999999998E-2</v>
      </c>
      <c r="F76" s="719"/>
      <c r="G76" s="24">
        <f t="shared" si="14"/>
        <v>0.15</v>
      </c>
      <c r="H76" s="719"/>
      <c r="I76" s="24">
        <f t="shared" si="15"/>
        <v>0</v>
      </c>
      <c r="J76" s="719"/>
      <c r="K76" s="24">
        <f t="shared" si="16"/>
        <v>0</v>
      </c>
      <c r="L76" s="719"/>
      <c r="M76" s="24">
        <f t="shared" si="17"/>
        <v>0.02</v>
      </c>
      <c r="N76" s="719"/>
      <c r="O76" s="24">
        <f t="shared" si="18"/>
        <v>1</v>
      </c>
      <c r="P76" s="719"/>
      <c r="Q76" s="24">
        <f t="shared" si="19"/>
        <v>1</v>
      </c>
      <c r="R76" s="715">
        <f t="shared" si="20"/>
        <v>0</v>
      </c>
      <c r="S76" s="361">
        <f t="shared" si="21"/>
        <v>0</v>
      </c>
    </row>
    <row r="77" spans="1:19">
      <c r="A77" s="159"/>
      <c r="B77" s="59"/>
      <c r="C77" s="24">
        <f t="shared" si="12"/>
        <v>1</v>
      </c>
      <c r="D77" s="719"/>
      <c r="E77" s="24">
        <f t="shared" si="13"/>
        <v>4.4999999999999998E-2</v>
      </c>
      <c r="F77" s="719"/>
      <c r="G77" s="24">
        <f t="shared" si="14"/>
        <v>0.15</v>
      </c>
      <c r="H77" s="719"/>
      <c r="I77" s="24">
        <f t="shared" si="15"/>
        <v>0</v>
      </c>
      <c r="J77" s="719"/>
      <c r="K77" s="24">
        <f t="shared" si="16"/>
        <v>0</v>
      </c>
      <c r="L77" s="719"/>
      <c r="M77" s="24">
        <f t="shared" si="17"/>
        <v>0.02</v>
      </c>
      <c r="N77" s="719"/>
      <c r="O77" s="24">
        <f t="shared" si="18"/>
        <v>1</v>
      </c>
      <c r="P77" s="719"/>
      <c r="Q77" s="24">
        <f t="shared" si="19"/>
        <v>1</v>
      </c>
      <c r="R77" s="715">
        <f t="shared" si="20"/>
        <v>0</v>
      </c>
      <c r="S77" s="361">
        <f t="shared" si="21"/>
        <v>0</v>
      </c>
    </row>
    <row r="78" spans="1:19">
      <c r="A78" s="159"/>
      <c r="B78" s="59"/>
      <c r="C78" s="24">
        <f t="shared" si="12"/>
        <v>1</v>
      </c>
      <c r="D78" s="719"/>
      <c r="E78" s="24">
        <f t="shared" si="13"/>
        <v>4.4999999999999998E-2</v>
      </c>
      <c r="F78" s="719"/>
      <c r="G78" s="24">
        <f t="shared" si="14"/>
        <v>0.15</v>
      </c>
      <c r="H78" s="719"/>
      <c r="I78" s="24">
        <f t="shared" si="15"/>
        <v>0</v>
      </c>
      <c r="J78" s="719"/>
      <c r="K78" s="24">
        <f t="shared" si="16"/>
        <v>0</v>
      </c>
      <c r="L78" s="719"/>
      <c r="M78" s="24">
        <f t="shared" si="17"/>
        <v>0.02</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4.4999999999999998E-2</v>
      </c>
      <c r="F79" s="719"/>
      <c r="G79" s="24">
        <f t="shared" si="14"/>
        <v>0.15</v>
      </c>
      <c r="H79" s="719"/>
      <c r="I79" s="24">
        <f t="shared" si="15"/>
        <v>0</v>
      </c>
      <c r="J79" s="719"/>
      <c r="K79" s="24">
        <f t="shared" si="16"/>
        <v>0</v>
      </c>
      <c r="L79" s="719"/>
      <c r="M79" s="24">
        <f t="shared" si="17"/>
        <v>0.02</v>
      </c>
      <c r="N79" s="719"/>
      <c r="O79" s="24">
        <f t="shared" si="18"/>
        <v>1</v>
      </c>
      <c r="P79" s="719"/>
      <c r="Q79" s="24">
        <f t="shared" si="19"/>
        <v>1</v>
      </c>
      <c r="R79" s="715">
        <f t="shared" si="20"/>
        <v>0</v>
      </c>
      <c r="S79" s="361">
        <f t="shared" si="22"/>
        <v>0</v>
      </c>
    </row>
    <row r="80" spans="1:19">
      <c r="A80" s="159"/>
      <c r="B80" s="59"/>
      <c r="C80" s="24">
        <f t="shared" si="12"/>
        <v>1</v>
      </c>
      <c r="D80" s="719"/>
      <c r="E80" s="24">
        <f t="shared" si="13"/>
        <v>4.4999999999999998E-2</v>
      </c>
      <c r="F80" s="719"/>
      <c r="G80" s="24">
        <f t="shared" si="14"/>
        <v>0.15</v>
      </c>
      <c r="H80" s="719"/>
      <c r="I80" s="24">
        <f t="shared" si="15"/>
        <v>0</v>
      </c>
      <c r="J80" s="719"/>
      <c r="K80" s="24">
        <f t="shared" si="16"/>
        <v>0</v>
      </c>
      <c r="L80" s="719"/>
      <c r="M80" s="24">
        <f t="shared" si="17"/>
        <v>0.02</v>
      </c>
      <c r="N80" s="719"/>
      <c r="O80" s="24">
        <f t="shared" si="18"/>
        <v>1</v>
      </c>
      <c r="P80" s="719"/>
      <c r="Q80" s="24">
        <f t="shared" si="19"/>
        <v>1</v>
      </c>
      <c r="R80" s="715">
        <f t="shared" si="20"/>
        <v>0</v>
      </c>
      <c r="S80" s="361">
        <f t="shared" si="22"/>
        <v>0</v>
      </c>
    </row>
    <row r="81" spans="1:19">
      <c r="A81" s="159"/>
      <c r="B81" s="59"/>
      <c r="C81" s="24">
        <f t="shared" si="12"/>
        <v>1</v>
      </c>
      <c r="D81" s="719"/>
      <c r="E81" s="24">
        <f t="shared" si="13"/>
        <v>4.4999999999999998E-2</v>
      </c>
      <c r="F81" s="719"/>
      <c r="G81" s="24">
        <f t="shared" si="14"/>
        <v>0.15</v>
      </c>
      <c r="H81" s="719"/>
      <c r="I81" s="24">
        <f t="shared" si="15"/>
        <v>0</v>
      </c>
      <c r="J81" s="719"/>
      <c r="K81" s="24">
        <f t="shared" si="16"/>
        <v>0</v>
      </c>
      <c r="L81" s="719"/>
      <c r="M81" s="24">
        <f t="shared" si="17"/>
        <v>0.02</v>
      </c>
      <c r="N81" s="719"/>
      <c r="O81" s="24">
        <f t="shared" si="18"/>
        <v>1</v>
      </c>
      <c r="P81" s="719"/>
      <c r="Q81" s="24">
        <f t="shared" si="19"/>
        <v>1</v>
      </c>
      <c r="R81" s="715">
        <f t="shared" si="20"/>
        <v>0</v>
      </c>
      <c r="S81" s="361">
        <f t="shared" si="22"/>
        <v>0</v>
      </c>
    </row>
    <row r="82" spans="1:19">
      <c r="A82" s="159"/>
      <c r="B82" s="59"/>
      <c r="C82" s="24">
        <f t="shared" si="12"/>
        <v>1</v>
      </c>
      <c r="D82" s="719"/>
      <c r="E82" s="24">
        <f t="shared" si="13"/>
        <v>4.4999999999999998E-2</v>
      </c>
      <c r="F82" s="719"/>
      <c r="G82" s="24">
        <f t="shared" si="14"/>
        <v>0.15</v>
      </c>
      <c r="H82" s="719"/>
      <c r="I82" s="24">
        <f t="shared" si="15"/>
        <v>0</v>
      </c>
      <c r="J82" s="719"/>
      <c r="K82" s="24">
        <f t="shared" si="16"/>
        <v>0</v>
      </c>
      <c r="L82" s="719"/>
      <c r="M82" s="24">
        <f t="shared" si="17"/>
        <v>0.02</v>
      </c>
      <c r="N82" s="719"/>
      <c r="O82" s="24">
        <f t="shared" si="18"/>
        <v>1</v>
      </c>
      <c r="P82" s="719"/>
      <c r="Q82" s="24">
        <f t="shared" si="19"/>
        <v>1</v>
      </c>
      <c r="R82" s="715">
        <f t="shared" si="20"/>
        <v>0</v>
      </c>
      <c r="S82" s="361">
        <f t="shared" si="22"/>
        <v>0</v>
      </c>
    </row>
    <row r="83" spans="1:19">
      <c r="A83" s="159"/>
      <c r="B83" s="59"/>
      <c r="C83" s="24">
        <f t="shared" si="12"/>
        <v>1</v>
      </c>
      <c r="D83" s="719"/>
      <c r="E83" s="24">
        <f t="shared" si="13"/>
        <v>4.4999999999999998E-2</v>
      </c>
      <c r="F83" s="719"/>
      <c r="G83" s="24">
        <f t="shared" si="14"/>
        <v>0.15</v>
      </c>
      <c r="H83" s="719"/>
      <c r="I83" s="24">
        <f t="shared" si="15"/>
        <v>0</v>
      </c>
      <c r="J83" s="719"/>
      <c r="K83" s="24">
        <f t="shared" si="16"/>
        <v>0</v>
      </c>
      <c r="L83" s="719"/>
      <c r="M83" s="24">
        <f t="shared" si="17"/>
        <v>0.02</v>
      </c>
      <c r="N83" s="719"/>
      <c r="O83" s="24">
        <f t="shared" si="18"/>
        <v>1</v>
      </c>
      <c r="P83" s="719"/>
      <c r="Q83" s="24">
        <f t="shared" si="19"/>
        <v>1</v>
      </c>
      <c r="R83" s="715">
        <f t="shared" si="20"/>
        <v>0</v>
      </c>
      <c r="S83" s="361">
        <f t="shared" si="22"/>
        <v>0</v>
      </c>
    </row>
    <row r="84" spans="1:19">
      <c r="A84" s="159"/>
      <c r="B84" s="59"/>
      <c r="C84" s="24">
        <f t="shared" si="12"/>
        <v>1</v>
      </c>
      <c r="D84" s="719"/>
      <c r="E84" s="24">
        <f t="shared" si="13"/>
        <v>4.4999999999999998E-2</v>
      </c>
      <c r="F84" s="719"/>
      <c r="G84" s="24">
        <f t="shared" si="14"/>
        <v>0.15</v>
      </c>
      <c r="H84" s="719"/>
      <c r="I84" s="24">
        <f t="shared" si="15"/>
        <v>0</v>
      </c>
      <c r="J84" s="719"/>
      <c r="K84" s="24">
        <f t="shared" si="16"/>
        <v>0</v>
      </c>
      <c r="L84" s="719"/>
      <c r="M84" s="24">
        <f t="shared" si="17"/>
        <v>0.02</v>
      </c>
      <c r="N84" s="719"/>
      <c r="O84" s="24">
        <f t="shared" si="18"/>
        <v>1</v>
      </c>
      <c r="P84" s="719"/>
      <c r="Q84" s="24">
        <f t="shared" si="19"/>
        <v>1</v>
      </c>
      <c r="R84" s="715">
        <f t="shared" si="20"/>
        <v>0</v>
      </c>
      <c r="S84" s="361">
        <f t="shared" si="22"/>
        <v>0</v>
      </c>
    </row>
    <row r="85" spans="1:19">
      <c r="A85" s="159"/>
      <c r="B85" s="59"/>
      <c r="C85" s="24">
        <f t="shared" si="12"/>
        <v>1</v>
      </c>
      <c r="D85" s="719"/>
      <c r="E85" s="24">
        <f t="shared" si="13"/>
        <v>4.4999999999999998E-2</v>
      </c>
      <c r="F85" s="719"/>
      <c r="G85" s="24">
        <f t="shared" si="14"/>
        <v>0.15</v>
      </c>
      <c r="H85" s="719"/>
      <c r="I85" s="24">
        <f t="shared" si="15"/>
        <v>0</v>
      </c>
      <c r="J85" s="719"/>
      <c r="K85" s="24">
        <f t="shared" si="16"/>
        <v>0</v>
      </c>
      <c r="L85" s="719"/>
      <c r="M85" s="24">
        <f t="shared" si="17"/>
        <v>0.02</v>
      </c>
      <c r="N85" s="719"/>
      <c r="O85" s="24">
        <f t="shared" si="18"/>
        <v>1</v>
      </c>
      <c r="P85" s="719"/>
      <c r="Q85" s="24">
        <f t="shared" si="19"/>
        <v>1</v>
      </c>
      <c r="R85" s="715">
        <f t="shared" si="20"/>
        <v>0</v>
      </c>
      <c r="S85" s="361">
        <f t="shared" si="22"/>
        <v>0</v>
      </c>
    </row>
    <row r="86" spans="1:19">
      <c r="A86" s="159"/>
      <c r="B86" s="59"/>
      <c r="C86" s="24">
        <f t="shared" si="12"/>
        <v>1</v>
      </c>
      <c r="D86" s="719"/>
      <c r="E86" s="24">
        <f t="shared" si="13"/>
        <v>4.4999999999999998E-2</v>
      </c>
      <c r="F86" s="719"/>
      <c r="G86" s="24">
        <f t="shared" si="14"/>
        <v>0.15</v>
      </c>
      <c r="H86" s="719"/>
      <c r="I86" s="24">
        <f t="shared" si="15"/>
        <v>0</v>
      </c>
      <c r="J86" s="719"/>
      <c r="K86" s="24">
        <f t="shared" si="16"/>
        <v>0</v>
      </c>
      <c r="L86" s="719"/>
      <c r="M86" s="24">
        <f t="shared" si="17"/>
        <v>0.02</v>
      </c>
      <c r="N86" s="719"/>
      <c r="O86" s="24">
        <f t="shared" si="18"/>
        <v>1</v>
      </c>
      <c r="P86" s="719"/>
      <c r="Q86" s="24">
        <f t="shared" si="19"/>
        <v>1</v>
      </c>
      <c r="R86" s="715">
        <f t="shared" si="20"/>
        <v>0</v>
      </c>
      <c r="S86" s="361">
        <f t="shared" si="22"/>
        <v>0</v>
      </c>
    </row>
    <row r="87" spans="1:19">
      <c r="A87" s="159"/>
      <c r="B87" s="59"/>
      <c r="C87" s="24">
        <f t="shared" si="12"/>
        <v>1</v>
      </c>
      <c r="D87" s="719"/>
      <c r="E87" s="24">
        <f t="shared" si="13"/>
        <v>4.4999999999999998E-2</v>
      </c>
      <c r="F87" s="719"/>
      <c r="G87" s="24">
        <f t="shared" si="14"/>
        <v>0.15</v>
      </c>
      <c r="H87" s="719"/>
      <c r="I87" s="24">
        <f t="shared" si="15"/>
        <v>0</v>
      </c>
      <c r="J87" s="719"/>
      <c r="K87" s="24">
        <f t="shared" si="16"/>
        <v>0</v>
      </c>
      <c r="L87" s="719"/>
      <c r="M87" s="24">
        <f t="shared" si="17"/>
        <v>0.02</v>
      </c>
      <c r="N87" s="719"/>
      <c r="O87" s="24">
        <f t="shared" si="18"/>
        <v>1</v>
      </c>
      <c r="P87" s="719"/>
      <c r="Q87" s="24">
        <f t="shared" si="19"/>
        <v>1</v>
      </c>
      <c r="R87" s="715">
        <f t="shared" si="20"/>
        <v>0</v>
      </c>
      <c r="S87" s="361">
        <f t="shared" si="22"/>
        <v>0</v>
      </c>
    </row>
    <row r="88" spans="1:19">
      <c r="A88" s="159"/>
      <c r="B88" s="59"/>
      <c r="C88" s="24">
        <f t="shared" si="12"/>
        <v>1</v>
      </c>
      <c r="D88" s="719"/>
      <c r="E88" s="24">
        <f t="shared" si="13"/>
        <v>4.4999999999999998E-2</v>
      </c>
      <c r="F88" s="719"/>
      <c r="G88" s="24">
        <f t="shared" si="14"/>
        <v>0.15</v>
      </c>
      <c r="H88" s="719"/>
      <c r="I88" s="24">
        <f t="shared" si="15"/>
        <v>0</v>
      </c>
      <c r="J88" s="719"/>
      <c r="K88" s="24">
        <f t="shared" si="16"/>
        <v>0</v>
      </c>
      <c r="L88" s="719"/>
      <c r="M88" s="24">
        <f t="shared" si="17"/>
        <v>0.02</v>
      </c>
      <c r="N88" s="719"/>
      <c r="O88" s="24">
        <f t="shared" si="18"/>
        <v>1</v>
      </c>
      <c r="P88" s="719"/>
      <c r="Q88" s="24">
        <f t="shared" si="19"/>
        <v>1</v>
      </c>
      <c r="R88" s="715">
        <f t="shared" si="20"/>
        <v>0</v>
      </c>
      <c r="S88" s="361">
        <f t="shared" si="22"/>
        <v>0</v>
      </c>
    </row>
    <row r="89" spans="1:19">
      <c r="A89" s="159"/>
      <c r="B89" s="59"/>
      <c r="C89" s="24">
        <f t="shared" si="12"/>
        <v>1</v>
      </c>
      <c r="D89" s="719"/>
      <c r="E89" s="24">
        <f t="shared" si="13"/>
        <v>4.4999999999999998E-2</v>
      </c>
      <c r="F89" s="719"/>
      <c r="G89" s="24">
        <f t="shared" si="14"/>
        <v>0.15</v>
      </c>
      <c r="H89" s="719"/>
      <c r="I89" s="24">
        <f t="shared" si="15"/>
        <v>0</v>
      </c>
      <c r="J89" s="719"/>
      <c r="K89" s="24">
        <f t="shared" si="16"/>
        <v>0</v>
      </c>
      <c r="L89" s="719"/>
      <c r="M89" s="24">
        <f t="shared" si="17"/>
        <v>0.02</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4.4999999999999998E-2</v>
      </c>
      <c r="F90" s="719"/>
      <c r="G90" s="24">
        <f t="shared" ref="G90:G153" si="25">(SUMIF($7:$7,F90,$8:$8)-SUMIF($7:$7,$F$24,$8:$8)+100)/100</f>
        <v>0.15</v>
      </c>
      <c r="H90" s="719"/>
      <c r="I90" s="24">
        <f t="shared" ref="I90:I153" si="26">(SUMIF($9:$9,H90,$10:$10)-SUMIF($9:$9,$H$24,$10:$10)+100)/100</f>
        <v>0</v>
      </c>
      <c r="J90" s="719"/>
      <c r="K90" s="24">
        <f t="shared" ref="K90:K153" si="27">(SUMIF($11:$11,J90,$12:$12)-SUMIF($11:$11,$J$24,$12:$12)+100)/100</f>
        <v>0</v>
      </c>
      <c r="L90" s="719"/>
      <c r="M90" s="24">
        <f t="shared" ref="M90:M153" si="28">(SUMIF($13:$13,L90,$14:$14)-SUMIF($13:$13,$L$24,$14:$14)+100)/100</f>
        <v>0.02</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4.4999999999999998E-2</v>
      </c>
      <c r="F91" s="719"/>
      <c r="G91" s="24">
        <f t="shared" si="25"/>
        <v>0.15</v>
      </c>
      <c r="H91" s="719"/>
      <c r="I91" s="24">
        <f t="shared" si="26"/>
        <v>0</v>
      </c>
      <c r="J91" s="719"/>
      <c r="K91" s="24">
        <f t="shared" si="27"/>
        <v>0</v>
      </c>
      <c r="L91" s="719"/>
      <c r="M91" s="24">
        <f t="shared" si="28"/>
        <v>0.02</v>
      </c>
      <c r="N91" s="719"/>
      <c r="O91" s="24">
        <f t="shared" si="29"/>
        <v>1</v>
      </c>
      <c r="P91" s="719"/>
      <c r="Q91" s="24">
        <f t="shared" si="30"/>
        <v>1</v>
      </c>
      <c r="R91" s="715">
        <f t="shared" si="31"/>
        <v>0</v>
      </c>
      <c r="S91" s="361">
        <f t="shared" si="22"/>
        <v>0</v>
      </c>
    </row>
    <row r="92" spans="1:19">
      <c r="A92" s="159"/>
      <c r="B92" s="59"/>
      <c r="C92" s="24">
        <f t="shared" si="23"/>
        <v>1</v>
      </c>
      <c r="D92" s="719"/>
      <c r="E92" s="24">
        <f t="shared" si="24"/>
        <v>4.4999999999999998E-2</v>
      </c>
      <c r="F92" s="719"/>
      <c r="G92" s="24">
        <f t="shared" si="25"/>
        <v>0.15</v>
      </c>
      <c r="H92" s="719"/>
      <c r="I92" s="24">
        <f t="shared" si="26"/>
        <v>0</v>
      </c>
      <c r="J92" s="719"/>
      <c r="K92" s="24">
        <f t="shared" si="27"/>
        <v>0</v>
      </c>
      <c r="L92" s="719"/>
      <c r="M92" s="24">
        <f t="shared" si="28"/>
        <v>0.02</v>
      </c>
      <c r="N92" s="719"/>
      <c r="O92" s="24">
        <f t="shared" si="29"/>
        <v>1</v>
      </c>
      <c r="P92" s="719"/>
      <c r="Q92" s="24">
        <f t="shared" si="30"/>
        <v>1</v>
      </c>
      <c r="R92" s="715">
        <f t="shared" si="31"/>
        <v>0</v>
      </c>
      <c r="S92" s="361">
        <f t="shared" si="22"/>
        <v>0</v>
      </c>
    </row>
    <row r="93" spans="1:19">
      <c r="A93" s="159"/>
      <c r="B93" s="59"/>
      <c r="C93" s="24">
        <f t="shared" si="23"/>
        <v>1</v>
      </c>
      <c r="D93" s="719"/>
      <c r="E93" s="24">
        <f t="shared" si="24"/>
        <v>4.4999999999999998E-2</v>
      </c>
      <c r="F93" s="719"/>
      <c r="G93" s="24">
        <f t="shared" si="25"/>
        <v>0.15</v>
      </c>
      <c r="H93" s="719"/>
      <c r="I93" s="24">
        <f t="shared" si="26"/>
        <v>0</v>
      </c>
      <c r="J93" s="719"/>
      <c r="K93" s="24">
        <f t="shared" si="27"/>
        <v>0</v>
      </c>
      <c r="L93" s="719"/>
      <c r="M93" s="24">
        <f t="shared" si="28"/>
        <v>0.02</v>
      </c>
      <c r="N93" s="719"/>
      <c r="O93" s="24">
        <f t="shared" si="29"/>
        <v>1</v>
      </c>
      <c r="P93" s="719"/>
      <c r="Q93" s="24">
        <f t="shared" si="30"/>
        <v>1</v>
      </c>
      <c r="R93" s="715">
        <f t="shared" si="31"/>
        <v>0</v>
      </c>
      <c r="S93" s="361">
        <f t="shared" si="22"/>
        <v>0</v>
      </c>
    </row>
    <row r="94" spans="1:19">
      <c r="A94" s="159"/>
      <c r="B94" s="59"/>
      <c r="C94" s="24">
        <f t="shared" si="23"/>
        <v>1</v>
      </c>
      <c r="D94" s="719"/>
      <c r="E94" s="24">
        <f t="shared" si="24"/>
        <v>4.4999999999999998E-2</v>
      </c>
      <c r="F94" s="719"/>
      <c r="G94" s="24">
        <f t="shared" si="25"/>
        <v>0.15</v>
      </c>
      <c r="H94" s="719"/>
      <c r="I94" s="24">
        <f t="shared" si="26"/>
        <v>0</v>
      </c>
      <c r="J94" s="719"/>
      <c r="K94" s="24">
        <f t="shared" si="27"/>
        <v>0</v>
      </c>
      <c r="L94" s="719"/>
      <c r="M94" s="24">
        <f t="shared" si="28"/>
        <v>0.02</v>
      </c>
      <c r="N94" s="719"/>
      <c r="O94" s="24">
        <f t="shared" si="29"/>
        <v>1</v>
      </c>
      <c r="P94" s="719"/>
      <c r="Q94" s="24">
        <f t="shared" si="30"/>
        <v>1</v>
      </c>
      <c r="R94" s="715">
        <f t="shared" si="31"/>
        <v>0</v>
      </c>
      <c r="S94" s="361">
        <f t="shared" si="22"/>
        <v>0</v>
      </c>
    </row>
    <row r="95" spans="1:19">
      <c r="A95" s="159"/>
      <c r="B95" s="59"/>
      <c r="C95" s="24">
        <f t="shared" si="23"/>
        <v>1</v>
      </c>
      <c r="D95" s="719"/>
      <c r="E95" s="24">
        <f t="shared" si="24"/>
        <v>4.4999999999999998E-2</v>
      </c>
      <c r="F95" s="719"/>
      <c r="G95" s="24">
        <f t="shared" si="25"/>
        <v>0.15</v>
      </c>
      <c r="H95" s="719"/>
      <c r="I95" s="24">
        <f t="shared" si="26"/>
        <v>0</v>
      </c>
      <c r="J95" s="719"/>
      <c r="K95" s="24">
        <f t="shared" si="27"/>
        <v>0</v>
      </c>
      <c r="L95" s="719"/>
      <c r="M95" s="24">
        <f t="shared" si="28"/>
        <v>0.02</v>
      </c>
      <c r="N95" s="719"/>
      <c r="O95" s="24">
        <f t="shared" si="29"/>
        <v>1</v>
      </c>
      <c r="P95" s="719"/>
      <c r="Q95" s="24">
        <f t="shared" si="30"/>
        <v>1</v>
      </c>
      <c r="R95" s="715">
        <f t="shared" si="31"/>
        <v>0</v>
      </c>
      <c r="S95" s="361">
        <f t="shared" si="22"/>
        <v>0</v>
      </c>
    </row>
    <row r="96" spans="1:19">
      <c r="A96" s="159"/>
      <c r="B96" s="59"/>
      <c r="C96" s="24">
        <f t="shared" si="23"/>
        <v>1</v>
      </c>
      <c r="D96" s="719"/>
      <c r="E96" s="24">
        <f t="shared" si="24"/>
        <v>4.4999999999999998E-2</v>
      </c>
      <c r="F96" s="719"/>
      <c r="G96" s="24">
        <f t="shared" si="25"/>
        <v>0.15</v>
      </c>
      <c r="H96" s="719"/>
      <c r="I96" s="24">
        <f t="shared" si="26"/>
        <v>0</v>
      </c>
      <c r="J96" s="719"/>
      <c r="K96" s="24">
        <f t="shared" si="27"/>
        <v>0</v>
      </c>
      <c r="L96" s="719"/>
      <c r="M96" s="24">
        <f t="shared" si="28"/>
        <v>0.02</v>
      </c>
      <c r="N96" s="719"/>
      <c r="O96" s="24">
        <f t="shared" si="29"/>
        <v>1</v>
      </c>
      <c r="P96" s="719"/>
      <c r="Q96" s="24">
        <f t="shared" si="30"/>
        <v>1</v>
      </c>
      <c r="R96" s="715">
        <f t="shared" si="31"/>
        <v>0</v>
      </c>
      <c r="S96" s="361">
        <f t="shared" si="22"/>
        <v>0</v>
      </c>
    </row>
    <row r="97" spans="1:19">
      <c r="A97" s="159"/>
      <c r="B97" s="59"/>
      <c r="C97" s="24">
        <f t="shared" si="23"/>
        <v>1</v>
      </c>
      <c r="D97" s="719"/>
      <c r="E97" s="24">
        <f t="shared" si="24"/>
        <v>4.4999999999999998E-2</v>
      </c>
      <c r="F97" s="719"/>
      <c r="G97" s="24">
        <f t="shared" si="25"/>
        <v>0.15</v>
      </c>
      <c r="H97" s="719"/>
      <c r="I97" s="24">
        <f t="shared" si="26"/>
        <v>0</v>
      </c>
      <c r="J97" s="719"/>
      <c r="K97" s="24">
        <f t="shared" si="27"/>
        <v>0</v>
      </c>
      <c r="L97" s="719"/>
      <c r="M97" s="24">
        <f t="shared" si="28"/>
        <v>0.02</v>
      </c>
      <c r="N97" s="719"/>
      <c r="O97" s="24">
        <f t="shared" si="29"/>
        <v>1</v>
      </c>
      <c r="P97" s="719"/>
      <c r="Q97" s="24">
        <f t="shared" si="30"/>
        <v>1</v>
      </c>
      <c r="R97" s="715">
        <f t="shared" si="31"/>
        <v>0</v>
      </c>
      <c r="S97" s="361">
        <f t="shared" si="22"/>
        <v>0</v>
      </c>
    </row>
    <row r="98" spans="1:19">
      <c r="A98" s="159"/>
      <c r="B98" s="59"/>
      <c r="C98" s="24">
        <f t="shared" si="23"/>
        <v>1</v>
      </c>
      <c r="D98" s="719"/>
      <c r="E98" s="24">
        <f t="shared" si="24"/>
        <v>4.4999999999999998E-2</v>
      </c>
      <c r="F98" s="719"/>
      <c r="G98" s="24">
        <f t="shared" si="25"/>
        <v>0.15</v>
      </c>
      <c r="H98" s="719"/>
      <c r="I98" s="24">
        <f t="shared" si="26"/>
        <v>0</v>
      </c>
      <c r="J98" s="719"/>
      <c r="K98" s="24">
        <f t="shared" si="27"/>
        <v>0</v>
      </c>
      <c r="L98" s="719"/>
      <c r="M98" s="24">
        <f t="shared" si="28"/>
        <v>0.02</v>
      </c>
      <c r="N98" s="719"/>
      <c r="O98" s="24">
        <f t="shared" si="29"/>
        <v>1</v>
      </c>
      <c r="P98" s="719"/>
      <c r="Q98" s="24">
        <f t="shared" si="30"/>
        <v>1</v>
      </c>
      <c r="R98" s="715">
        <f t="shared" si="31"/>
        <v>0</v>
      </c>
      <c r="S98" s="361">
        <f t="shared" si="22"/>
        <v>0</v>
      </c>
    </row>
    <row r="99" spans="1:19">
      <c r="A99" s="159"/>
      <c r="B99" s="59"/>
      <c r="C99" s="24">
        <f t="shared" si="23"/>
        <v>1</v>
      </c>
      <c r="D99" s="719"/>
      <c r="E99" s="24">
        <f t="shared" si="24"/>
        <v>4.4999999999999998E-2</v>
      </c>
      <c r="F99" s="719"/>
      <c r="G99" s="24">
        <f t="shared" si="25"/>
        <v>0.15</v>
      </c>
      <c r="H99" s="719"/>
      <c r="I99" s="24">
        <f t="shared" si="26"/>
        <v>0</v>
      </c>
      <c r="J99" s="719"/>
      <c r="K99" s="24">
        <f t="shared" si="27"/>
        <v>0</v>
      </c>
      <c r="L99" s="719"/>
      <c r="M99" s="24">
        <f t="shared" si="28"/>
        <v>0.02</v>
      </c>
      <c r="N99" s="719"/>
      <c r="O99" s="24">
        <f t="shared" si="29"/>
        <v>1</v>
      </c>
      <c r="P99" s="719"/>
      <c r="Q99" s="24">
        <f t="shared" si="30"/>
        <v>1</v>
      </c>
      <c r="R99" s="715">
        <f t="shared" si="31"/>
        <v>0</v>
      </c>
      <c r="S99" s="361">
        <f t="shared" si="22"/>
        <v>0</v>
      </c>
    </row>
    <row r="100" spans="1:19">
      <c r="A100" s="159"/>
      <c r="B100" s="59"/>
      <c r="C100" s="24">
        <f t="shared" si="23"/>
        <v>1</v>
      </c>
      <c r="D100" s="719"/>
      <c r="E100" s="24">
        <f t="shared" si="24"/>
        <v>4.4999999999999998E-2</v>
      </c>
      <c r="F100" s="719"/>
      <c r="G100" s="24">
        <f t="shared" si="25"/>
        <v>0.15</v>
      </c>
      <c r="H100" s="719"/>
      <c r="I100" s="24">
        <f t="shared" si="26"/>
        <v>0</v>
      </c>
      <c r="J100" s="719"/>
      <c r="K100" s="24">
        <f t="shared" si="27"/>
        <v>0</v>
      </c>
      <c r="L100" s="719"/>
      <c r="M100" s="24">
        <f t="shared" si="28"/>
        <v>0.02</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4.4999999999999998E-2</v>
      </c>
      <c r="F101" s="719"/>
      <c r="G101" s="24">
        <f t="shared" si="25"/>
        <v>0.15</v>
      </c>
      <c r="H101" s="719"/>
      <c r="I101" s="24">
        <f t="shared" si="26"/>
        <v>0</v>
      </c>
      <c r="J101" s="719"/>
      <c r="K101" s="24">
        <f t="shared" si="27"/>
        <v>0</v>
      </c>
      <c r="L101" s="719"/>
      <c r="M101" s="24">
        <f t="shared" si="28"/>
        <v>0.02</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4.4999999999999998E-2</v>
      </c>
      <c r="F102" s="719"/>
      <c r="G102" s="24">
        <f t="shared" si="25"/>
        <v>0.15</v>
      </c>
      <c r="H102" s="719"/>
      <c r="I102" s="24">
        <f t="shared" si="26"/>
        <v>0</v>
      </c>
      <c r="J102" s="719"/>
      <c r="K102" s="24">
        <f t="shared" si="27"/>
        <v>0</v>
      </c>
      <c r="L102" s="719"/>
      <c r="M102" s="24">
        <f t="shared" si="28"/>
        <v>0.02</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4.4999999999999998E-2</v>
      </c>
      <c r="F103" s="719"/>
      <c r="G103" s="24">
        <f t="shared" si="25"/>
        <v>0.15</v>
      </c>
      <c r="H103" s="719"/>
      <c r="I103" s="24">
        <f t="shared" si="26"/>
        <v>0</v>
      </c>
      <c r="J103" s="719"/>
      <c r="K103" s="24">
        <f t="shared" si="27"/>
        <v>0</v>
      </c>
      <c r="L103" s="719"/>
      <c r="M103" s="24">
        <f t="shared" si="28"/>
        <v>0.02</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4.4999999999999998E-2</v>
      </c>
      <c r="F104" s="719"/>
      <c r="G104" s="24">
        <f t="shared" si="25"/>
        <v>0.15</v>
      </c>
      <c r="H104" s="719"/>
      <c r="I104" s="24">
        <f t="shared" si="26"/>
        <v>0</v>
      </c>
      <c r="J104" s="719"/>
      <c r="K104" s="24">
        <f t="shared" si="27"/>
        <v>0</v>
      </c>
      <c r="L104" s="719"/>
      <c r="M104" s="24">
        <f t="shared" si="28"/>
        <v>0.02</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4.4999999999999998E-2</v>
      </c>
      <c r="F105" s="719"/>
      <c r="G105" s="24">
        <f t="shared" si="25"/>
        <v>0.15</v>
      </c>
      <c r="H105" s="719"/>
      <c r="I105" s="24">
        <f t="shared" si="26"/>
        <v>0</v>
      </c>
      <c r="J105" s="719"/>
      <c r="K105" s="24">
        <f t="shared" si="27"/>
        <v>0</v>
      </c>
      <c r="L105" s="719"/>
      <c r="M105" s="24">
        <f t="shared" si="28"/>
        <v>0.02</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4.4999999999999998E-2</v>
      </c>
      <c r="F106" s="719"/>
      <c r="G106" s="24">
        <f t="shared" si="25"/>
        <v>0.15</v>
      </c>
      <c r="H106" s="719"/>
      <c r="I106" s="24">
        <f t="shared" si="26"/>
        <v>0</v>
      </c>
      <c r="J106" s="719"/>
      <c r="K106" s="24">
        <f t="shared" si="27"/>
        <v>0</v>
      </c>
      <c r="L106" s="719"/>
      <c r="M106" s="24">
        <f t="shared" si="28"/>
        <v>0.02</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4.4999999999999998E-2</v>
      </c>
      <c r="F107" s="719"/>
      <c r="G107" s="24">
        <f t="shared" si="25"/>
        <v>0.15</v>
      </c>
      <c r="H107" s="719"/>
      <c r="I107" s="24">
        <f t="shared" si="26"/>
        <v>0</v>
      </c>
      <c r="J107" s="719"/>
      <c r="K107" s="24">
        <f t="shared" si="27"/>
        <v>0</v>
      </c>
      <c r="L107" s="719"/>
      <c r="M107" s="24">
        <f t="shared" si="28"/>
        <v>0.02</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4.4999999999999998E-2</v>
      </c>
      <c r="F108" s="719"/>
      <c r="G108" s="24">
        <f t="shared" si="25"/>
        <v>0.15</v>
      </c>
      <c r="H108" s="719"/>
      <c r="I108" s="24">
        <f t="shared" si="26"/>
        <v>0</v>
      </c>
      <c r="J108" s="719"/>
      <c r="K108" s="24">
        <f t="shared" si="27"/>
        <v>0</v>
      </c>
      <c r="L108" s="719"/>
      <c r="M108" s="24">
        <f t="shared" si="28"/>
        <v>0.02</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4.4999999999999998E-2</v>
      </c>
      <c r="F109" s="719"/>
      <c r="G109" s="24">
        <f t="shared" si="25"/>
        <v>0.15</v>
      </c>
      <c r="H109" s="719"/>
      <c r="I109" s="24">
        <f t="shared" si="26"/>
        <v>0</v>
      </c>
      <c r="J109" s="719"/>
      <c r="K109" s="24">
        <f t="shared" si="27"/>
        <v>0</v>
      </c>
      <c r="L109" s="719"/>
      <c r="M109" s="24">
        <f t="shared" si="28"/>
        <v>0.02</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4.4999999999999998E-2</v>
      </c>
      <c r="F110" s="719"/>
      <c r="G110" s="24">
        <f t="shared" si="25"/>
        <v>0.15</v>
      </c>
      <c r="H110" s="719"/>
      <c r="I110" s="24">
        <f t="shared" si="26"/>
        <v>0</v>
      </c>
      <c r="J110" s="719"/>
      <c r="K110" s="24">
        <f t="shared" si="27"/>
        <v>0</v>
      </c>
      <c r="L110" s="719"/>
      <c r="M110" s="24">
        <f t="shared" si="28"/>
        <v>0.02</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4.4999999999999998E-2</v>
      </c>
      <c r="F111" s="719"/>
      <c r="G111" s="24">
        <f t="shared" si="25"/>
        <v>0.15</v>
      </c>
      <c r="H111" s="719"/>
      <c r="I111" s="24">
        <f t="shared" si="26"/>
        <v>0</v>
      </c>
      <c r="J111" s="719"/>
      <c r="K111" s="24">
        <f t="shared" si="27"/>
        <v>0</v>
      </c>
      <c r="L111" s="719"/>
      <c r="M111" s="24">
        <f t="shared" si="28"/>
        <v>0.02</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4.4999999999999998E-2</v>
      </c>
      <c r="F112" s="719"/>
      <c r="G112" s="24">
        <f t="shared" si="25"/>
        <v>0.15</v>
      </c>
      <c r="H112" s="719"/>
      <c r="I112" s="24">
        <f t="shared" si="26"/>
        <v>0</v>
      </c>
      <c r="J112" s="719"/>
      <c r="K112" s="24">
        <f t="shared" si="27"/>
        <v>0</v>
      </c>
      <c r="L112" s="719"/>
      <c r="M112" s="24">
        <f t="shared" si="28"/>
        <v>0.02</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4.4999999999999998E-2</v>
      </c>
      <c r="F113" s="719"/>
      <c r="G113" s="24">
        <f t="shared" si="25"/>
        <v>0.15</v>
      </c>
      <c r="H113" s="719"/>
      <c r="I113" s="24">
        <f t="shared" si="26"/>
        <v>0</v>
      </c>
      <c r="J113" s="719"/>
      <c r="K113" s="24">
        <f t="shared" si="27"/>
        <v>0</v>
      </c>
      <c r="L113" s="719"/>
      <c r="M113" s="24">
        <f t="shared" si="28"/>
        <v>0.02</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4.4999999999999998E-2</v>
      </c>
      <c r="F114" s="719"/>
      <c r="G114" s="24">
        <f t="shared" si="25"/>
        <v>0.15</v>
      </c>
      <c r="H114" s="719"/>
      <c r="I114" s="24">
        <f t="shared" si="26"/>
        <v>0</v>
      </c>
      <c r="J114" s="719"/>
      <c r="K114" s="24">
        <f t="shared" si="27"/>
        <v>0</v>
      </c>
      <c r="L114" s="719"/>
      <c r="M114" s="24">
        <f t="shared" si="28"/>
        <v>0.02</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4.4999999999999998E-2</v>
      </c>
      <c r="F115" s="719"/>
      <c r="G115" s="24">
        <f t="shared" si="25"/>
        <v>0.15</v>
      </c>
      <c r="H115" s="719"/>
      <c r="I115" s="24">
        <f t="shared" si="26"/>
        <v>0</v>
      </c>
      <c r="J115" s="719"/>
      <c r="K115" s="24">
        <f t="shared" si="27"/>
        <v>0</v>
      </c>
      <c r="L115" s="719"/>
      <c r="M115" s="24">
        <f t="shared" si="28"/>
        <v>0.02</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4.4999999999999998E-2</v>
      </c>
      <c r="F116" s="719"/>
      <c r="G116" s="24">
        <f t="shared" si="25"/>
        <v>0.15</v>
      </c>
      <c r="H116" s="719"/>
      <c r="I116" s="24">
        <f t="shared" si="26"/>
        <v>0</v>
      </c>
      <c r="J116" s="719"/>
      <c r="K116" s="24">
        <f t="shared" si="27"/>
        <v>0</v>
      </c>
      <c r="L116" s="719"/>
      <c r="M116" s="24">
        <f t="shared" si="28"/>
        <v>0.02</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4.4999999999999998E-2</v>
      </c>
      <c r="F117" s="719"/>
      <c r="G117" s="24">
        <f t="shared" si="25"/>
        <v>0.15</v>
      </c>
      <c r="H117" s="719"/>
      <c r="I117" s="24">
        <f t="shared" si="26"/>
        <v>0</v>
      </c>
      <c r="J117" s="719"/>
      <c r="K117" s="24">
        <f t="shared" si="27"/>
        <v>0</v>
      </c>
      <c r="L117" s="719"/>
      <c r="M117" s="24">
        <f t="shared" si="28"/>
        <v>0.02</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4.4999999999999998E-2</v>
      </c>
      <c r="F118" s="719"/>
      <c r="G118" s="24">
        <f t="shared" si="25"/>
        <v>0.15</v>
      </c>
      <c r="H118" s="719"/>
      <c r="I118" s="24">
        <f t="shared" si="26"/>
        <v>0</v>
      </c>
      <c r="J118" s="719"/>
      <c r="K118" s="24">
        <f t="shared" si="27"/>
        <v>0</v>
      </c>
      <c r="L118" s="719"/>
      <c r="M118" s="24">
        <f t="shared" si="28"/>
        <v>0.02</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4.4999999999999998E-2</v>
      </c>
      <c r="F119" s="719"/>
      <c r="G119" s="24">
        <f t="shared" si="25"/>
        <v>0.15</v>
      </c>
      <c r="H119" s="719"/>
      <c r="I119" s="24">
        <f t="shared" si="26"/>
        <v>0</v>
      </c>
      <c r="J119" s="719"/>
      <c r="K119" s="24">
        <f t="shared" si="27"/>
        <v>0</v>
      </c>
      <c r="L119" s="719"/>
      <c r="M119" s="24">
        <f t="shared" si="28"/>
        <v>0.02</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4.4999999999999998E-2</v>
      </c>
      <c r="F120" s="719"/>
      <c r="G120" s="24">
        <f t="shared" si="25"/>
        <v>0.15</v>
      </c>
      <c r="H120" s="719"/>
      <c r="I120" s="24">
        <f t="shared" si="26"/>
        <v>0</v>
      </c>
      <c r="J120" s="719"/>
      <c r="K120" s="24">
        <f t="shared" si="27"/>
        <v>0</v>
      </c>
      <c r="L120" s="719"/>
      <c r="M120" s="24">
        <f t="shared" si="28"/>
        <v>0.02</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4.4999999999999998E-2</v>
      </c>
      <c r="F121" s="719"/>
      <c r="G121" s="24">
        <f t="shared" si="25"/>
        <v>0.15</v>
      </c>
      <c r="H121" s="719"/>
      <c r="I121" s="24">
        <f t="shared" si="26"/>
        <v>0</v>
      </c>
      <c r="J121" s="719"/>
      <c r="K121" s="24">
        <f t="shared" si="27"/>
        <v>0</v>
      </c>
      <c r="L121" s="719"/>
      <c r="M121" s="24">
        <f t="shared" si="28"/>
        <v>0.02</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4.4999999999999998E-2</v>
      </c>
      <c r="F122" s="719"/>
      <c r="G122" s="24">
        <f t="shared" si="25"/>
        <v>0.15</v>
      </c>
      <c r="H122" s="719"/>
      <c r="I122" s="24">
        <f t="shared" si="26"/>
        <v>0</v>
      </c>
      <c r="J122" s="719"/>
      <c r="K122" s="24">
        <f t="shared" si="27"/>
        <v>0</v>
      </c>
      <c r="L122" s="719"/>
      <c r="M122" s="24">
        <f t="shared" si="28"/>
        <v>0.02</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4.4999999999999998E-2</v>
      </c>
      <c r="F123" s="719"/>
      <c r="G123" s="24">
        <f t="shared" si="25"/>
        <v>0.15</v>
      </c>
      <c r="H123" s="719"/>
      <c r="I123" s="24">
        <f t="shared" si="26"/>
        <v>0</v>
      </c>
      <c r="J123" s="719"/>
      <c r="K123" s="24">
        <f t="shared" si="27"/>
        <v>0</v>
      </c>
      <c r="L123" s="719"/>
      <c r="M123" s="24">
        <f t="shared" si="28"/>
        <v>0.02</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4.4999999999999998E-2</v>
      </c>
      <c r="F124" s="719"/>
      <c r="G124" s="24">
        <f t="shared" si="25"/>
        <v>0.15</v>
      </c>
      <c r="H124" s="719"/>
      <c r="I124" s="24">
        <f t="shared" si="26"/>
        <v>0</v>
      </c>
      <c r="J124" s="719"/>
      <c r="K124" s="24">
        <f t="shared" si="27"/>
        <v>0</v>
      </c>
      <c r="L124" s="719"/>
      <c r="M124" s="24">
        <f t="shared" si="28"/>
        <v>0.02</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4.4999999999999998E-2</v>
      </c>
      <c r="F125" s="719"/>
      <c r="G125" s="24">
        <f t="shared" si="25"/>
        <v>0.15</v>
      </c>
      <c r="H125" s="719"/>
      <c r="I125" s="24">
        <f t="shared" si="26"/>
        <v>0</v>
      </c>
      <c r="J125" s="719"/>
      <c r="K125" s="24">
        <f t="shared" si="27"/>
        <v>0</v>
      </c>
      <c r="L125" s="719"/>
      <c r="M125" s="24">
        <f t="shared" si="28"/>
        <v>0.02</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4.4999999999999998E-2</v>
      </c>
      <c r="F126" s="719"/>
      <c r="G126" s="24">
        <f t="shared" si="25"/>
        <v>0.15</v>
      </c>
      <c r="H126" s="719"/>
      <c r="I126" s="24">
        <f t="shared" si="26"/>
        <v>0</v>
      </c>
      <c r="J126" s="719"/>
      <c r="K126" s="24">
        <f t="shared" si="27"/>
        <v>0</v>
      </c>
      <c r="L126" s="719"/>
      <c r="M126" s="24">
        <f t="shared" si="28"/>
        <v>0.02</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4.4999999999999998E-2</v>
      </c>
      <c r="F127" s="719"/>
      <c r="G127" s="24">
        <f t="shared" si="25"/>
        <v>0.15</v>
      </c>
      <c r="H127" s="719"/>
      <c r="I127" s="24">
        <f t="shared" si="26"/>
        <v>0</v>
      </c>
      <c r="J127" s="719"/>
      <c r="K127" s="24">
        <f t="shared" si="27"/>
        <v>0</v>
      </c>
      <c r="L127" s="719"/>
      <c r="M127" s="24">
        <f t="shared" si="28"/>
        <v>0.02</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4.4999999999999998E-2</v>
      </c>
      <c r="F128" s="719"/>
      <c r="G128" s="24">
        <f t="shared" si="25"/>
        <v>0.15</v>
      </c>
      <c r="H128" s="719"/>
      <c r="I128" s="24">
        <f t="shared" si="26"/>
        <v>0</v>
      </c>
      <c r="J128" s="719"/>
      <c r="K128" s="24">
        <f t="shared" si="27"/>
        <v>0</v>
      </c>
      <c r="L128" s="719"/>
      <c r="M128" s="24">
        <f t="shared" si="28"/>
        <v>0.02</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4.4999999999999998E-2</v>
      </c>
      <c r="F129" s="719"/>
      <c r="G129" s="24">
        <f t="shared" si="25"/>
        <v>0.15</v>
      </c>
      <c r="H129" s="719"/>
      <c r="I129" s="24">
        <f t="shared" si="26"/>
        <v>0</v>
      </c>
      <c r="J129" s="719"/>
      <c r="K129" s="24">
        <f t="shared" si="27"/>
        <v>0</v>
      </c>
      <c r="L129" s="719"/>
      <c r="M129" s="24">
        <f t="shared" si="28"/>
        <v>0.02</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4.4999999999999998E-2</v>
      </c>
      <c r="F130" s="719"/>
      <c r="G130" s="24">
        <f t="shared" si="25"/>
        <v>0.15</v>
      </c>
      <c r="H130" s="719"/>
      <c r="I130" s="24">
        <f t="shared" si="26"/>
        <v>0</v>
      </c>
      <c r="J130" s="719"/>
      <c r="K130" s="24">
        <f t="shared" si="27"/>
        <v>0</v>
      </c>
      <c r="L130" s="719"/>
      <c r="M130" s="24">
        <f t="shared" si="28"/>
        <v>0.02</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4.4999999999999998E-2</v>
      </c>
      <c r="F131" s="719"/>
      <c r="G131" s="24">
        <f t="shared" si="25"/>
        <v>0.15</v>
      </c>
      <c r="H131" s="719"/>
      <c r="I131" s="24">
        <f t="shared" si="26"/>
        <v>0</v>
      </c>
      <c r="J131" s="719"/>
      <c r="K131" s="24">
        <f t="shared" si="27"/>
        <v>0</v>
      </c>
      <c r="L131" s="719"/>
      <c r="M131" s="24">
        <f t="shared" si="28"/>
        <v>0.02</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4.4999999999999998E-2</v>
      </c>
      <c r="F132" s="719"/>
      <c r="G132" s="24">
        <f t="shared" si="25"/>
        <v>0.15</v>
      </c>
      <c r="H132" s="719"/>
      <c r="I132" s="24">
        <f t="shared" si="26"/>
        <v>0</v>
      </c>
      <c r="J132" s="719"/>
      <c r="K132" s="24">
        <f t="shared" si="27"/>
        <v>0</v>
      </c>
      <c r="L132" s="719"/>
      <c r="M132" s="24">
        <f t="shared" si="28"/>
        <v>0.02</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4.4999999999999998E-2</v>
      </c>
      <c r="F133" s="719"/>
      <c r="G133" s="24">
        <f t="shared" si="25"/>
        <v>0.15</v>
      </c>
      <c r="H133" s="719"/>
      <c r="I133" s="24">
        <f t="shared" si="26"/>
        <v>0</v>
      </c>
      <c r="J133" s="719"/>
      <c r="K133" s="24">
        <f t="shared" si="27"/>
        <v>0</v>
      </c>
      <c r="L133" s="719"/>
      <c r="M133" s="24">
        <f t="shared" si="28"/>
        <v>0.02</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4.4999999999999998E-2</v>
      </c>
      <c r="F134" s="719"/>
      <c r="G134" s="24">
        <f t="shared" si="25"/>
        <v>0.15</v>
      </c>
      <c r="H134" s="719"/>
      <c r="I134" s="24">
        <f t="shared" si="26"/>
        <v>0</v>
      </c>
      <c r="J134" s="719"/>
      <c r="K134" s="24">
        <f t="shared" si="27"/>
        <v>0</v>
      </c>
      <c r="L134" s="719"/>
      <c r="M134" s="24">
        <f t="shared" si="28"/>
        <v>0.02</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4.4999999999999998E-2</v>
      </c>
      <c r="F135" s="719"/>
      <c r="G135" s="24">
        <f t="shared" si="25"/>
        <v>0.15</v>
      </c>
      <c r="H135" s="719"/>
      <c r="I135" s="24">
        <f t="shared" si="26"/>
        <v>0</v>
      </c>
      <c r="J135" s="719"/>
      <c r="K135" s="24">
        <f t="shared" si="27"/>
        <v>0</v>
      </c>
      <c r="L135" s="719"/>
      <c r="M135" s="24">
        <f t="shared" si="28"/>
        <v>0.02</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4.4999999999999998E-2</v>
      </c>
      <c r="F136" s="719"/>
      <c r="G136" s="24">
        <f t="shared" si="25"/>
        <v>0.15</v>
      </c>
      <c r="H136" s="719"/>
      <c r="I136" s="24">
        <f t="shared" si="26"/>
        <v>0</v>
      </c>
      <c r="J136" s="719"/>
      <c r="K136" s="24">
        <f t="shared" si="27"/>
        <v>0</v>
      </c>
      <c r="L136" s="719"/>
      <c r="M136" s="24">
        <f t="shared" si="28"/>
        <v>0.02</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4.4999999999999998E-2</v>
      </c>
      <c r="F137" s="719"/>
      <c r="G137" s="24">
        <f t="shared" si="25"/>
        <v>0.15</v>
      </c>
      <c r="H137" s="719"/>
      <c r="I137" s="24">
        <f t="shared" si="26"/>
        <v>0</v>
      </c>
      <c r="J137" s="719"/>
      <c r="K137" s="24">
        <f t="shared" si="27"/>
        <v>0</v>
      </c>
      <c r="L137" s="719"/>
      <c r="M137" s="24">
        <f t="shared" si="28"/>
        <v>0.02</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4.4999999999999998E-2</v>
      </c>
      <c r="F138" s="719"/>
      <c r="G138" s="24">
        <f t="shared" si="25"/>
        <v>0.15</v>
      </c>
      <c r="H138" s="719"/>
      <c r="I138" s="24">
        <f t="shared" si="26"/>
        <v>0</v>
      </c>
      <c r="J138" s="719"/>
      <c r="K138" s="24">
        <f t="shared" si="27"/>
        <v>0</v>
      </c>
      <c r="L138" s="719"/>
      <c r="M138" s="24">
        <f t="shared" si="28"/>
        <v>0.02</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4.4999999999999998E-2</v>
      </c>
      <c r="F139" s="719"/>
      <c r="G139" s="24">
        <f t="shared" si="25"/>
        <v>0.15</v>
      </c>
      <c r="H139" s="719"/>
      <c r="I139" s="24">
        <f t="shared" si="26"/>
        <v>0</v>
      </c>
      <c r="J139" s="719"/>
      <c r="K139" s="24">
        <f t="shared" si="27"/>
        <v>0</v>
      </c>
      <c r="L139" s="719"/>
      <c r="M139" s="24">
        <f t="shared" si="28"/>
        <v>0.02</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4.4999999999999998E-2</v>
      </c>
      <c r="F140" s="719"/>
      <c r="G140" s="24">
        <f t="shared" si="25"/>
        <v>0.15</v>
      </c>
      <c r="H140" s="719"/>
      <c r="I140" s="24">
        <f t="shared" si="26"/>
        <v>0</v>
      </c>
      <c r="J140" s="719"/>
      <c r="K140" s="24">
        <f t="shared" si="27"/>
        <v>0</v>
      </c>
      <c r="L140" s="719"/>
      <c r="M140" s="24">
        <f t="shared" si="28"/>
        <v>0.02</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4.4999999999999998E-2</v>
      </c>
      <c r="F141" s="719"/>
      <c r="G141" s="24">
        <f t="shared" si="25"/>
        <v>0.15</v>
      </c>
      <c r="H141" s="719"/>
      <c r="I141" s="24">
        <f t="shared" si="26"/>
        <v>0</v>
      </c>
      <c r="J141" s="719"/>
      <c r="K141" s="24">
        <f t="shared" si="27"/>
        <v>0</v>
      </c>
      <c r="L141" s="719"/>
      <c r="M141" s="24">
        <f t="shared" si="28"/>
        <v>0.02</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4.4999999999999998E-2</v>
      </c>
      <c r="F142" s="719"/>
      <c r="G142" s="24">
        <f t="shared" si="25"/>
        <v>0.15</v>
      </c>
      <c r="H142" s="719"/>
      <c r="I142" s="24">
        <f t="shared" si="26"/>
        <v>0</v>
      </c>
      <c r="J142" s="719"/>
      <c r="K142" s="24">
        <f t="shared" si="27"/>
        <v>0</v>
      </c>
      <c r="L142" s="719"/>
      <c r="M142" s="24">
        <f t="shared" si="28"/>
        <v>0.02</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4.4999999999999998E-2</v>
      </c>
      <c r="F143" s="719"/>
      <c r="G143" s="24">
        <f t="shared" si="25"/>
        <v>0.15</v>
      </c>
      <c r="H143" s="719"/>
      <c r="I143" s="24">
        <f t="shared" si="26"/>
        <v>0</v>
      </c>
      <c r="J143" s="719"/>
      <c r="K143" s="24">
        <f t="shared" si="27"/>
        <v>0</v>
      </c>
      <c r="L143" s="719"/>
      <c r="M143" s="24">
        <f t="shared" si="28"/>
        <v>0.02</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4.4999999999999998E-2</v>
      </c>
      <c r="F144" s="719"/>
      <c r="G144" s="24">
        <f t="shared" si="25"/>
        <v>0.15</v>
      </c>
      <c r="H144" s="719"/>
      <c r="I144" s="24">
        <f t="shared" si="26"/>
        <v>0</v>
      </c>
      <c r="J144" s="719"/>
      <c r="K144" s="24">
        <f t="shared" si="27"/>
        <v>0</v>
      </c>
      <c r="L144" s="719"/>
      <c r="M144" s="24">
        <f t="shared" si="28"/>
        <v>0.02</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4.4999999999999998E-2</v>
      </c>
      <c r="F145" s="719"/>
      <c r="G145" s="24">
        <f t="shared" si="25"/>
        <v>0.15</v>
      </c>
      <c r="H145" s="719"/>
      <c r="I145" s="24">
        <f t="shared" si="26"/>
        <v>0</v>
      </c>
      <c r="J145" s="719"/>
      <c r="K145" s="24">
        <f t="shared" si="27"/>
        <v>0</v>
      </c>
      <c r="L145" s="719"/>
      <c r="M145" s="24">
        <f t="shared" si="28"/>
        <v>0.02</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4.4999999999999998E-2</v>
      </c>
      <c r="F146" s="719"/>
      <c r="G146" s="24">
        <f t="shared" si="25"/>
        <v>0.15</v>
      </c>
      <c r="H146" s="719"/>
      <c r="I146" s="24">
        <f t="shared" si="26"/>
        <v>0</v>
      </c>
      <c r="J146" s="719"/>
      <c r="K146" s="24">
        <f t="shared" si="27"/>
        <v>0</v>
      </c>
      <c r="L146" s="719"/>
      <c r="M146" s="24">
        <f t="shared" si="28"/>
        <v>0.02</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4.4999999999999998E-2</v>
      </c>
      <c r="F147" s="719"/>
      <c r="G147" s="24">
        <f t="shared" si="25"/>
        <v>0.15</v>
      </c>
      <c r="H147" s="719"/>
      <c r="I147" s="24">
        <f t="shared" si="26"/>
        <v>0</v>
      </c>
      <c r="J147" s="719"/>
      <c r="K147" s="24">
        <f t="shared" si="27"/>
        <v>0</v>
      </c>
      <c r="L147" s="719"/>
      <c r="M147" s="24">
        <f t="shared" si="28"/>
        <v>0.02</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4.4999999999999998E-2</v>
      </c>
      <c r="F148" s="719"/>
      <c r="G148" s="24">
        <f t="shared" si="25"/>
        <v>0.15</v>
      </c>
      <c r="H148" s="719"/>
      <c r="I148" s="24">
        <f t="shared" si="26"/>
        <v>0</v>
      </c>
      <c r="J148" s="719"/>
      <c r="K148" s="24">
        <f t="shared" si="27"/>
        <v>0</v>
      </c>
      <c r="L148" s="719"/>
      <c r="M148" s="24">
        <f t="shared" si="28"/>
        <v>0.02</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4.4999999999999998E-2</v>
      </c>
      <c r="F149" s="719"/>
      <c r="G149" s="24">
        <f t="shared" si="25"/>
        <v>0.15</v>
      </c>
      <c r="H149" s="719"/>
      <c r="I149" s="24">
        <f t="shared" si="26"/>
        <v>0</v>
      </c>
      <c r="J149" s="719"/>
      <c r="K149" s="24">
        <f t="shared" si="27"/>
        <v>0</v>
      </c>
      <c r="L149" s="719"/>
      <c r="M149" s="24">
        <f t="shared" si="28"/>
        <v>0.02</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4.4999999999999998E-2</v>
      </c>
      <c r="F150" s="719"/>
      <c r="G150" s="24">
        <f t="shared" si="25"/>
        <v>0.15</v>
      </c>
      <c r="H150" s="719"/>
      <c r="I150" s="24">
        <f t="shared" si="26"/>
        <v>0</v>
      </c>
      <c r="J150" s="719"/>
      <c r="K150" s="24">
        <f t="shared" si="27"/>
        <v>0</v>
      </c>
      <c r="L150" s="719"/>
      <c r="M150" s="24">
        <f t="shared" si="28"/>
        <v>0.02</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4.4999999999999998E-2</v>
      </c>
      <c r="F151" s="719"/>
      <c r="G151" s="24">
        <f t="shared" si="25"/>
        <v>0.15</v>
      </c>
      <c r="H151" s="719"/>
      <c r="I151" s="24">
        <f t="shared" si="26"/>
        <v>0</v>
      </c>
      <c r="J151" s="719"/>
      <c r="K151" s="24">
        <f t="shared" si="27"/>
        <v>0</v>
      </c>
      <c r="L151" s="719"/>
      <c r="M151" s="24">
        <f t="shared" si="28"/>
        <v>0.02</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4.4999999999999998E-2</v>
      </c>
      <c r="F152" s="719"/>
      <c r="G152" s="24">
        <f t="shared" si="25"/>
        <v>0.15</v>
      </c>
      <c r="H152" s="719"/>
      <c r="I152" s="24">
        <f t="shared" si="26"/>
        <v>0</v>
      </c>
      <c r="J152" s="719"/>
      <c r="K152" s="24">
        <f t="shared" si="27"/>
        <v>0</v>
      </c>
      <c r="L152" s="719"/>
      <c r="M152" s="24">
        <f t="shared" si="28"/>
        <v>0.02</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4.4999999999999998E-2</v>
      </c>
      <c r="F153" s="719"/>
      <c r="G153" s="24">
        <f t="shared" si="25"/>
        <v>0.15</v>
      </c>
      <c r="H153" s="719"/>
      <c r="I153" s="24">
        <f t="shared" si="26"/>
        <v>0</v>
      </c>
      <c r="J153" s="719"/>
      <c r="K153" s="24">
        <f t="shared" si="27"/>
        <v>0</v>
      </c>
      <c r="L153" s="719"/>
      <c r="M153" s="24">
        <f t="shared" si="28"/>
        <v>0.02</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4.4999999999999998E-2</v>
      </c>
      <c r="F154" s="719"/>
      <c r="G154" s="24">
        <f t="shared" ref="G154:G217" si="35">(SUMIF($7:$7,F154,$8:$8)-SUMIF($7:$7,$F$24,$8:$8)+100)/100</f>
        <v>0.15</v>
      </c>
      <c r="H154" s="719"/>
      <c r="I154" s="24">
        <f t="shared" ref="I154:I217" si="36">(SUMIF($9:$9,H154,$10:$10)-SUMIF($9:$9,$H$24,$10:$10)+100)/100</f>
        <v>0</v>
      </c>
      <c r="J154" s="719"/>
      <c r="K154" s="24">
        <f t="shared" ref="K154:K217" si="37">(SUMIF($11:$11,J154,$12:$12)-SUMIF($11:$11,$J$24,$12:$12)+100)/100</f>
        <v>0</v>
      </c>
      <c r="L154" s="719"/>
      <c r="M154" s="24">
        <f t="shared" ref="M154:M217" si="38">(SUMIF($13:$13,L154,$14:$14)-SUMIF($13:$13,$L$24,$14:$14)+100)/100</f>
        <v>0.02</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4.4999999999999998E-2</v>
      </c>
      <c r="F155" s="719"/>
      <c r="G155" s="24">
        <f t="shared" si="35"/>
        <v>0.15</v>
      </c>
      <c r="H155" s="719"/>
      <c r="I155" s="24">
        <f t="shared" si="36"/>
        <v>0</v>
      </c>
      <c r="J155" s="719"/>
      <c r="K155" s="24">
        <f t="shared" si="37"/>
        <v>0</v>
      </c>
      <c r="L155" s="719"/>
      <c r="M155" s="24">
        <f t="shared" si="38"/>
        <v>0.02</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4.4999999999999998E-2</v>
      </c>
      <c r="F156" s="719"/>
      <c r="G156" s="24">
        <f t="shared" si="35"/>
        <v>0.15</v>
      </c>
      <c r="H156" s="719"/>
      <c r="I156" s="24">
        <f t="shared" si="36"/>
        <v>0</v>
      </c>
      <c r="J156" s="719"/>
      <c r="K156" s="24">
        <f t="shared" si="37"/>
        <v>0</v>
      </c>
      <c r="L156" s="719"/>
      <c r="M156" s="24">
        <f t="shared" si="38"/>
        <v>0.02</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4.4999999999999998E-2</v>
      </c>
      <c r="F157" s="719"/>
      <c r="G157" s="24">
        <f t="shared" si="35"/>
        <v>0.15</v>
      </c>
      <c r="H157" s="719"/>
      <c r="I157" s="24">
        <f t="shared" si="36"/>
        <v>0</v>
      </c>
      <c r="J157" s="719"/>
      <c r="K157" s="24">
        <f t="shared" si="37"/>
        <v>0</v>
      </c>
      <c r="L157" s="719"/>
      <c r="M157" s="24">
        <f t="shared" si="38"/>
        <v>0.02</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4.4999999999999998E-2</v>
      </c>
      <c r="F158" s="719"/>
      <c r="G158" s="24">
        <f t="shared" si="35"/>
        <v>0.15</v>
      </c>
      <c r="H158" s="719"/>
      <c r="I158" s="24">
        <f t="shared" si="36"/>
        <v>0</v>
      </c>
      <c r="J158" s="719"/>
      <c r="K158" s="24">
        <f t="shared" si="37"/>
        <v>0</v>
      </c>
      <c r="L158" s="719"/>
      <c r="M158" s="24">
        <f t="shared" si="38"/>
        <v>0.02</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4.4999999999999998E-2</v>
      </c>
      <c r="F159" s="719"/>
      <c r="G159" s="24">
        <f t="shared" si="35"/>
        <v>0.15</v>
      </c>
      <c r="H159" s="719"/>
      <c r="I159" s="24">
        <f t="shared" si="36"/>
        <v>0</v>
      </c>
      <c r="J159" s="719"/>
      <c r="K159" s="24">
        <f t="shared" si="37"/>
        <v>0</v>
      </c>
      <c r="L159" s="719"/>
      <c r="M159" s="24">
        <f t="shared" si="38"/>
        <v>0.02</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4.4999999999999998E-2</v>
      </c>
      <c r="F160" s="719"/>
      <c r="G160" s="24">
        <f t="shared" si="35"/>
        <v>0.15</v>
      </c>
      <c r="H160" s="719"/>
      <c r="I160" s="24">
        <f t="shared" si="36"/>
        <v>0</v>
      </c>
      <c r="J160" s="719"/>
      <c r="K160" s="24">
        <f t="shared" si="37"/>
        <v>0</v>
      </c>
      <c r="L160" s="719"/>
      <c r="M160" s="24">
        <f t="shared" si="38"/>
        <v>0.02</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4.4999999999999998E-2</v>
      </c>
      <c r="F161" s="719"/>
      <c r="G161" s="24">
        <f t="shared" si="35"/>
        <v>0.15</v>
      </c>
      <c r="H161" s="719"/>
      <c r="I161" s="24">
        <f t="shared" si="36"/>
        <v>0</v>
      </c>
      <c r="J161" s="719"/>
      <c r="K161" s="24">
        <f t="shared" si="37"/>
        <v>0</v>
      </c>
      <c r="L161" s="719"/>
      <c r="M161" s="24">
        <f t="shared" si="38"/>
        <v>0.02</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4.4999999999999998E-2</v>
      </c>
      <c r="F162" s="719"/>
      <c r="G162" s="24">
        <f t="shared" si="35"/>
        <v>0.15</v>
      </c>
      <c r="H162" s="719"/>
      <c r="I162" s="24">
        <f t="shared" si="36"/>
        <v>0</v>
      </c>
      <c r="J162" s="719"/>
      <c r="K162" s="24">
        <f t="shared" si="37"/>
        <v>0</v>
      </c>
      <c r="L162" s="719"/>
      <c r="M162" s="24">
        <f t="shared" si="38"/>
        <v>0.02</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4.4999999999999998E-2</v>
      </c>
      <c r="F163" s="719"/>
      <c r="G163" s="24">
        <f t="shared" si="35"/>
        <v>0.15</v>
      </c>
      <c r="H163" s="719"/>
      <c r="I163" s="24">
        <f t="shared" si="36"/>
        <v>0</v>
      </c>
      <c r="J163" s="719"/>
      <c r="K163" s="24">
        <f t="shared" si="37"/>
        <v>0</v>
      </c>
      <c r="L163" s="719"/>
      <c r="M163" s="24">
        <f t="shared" si="38"/>
        <v>0.02</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4.4999999999999998E-2</v>
      </c>
      <c r="F164" s="719"/>
      <c r="G164" s="24">
        <f t="shared" si="35"/>
        <v>0.15</v>
      </c>
      <c r="H164" s="719"/>
      <c r="I164" s="24">
        <f t="shared" si="36"/>
        <v>0</v>
      </c>
      <c r="J164" s="719"/>
      <c r="K164" s="24">
        <f t="shared" si="37"/>
        <v>0</v>
      </c>
      <c r="L164" s="719"/>
      <c r="M164" s="24">
        <f t="shared" si="38"/>
        <v>0.02</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4.4999999999999998E-2</v>
      </c>
      <c r="F165" s="719"/>
      <c r="G165" s="24">
        <f t="shared" si="35"/>
        <v>0.15</v>
      </c>
      <c r="H165" s="719"/>
      <c r="I165" s="24">
        <f t="shared" si="36"/>
        <v>0</v>
      </c>
      <c r="J165" s="719"/>
      <c r="K165" s="24">
        <f t="shared" si="37"/>
        <v>0</v>
      </c>
      <c r="L165" s="719"/>
      <c r="M165" s="24">
        <f t="shared" si="38"/>
        <v>0.02</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4.4999999999999998E-2</v>
      </c>
      <c r="F166" s="719"/>
      <c r="G166" s="24">
        <f t="shared" si="35"/>
        <v>0.15</v>
      </c>
      <c r="H166" s="719"/>
      <c r="I166" s="24">
        <f t="shared" si="36"/>
        <v>0</v>
      </c>
      <c r="J166" s="719"/>
      <c r="K166" s="24">
        <f t="shared" si="37"/>
        <v>0</v>
      </c>
      <c r="L166" s="719"/>
      <c r="M166" s="24">
        <f t="shared" si="38"/>
        <v>0.02</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4.4999999999999998E-2</v>
      </c>
      <c r="F167" s="719"/>
      <c r="G167" s="24">
        <f t="shared" si="35"/>
        <v>0.15</v>
      </c>
      <c r="H167" s="719"/>
      <c r="I167" s="24">
        <f t="shared" si="36"/>
        <v>0</v>
      </c>
      <c r="J167" s="719"/>
      <c r="K167" s="24">
        <f t="shared" si="37"/>
        <v>0</v>
      </c>
      <c r="L167" s="719"/>
      <c r="M167" s="24">
        <f t="shared" si="38"/>
        <v>0.02</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4.4999999999999998E-2</v>
      </c>
      <c r="F168" s="719"/>
      <c r="G168" s="24">
        <f t="shared" si="35"/>
        <v>0.15</v>
      </c>
      <c r="H168" s="719"/>
      <c r="I168" s="24">
        <f t="shared" si="36"/>
        <v>0</v>
      </c>
      <c r="J168" s="719"/>
      <c r="K168" s="24">
        <f t="shared" si="37"/>
        <v>0</v>
      </c>
      <c r="L168" s="719"/>
      <c r="M168" s="24">
        <f t="shared" si="38"/>
        <v>0.02</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4.4999999999999998E-2</v>
      </c>
      <c r="F169" s="719"/>
      <c r="G169" s="24">
        <f t="shared" si="35"/>
        <v>0.15</v>
      </c>
      <c r="H169" s="719"/>
      <c r="I169" s="24">
        <f t="shared" si="36"/>
        <v>0</v>
      </c>
      <c r="J169" s="719"/>
      <c r="K169" s="24">
        <f t="shared" si="37"/>
        <v>0</v>
      </c>
      <c r="L169" s="719"/>
      <c r="M169" s="24">
        <f t="shared" si="38"/>
        <v>0.02</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4.4999999999999998E-2</v>
      </c>
      <c r="F170" s="719"/>
      <c r="G170" s="24">
        <f t="shared" si="35"/>
        <v>0.15</v>
      </c>
      <c r="H170" s="719"/>
      <c r="I170" s="24">
        <f t="shared" si="36"/>
        <v>0</v>
      </c>
      <c r="J170" s="719"/>
      <c r="K170" s="24">
        <f t="shared" si="37"/>
        <v>0</v>
      </c>
      <c r="L170" s="719"/>
      <c r="M170" s="24">
        <f t="shared" si="38"/>
        <v>0.02</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4.4999999999999998E-2</v>
      </c>
      <c r="F171" s="719"/>
      <c r="G171" s="24">
        <f t="shared" si="35"/>
        <v>0.15</v>
      </c>
      <c r="H171" s="719"/>
      <c r="I171" s="24">
        <f t="shared" si="36"/>
        <v>0</v>
      </c>
      <c r="J171" s="719"/>
      <c r="K171" s="24">
        <f t="shared" si="37"/>
        <v>0</v>
      </c>
      <c r="L171" s="719"/>
      <c r="M171" s="24">
        <f t="shared" si="38"/>
        <v>0.02</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4.4999999999999998E-2</v>
      </c>
      <c r="F172" s="719"/>
      <c r="G172" s="24">
        <f t="shared" si="35"/>
        <v>0.15</v>
      </c>
      <c r="H172" s="719"/>
      <c r="I172" s="24">
        <f t="shared" si="36"/>
        <v>0</v>
      </c>
      <c r="J172" s="719"/>
      <c r="K172" s="24">
        <f t="shared" si="37"/>
        <v>0</v>
      </c>
      <c r="L172" s="719"/>
      <c r="M172" s="24">
        <f t="shared" si="38"/>
        <v>0.02</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4.4999999999999998E-2</v>
      </c>
      <c r="F173" s="719"/>
      <c r="G173" s="24">
        <f t="shared" si="35"/>
        <v>0.15</v>
      </c>
      <c r="H173" s="719"/>
      <c r="I173" s="24">
        <f t="shared" si="36"/>
        <v>0</v>
      </c>
      <c r="J173" s="719"/>
      <c r="K173" s="24">
        <f t="shared" si="37"/>
        <v>0</v>
      </c>
      <c r="L173" s="719"/>
      <c r="M173" s="24">
        <f t="shared" si="38"/>
        <v>0.02</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4.4999999999999998E-2</v>
      </c>
      <c r="F174" s="719"/>
      <c r="G174" s="24">
        <f t="shared" si="35"/>
        <v>0.15</v>
      </c>
      <c r="H174" s="719"/>
      <c r="I174" s="24">
        <f t="shared" si="36"/>
        <v>0</v>
      </c>
      <c r="J174" s="719"/>
      <c r="K174" s="24">
        <f t="shared" si="37"/>
        <v>0</v>
      </c>
      <c r="L174" s="719"/>
      <c r="M174" s="24">
        <f t="shared" si="38"/>
        <v>0.02</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4.4999999999999998E-2</v>
      </c>
      <c r="F175" s="719"/>
      <c r="G175" s="24">
        <f t="shared" si="35"/>
        <v>0.15</v>
      </c>
      <c r="H175" s="719"/>
      <c r="I175" s="24">
        <f t="shared" si="36"/>
        <v>0</v>
      </c>
      <c r="J175" s="719"/>
      <c r="K175" s="24">
        <f t="shared" si="37"/>
        <v>0</v>
      </c>
      <c r="L175" s="719"/>
      <c r="M175" s="24">
        <f t="shared" si="38"/>
        <v>0.02</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4.4999999999999998E-2</v>
      </c>
      <c r="F176" s="719"/>
      <c r="G176" s="24">
        <f t="shared" si="35"/>
        <v>0.15</v>
      </c>
      <c r="H176" s="719"/>
      <c r="I176" s="24">
        <f t="shared" si="36"/>
        <v>0</v>
      </c>
      <c r="J176" s="719"/>
      <c r="K176" s="24">
        <f t="shared" si="37"/>
        <v>0</v>
      </c>
      <c r="L176" s="719"/>
      <c r="M176" s="24">
        <f t="shared" si="38"/>
        <v>0.02</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4.4999999999999998E-2</v>
      </c>
      <c r="F177" s="719"/>
      <c r="G177" s="24">
        <f t="shared" si="35"/>
        <v>0.15</v>
      </c>
      <c r="H177" s="719"/>
      <c r="I177" s="24">
        <f t="shared" si="36"/>
        <v>0</v>
      </c>
      <c r="J177" s="719"/>
      <c r="K177" s="24">
        <f t="shared" si="37"/>
        <v>0</v>
      </c>
      <c r="L177" s="719"/>
      <c r="M177" s="24">
        <f t="shared" si="38"/>
        <v>0.02</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4.4999999999999998E-2</v>
      </c>
      <c r="F178" s="719"/>
      <c r="G178" s="24">
        <f t="shared" si="35"/>
        <v>0.15</v>
      </c>
      <c r="H178" s="719"/>
      <c r="I178" s="24">
        <f t="shared" si="36"/>
        <v>0</v>
      </c>
      <c r="J178" s="719"/>
      <c r="K178" s="24">
        <f t="shared" si="37"/>
        <v>0</v>
      </c>
      <c r="L178" s="719"/>
      <c r="M178" s="24">
        <f t="shared" si="38"/>
        <v>0.02</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4.4999999999999998E-2</v>
      </c>
      <c r="F179" s="719"/>
      <c r="G179" s="24">
        <f t="shared" si="35"/>
        <v>0.15</v>
      </c>
      <c r="H179" s="719"/>
      <c r="I179" s="24">
        <f t="shared" si="36"/>
        <v>0</v>
      </c>
      <c r="J179" s="719"/>
      <c r="K179" s="24">
        <f t="shared" si="37"/>
        <v>0</v>
      </c>
      <c r="L179" s="719"/>
      <c r="M179" s="24">
        <f t="shared" si="38"/>
        <v>0.02</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4.4999999999999998E-2</v>
      </c>
      <c r="F180" s="719"/>
      <c r="G180" s="24">
        <f t="shared" si="35"/>
        <v>0.15</v>
      </c>
      <c r="H180" s="719"/>
      <c r="I180" s="24">
        <f t="shared" si="36"/>
        <v>0</v>
      </c>
      <c r="J180" s="719"/>
      <c r="K180" s="24">
        <f t="shared" si="37"/>
        <v>0</v>
      </c>
      <c r="L180" s="719"/>
      <c r="M180" s="24">
        <f t="shared" si="38"/>
        <v>0.02</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4.4999999999999998E-2</v>
      </c>
      <c r="F181" s="719"/>
      <c r="G181" s="24">
        <f t="shared" si="35"/>
        <v>0.15</v>
      </c>
      <c r="H181" s="719"/>
      <c r="I181" s="24">
        <f t="shared" si="36"/>
        <v>0</v>
      </c>
      <c r="J181" s="719"/>
      <c r="K181" s="24">
        <f t="shared" si="37"/>
        <v>0</v>
      </c>
      <c r="L181" s="719"/>
      <c r="M181" s="24">
        <f t="shared" si="38"/>
        <v>0.02</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4.4999999999999998E-2</v>
      </c>
      <c r="F182" s="719"/>
      <c r="G182" s="24">
        <f t="shared" si="35"/>
        <v>0.15</v>
      </c>
      <c r="H182" s="719"/>
      <c r="I182" s="24">
        <f t="shared" si="36"/>
        <v>0</v>
      </c>
      <c r="J182" s="719"/>
      <c r="K182" s="24">
        <f t="shared" si="37"/>
        <v>0</v>
      </c>
      <c r="L182" s="719"/>
      <c r="M182" s="24">
        <f t="shared" si="38"/>
        <v>0.02</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4.4999999999999998E-2</v>
      </c>
      <c r="F183" s="719"/>
      <c r="G183" s="24">
        <f t="shared" si="35"/>
        <v>0.15</v>
      </c>
      <c r="H183" s="719"/>
      <c r="I183" s="24">
        <f t="shared" si="36"/>
        <v>0</v>
      </c>
      <c r="J183" s="719"/>
      <c r="K183" s="24">
        <f t="shared" si="37"/>
        <v>0</v>
      </c>
      <c r="L183" s="719"/>
      <c r="M183" s="24">
        <f t="shared" si="38"/>
        <v>0.02</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4.4999999999999998E-2</v>
      </c>
      <c r="F184" s="719"/>
      <c r="G184" s="24">
        <f t="shared" si="35"/>
        <v>0.15</v>
      </c>
      <c r="H184" s="719"/>
      <c r="I184" s="24">
        <f t="shared" si="36"/>
        <v>0</v>
      </c>
      <c r="J184" s="719"/>
      <c r="K184" s="24">
        <f t="shared" si="37"/>
        <v>0</v>
      </c>
      <c r="L184" s="719"/>
      <c r="M184" s="24">
        <f t="shared" si="38"/>
        <v>0.02</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4.4999999999999998E-2</v>
      </c>
      <c r="F185" s="719"/>
      <c r="G185" s="24">
        <f t="shared" si="35"/>
        <v>0.15</v>
      </c>
      <c r="H185" s="719"/>
      <c r="I185" s="24">
        <f t="shared" si="36"/>
        <v>0</v>
      </c>
      <c r="J185" s="719"/>
      <c r="K185" s="24">
        <f t="shared" si="37"/>
        <v>0</v>
      </c>
      <c r="L185" s="719"/>
      <c r="M185" s="24">
        <f t="shared" si="38"/>
        <v>0.02</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4.4999999999999998E-2</v>
      </c>
      <c r="F186" s="719"/>
      <c r="G186" s="24">
        <f t="shared" si="35"/>
        <v>0.15</v>
      </c>
      <c r="H186" s="719"/>
      <c r="I186" s="24">
        <f t="shared" si="36"/>
        <v>0</v>
      </c>
      <c r="J186" s="719"/>
      <c r="K186" s="24">
        <f t="shared" si="37"/>
        <v>0</v>
      </c>
      <c r="L186" s="719"/>
      <c r="M186" s="24">
        <f t="shared" si="38"/>
        <v>0.02</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4.4999999999999998E-2</v>
      </c>
      <c r="F187" s="719"/>
      <c r="G187" s="24">
        <f t="shared" si="35"/>
        <v>0.15</v>
      </c>
      <c r="H187" s="719"/>
      <c r="I187" s="24">
        <f t="shared" si="36"/>
        <v>0</v>
      </c>
      <c r="J187" s="719"/>
      <c r="K187" s="24">
        <f t="shared" si="37"/>
        <v>0</v>
      </c>
      <c r="L187" s="719"/>
      <c r="M187" s="24">
        <f t="shared" si="38"/>
        <v>0.02</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4.4999999999999998E-2</v>
      </c>
      <c r="F188" s="719"/>
      <c r="G188" s="24">
        <f t="shared" si="35"/>
        <v>0.15</v>
      </c>
      <c r="H188" s="719"/>
      <c r="I188" s="24">
        <f t="shared" si="36"/>
        <v>0</v>
      </c>
      <c r="J188" s="719"/>
      <c r="K188" s="24">
        <f t="shared" si="37"/>
        <v>0</v>
      </c>
      <c r="L188" s="719"/>
      <c r="M188" s="24">
        <f t="shared" si="38"/>
        <v>0.02</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4.4999999999999998E-2</v>
      </c>
      <c r="F189" s="719"/>
      <c r="G189" s="24">
        <f t="shared" si="35"/>
        <v>0.15</v>
      </c>
      <c r="H189" s="719"/>
      <c r="I189" s="24">
        <f t="shared" si="36"/>
        <v>0</v>
      </c>
      <c r="J189" s="719"/>
      <c r="K189" s="24">
        <f t="shared" si="37"/>
        <v>0</v>
      </c>
      <c r="L189" s="719"/>
      <c r="M189" s="24">
        <f t="shared" si="38"/>
        <v>0.02</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4.4999999999999998E-2</v>
      </c>
      <c r="F190" s="719"/>
      <c r="G190" s="24">
        <f t="shared" si="35"/>
        <v>0.15</v>
      </c>
      <c r="H190" s="719"/>
      <c r="I190" s="24">
        <f t="shared" si="36"/>
        <v>0</v>
      </c>
      <c r="J190" s="719"/>
      <c r="K190" s="24">
        <f t="shared" si="37"/>
        <v>0</v>
      </c>
      <c r="L190" s="719"/>
      <c r="M190" s="24">
        <f t="shared" si="38"/>
        <v>0.02</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4.4999999999999998E-2</v>
      </c>
      <c r="F191" s="719"/>
      <c r="G191" s="24">
        <f t="shared" si="35"/>
        <v>0.15</v>
      </c>
      <c r="H191" s="719"/>
      <c r="I191" s="24">
        <f t="shared" si="36"/>
        <v>0</v>
      </c>
      <c r="J191" s="719"/>
      <c r="K191" s="24">
        <f t="shared" si="37"/>
        <v>0</v>
      </c>
      <c r="L191" s="719"/>
      <c r="M191" s="24">
        <f t="shared" si="38"/>
        <v>0.02</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4.4999999999999998E-2</v>
      </c>
      <c r="F192" s="719"/>
      <c r="G192" s="24">
        <f t="shared" si="35"/>
        <v>0.15</v>
      </c>
      <c r="H192" s="719"/>
      <c r="I192" s="24">
        <f t="shared" si="36"/>
        <v>0</v>
      </c>
      <c r="J192" s="719"/>
      <c r="K192" s="24">
        <f t="shared" si="37"/>
        <v>0</v>
      </c>
      <c r="L192" s="719"/>
      <c r="M192" s="24">
        <f t="shared" si="38"/>
        <v>0.02</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4.4999999999999998E-2</v>
      </c>
      <c r="F193" s="719"/>
      <c r="G193" s="24">
        <f t="shared" si="35"/>
        <v>0.15</v>
      </c>
      <c r="H193" s="719"/>
      <c r="I193" s="24">
        <f t="shared" si="36"/>
        <v>0</v>
      </c>
      <c r="J193" s="719"/>
      <c r="K193" s="24">
        <f t="shared" si="37"/>
        <v>0</v>
      </c>
      <c r="L193" s="719"/>
      <c r="M193" s="24">
        <f t="shared" si="38"/>
        <v>0.02</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4.4999999999999998E-2</v>
      </c>
      <c r="F194" s="719"/>
      <c r="G194" s="24">
        <f t="shared" si="35"/>
        <v>0.15</v>
      </c>
      <c r="H194" s="719"/>
      <c r="I194" s="24">
        <f t="shared" si="36"/>
        <v>0</v>
      </c>
      <c r="J194" s="719"/>
      <c r="K194" s="24">
        <f t="shared" si="37"/>
        <v>0</v>
      </c>
      <c r="L194" s="719"/>
      <c r="M194" s="24">
        <f t="shared" si="38"/>
        <v>0.02</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4.4999999999999998E-2</v>
      </c>
      <c r="F195" s="719"/>
      <c r="G195" s="24">
        <f t="shared" si="35"/>
        <v>0.15</v>
      </c>
      <c r="H195" s="719"/>
      <c r="I195" s="24">
        <f t="shared" si="36"/>
        <v>0</v>
      </c>
      <c r="J195" s="719"/>
      <c r="K195" s="24">
        <f t="shared" si="37"/>
        <v>0</v>
      </c>
      <c r="L195" s="719"/>
      <c r="M195" s="24">
        <f t="shared" si="38"/>
        <v>0.02</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4.4999999999999998E-2</v>
      </c>
      <c r="F196" s="719"/>
      <c r="G196" s="24">
        <f t="shared" si="35"/>
        <v>0.15</v>
      </c>
      <c r="H196" s="719"/>
      <c r="I196" s="24">
        <f t="shared" si="36"/>
        <v>0</v>
      </c>
      <c r="J196" s="719"/>
      <c r="K196" s="24">
        <f t="shared" si="37"/>
        <v>0</v>
      </c>
      <c r="L196" s="719"/>
      <c r="M196" s="24">
        <f t="shared" si="38"/>
        <v>0.02</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4.4999999999999998E-2</v>
      </c>
      <c r="F197" s="719"/>
      <c r="G197" s="24">
        <f t="shared" si="35"/>
        <v>0.15</v>
      </c>
      <c r="H197" s="719"/>
      <c r="I197" s="24">
        <f t="shared" si="36"/>
        <v>0</v>
      </c>
      <c r="J197" s="719"/>
      <c r="K197" s="24">
        <f t="shared" si="37"/>
        <v>0</v>
      </c>
      <c r="L197" s="719"/>
      <c r="M197" s="24">
        <f t="shared" si="38"/>
        <v>0.02</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4.4999999999999998E-2</v>
      </c>
      <c r="F198" s="719"/>
      <c r="G198" s="24">
        <f t="shared" si="35"/>
        <v>0.15</v>
      </c>
      <c r="H198" s="719"/>
      <c r="I198" s="24">
        <f t="shared" si="36"/>
        <v>0</v>
      </c>
      <c r="J198" s="719"/>
      <c r="K198" s="24">
        <f t="shared" si="37"/>
        <v>0</v>
      </c>
      <c r="L198" s="719"/>
      <c r="M198" s="24">
        <f t="shared" si="38"/>
        <v>0.02</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4.4999999999999998E-2</v>
      </c>
      <c r="F199" s="719"/>
      <c r="G199" s="24">
        <f t="shared" si="35"/>
        <v>0.15</v>
      </c>
      <c r="H199" s="719"/>
      <c r="I199" s="24">
        <f t="shared" si="36"/>
        <v>0</v>
      </c>
      <c r="J199" s="719"/>
      <c r="K199" s="24">
        <f t="shared" si="37"/>
        <v>0</v>
      </c>
      <c r="L199" s="719"/>
      <c r="M199" s="24">
        <f t="shared" si="38"/>
        <v>0.02</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4.4999999999999998E-2</v>
      </c>
      <c r="F200" s="719"/>
      <c r="G200" s="24">
        <f t="shared" si="35"/>
        <v>0.15</v>
      </c>
      <c r="H200" s="719"/>
      <c r="I200" s="24">
        <f t="shared" si="36"/>
        <v>0</v>
      </c>
      <c r="J200" s="719"/>
      <c r="K200" s="24">
        <f t="shared" si="37"/>
        <v>0</v>
      </c>
      <c r="L200" s="719"/>
      <c r="M200" s="24">
        <f t="shared" si="38"/>
        <v>0.02</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4.4999999999999998E-2</v>
      </c>
      <c r="F201" s="719"/>
      <c r="G201" s="24">
        <f t="shared" si="35"/>
        <v>0.15</v>
      </c>
      <c r="H201" s="719"/>
      <c r="I201" s="24">
        <f t="shared" si="36"/>
        <v>0</v>
      </c>
      <c r="J201" s="719"/>
      <c r="K201" s="24">
        <f t="shared" si="37"/>
        <v>0</v>
      </c>
      <c r="L201" s="719"/>
      <c r="M201" s="24">
        <f t="shared" si="38"/>
        <v>0.02</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4.4999999999999998E-2</v>
      </c>
      <c r="F202" s="719"/>
      <c r="G202" s="24">
        <f t="shared" si="35"/>
        <v>0.15</v>
      </c>
      <c r="H202" s="719"/>
      <c r="I202" s="24">
        <f t="shared" si="36"/>
        <v>0</v>
      </c>
      <c r="J202" s="719"/>
      <c r="K202" s="24">
        <f t="shared" si="37"/>
        <v>0</v>
      </c>
      <c r="L202" s="719"/>
      <c r="M202" s="24">
        <f t="shared" si="38"/>
        <v>0.02</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4.4999999999999998E-2</v>
      </c>
      <c r="F203" s="719"/>
      <c r="G203" s="24">
        <f t="shared" si="35"/>
        <v>0.15</v>
      </c>
      <c r="H203" s="719"/>
      <c r="I203" s="24">
        <f t="shared" si="36"/>
        <v>0</v>
      </c>
      <c r="J203" s="719"/>
      <c r="K203" s="24">
        <f t="shared" si="37"/>
        <v>0</v>
      </c>
      <c r="L203" s="719"/>
      <c r="M203" s="24">
        <f t="shared" si="38"/>
        <v>0.02</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4.4999999999999998E-2</v>
      </c>
      <c r="F204" s="719"/>
      <c r="G204" s="24">
        <f t="shared" si="35"/>
        <v>0.15</v>
      </c>
      <c r="H204" s="719"/>
      <c r="I204" s="24">
        <f t="shared" si="36"/>
        <v>0</v>
      </c>
      <c r="J204" s="719"/>
      <c r="K204" s="24">
        <f t="shared" si="37"/>
        <v>0</v>
      </c>
      <c r="L204" s="719"/>
      <c r="M204" s="24">
        <f t="shared" si="38"/>
        <v>0.02</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4.4999999999999998E-2</v>
      </c>
      <c r="F205" s="719"/>
      <c r="G205" s="24">
        <f t="shared" si="35"/>
        <v>0.15</v>
      </c>
      <c r="H205" s="719"/>
      <c r="I205" s="24">
        <f t="shared" si="36"/>
        <v>0</v>
      </c>
      <c r="J205" s="719"/>
      <c r="K205" s="24">
        <f t="shared" si="37"/>
        <v>0</v>
      </c>
      <c r="L205" s="719"/>
      <c r="M205" s="24">
        <f t="shared" si="38"/>
        <v>0.02</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4.4999999999999998E-2</v>
      </c>
      <c r="F206" s="719"/>
      <c r="G206" s="24">
        <f t="shared" si="35"/>
        <v>0.15</v>
      </c>
      <c r="H206" s="719"/>
      <c r="I206" s="24">
        <f t="shared" si="36"/>
        <v>0</v>
      </c>
      <c r="J206" s="719"/>
      <c r="K206" s="24">
        <f t="shared" si="37"/>
        <v>0</v>
      </c>
      <c r="L206" s="719"/>
      <c r="M206" s="24">
        <f t="shared" si="38"/>
        <v>0.02</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4.4999999999999998E-2</v>
      </c>
      <c r="F207" s="719"/>
      <c r="G207" s="24">
        <f t="shared" si="35"/>
        <v>0.15</v>
      </c>
      <c r="H207" s="719"/>
      <c r="I207" s="24">
        <f t="shared" si="36"/>
        <v>0</v>
      </c>
      <c r="J207" s="719"/>
      <c r="K207" s="24">
        <f t="shared" si="37"/>
        <v>0</v>
      </c>
      <c r="L207" s="719"/>
      <c r="M207" s="24">
        <f t="shared" si="38"/>
        <v>0.02</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4.4999999999999998E-2</v>
      </c>
      <c r="F208" s="719"/>
      <c r="G208" s="24">
        <f t="shared" si="35"/>
        <v>0.15</v>
      </c>
      <c r="H208" s="719"/>
      <c r="I208" s="24">
        <f t="shared" si="36"/>
        <v>0</v>
      </c>
      <c r="J208" s="719"/>
      <c r="K208" s="24">
        <f t="shared" si="37"/>
        <v>0</v>
      </c>
      <c r="L208" s="719"/>
      <c r="M208" s="24">
        <f t="shared" si="38"/>
        <v>0.02</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4.4999999999999998E-2</v>
      </c>
      <c r="F209" s="719"/>
      <c r="G209" s="24">
        <f t="shared" si="35"/>
        <v>0.15</v>
      </c>
      <c r="H209" s="719"/>
      <c r="I209" s="24">
        <f t="shared" si="36"/>
        <v>0</v>
      </c>
      <c r="J209" s="719"/>
      <c r="K209" s="24">
        <f t="shared" si="37"/>
        <v>0</v>
      </c>
      <c r="L209" s="719"/>
      <c r="M209" s="24">
        <f t="shared" si="38"/>
        <v>0.02</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4.4999999999999998E-2</v>
      </c>
      <c r="F210" s="719"/>
      <c r="G210" s="24">
        <f t="shared" si="35"/>
        <v>0.15</v>
      </c>
      <c r="H210" s="719"/>
      <c r="I210" s="24">
        <f t="shared" si="36"/>
        <v>0</v>
      </c>
      <c r="J210" s="719"/>
      <c r="K210" s="24">
        <f t="shared" si="37"/>
        <v>0</v>
      </c>
      <c r="L210" s="719"/>
      <c r="M210" s="24">
        <f t="shared" si="38"/>
        <v>0.02</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4.4999999999999998E-2</v>
      </c>
      <c r="F211" s="719"/>
      <c r="G211" s="24">
        <f t="shared" si="35"/>
        <v>0.15</v>
      </c>
      <c r="H211" s="719"/>
      <c r="I211" s="24">
        <f t="shared" si="36"/>
        <v>0</v>
      </c>
      <c r="J211" s="719"/>
      <c r="K211" s="24">
        <f t="shared" si="37"/>
        <v>0</v>
      </c>
      <c r="L211" s="719"/>
      <c r="M211" s="24">
        <f t="shared" si="38"/>
        <v>0.02</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4.4999999999999998E-2</v>
      </c>
      <c r="F212" s="719"/>
      <c r="G212" s="24">
        <f t="shared" si="35"/>
        <v>0.15</v>
      </c>
      <c r="H212" s="719"/>
      <c r="I212" s="24">
        <f t="shared" si="36"/>
        <v>0</v>
      </c>
      <c r="J212" s="719"/>
      <c r="K212" s="24">
        <f t="shared" si="37"/>
        <v>0</v>
      </c>
      <c r="L212" s="719"/>
      <c r="M212" s="24">
        <f t="shared" si="38"/>
        <v>0.02</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4.4999999999999998E-2</v>
      </c>
      <c r="F213" s="719"/>
      <c r="G213" s="24">
        <f t="shared" si="35"/>
        <v>0.15</v>
      </c>
      <c r="H213" s="719"/>
      <c r="I213" s="24">
        <f t="shared" si="36"/>
        <v>0</v>
      </c>
      <c r="J213" s="719"/>
      <c r="K213" s="24">
        <f t="shared" si="37"/>
        <v>0</v>
      </c>
      <c r="L213" s="719"/>
      <c r="M213" s="24">
        <f t="shared" si="38"/>
        <v>0.02</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4.4999999999999998E-2</v>
      </c>
      <c r="F214" s="719"/>
      <c r="G214" s="24">
        <f t="shared" si="35"/>
        <v>0.15</v>
      </c>
      <c r="H214" s="719"/>
      <c r="I214" s="24">
        <f t="shared" si="36"/>
        <v>0</v>
      </c>
      <c r="J214" s="719"/>
      <c r="K214" s="24">
        <f t="shared" si="37"/>
        <v>0</v>
      </c>
      <c r="L214" s="719"/>
      <c r="M214" s="24">
        <f t="shared" si="38"/>
        <v>0.02</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4.4999999999999998E-2</v>
      </c>
      <c r="F215" s="719"/>
      <c r="G215" s="24">
        <f t="shared" si="35"/>
        <v>0.15</v>
      </c>
      <c r="H215" s="719"/>
      <c r="I215" s="24">
        <f t="shared" si="36"/>
        <v>0</v>
      </c>
      <c r="J215" s="719"/>
      <c r="K215" s="24">
        <f t="shared" si="37"/>
        <v>0</v>
      </c>
      <c r="L215" s="719"/>
      <c r="M215" s="24">
        <f t="shared" si="38"/>
        <v>0.02</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4.4999999999999998E-2</v>
      </c>
      <c r="F216" s="719"/>
      <c r="G216" s="24">
        <f t="shared" si="35"/>
        <v>0.15</v>
      </c>
      <c r="H216" s="719"/>
      <c r="I216" s="24">
        <f t="shared" si="36"/>
        <v>0</v>
      </c>
      <c r="J216" s="719"/>
      <c r="K216" s="24">
        <f t="shared" si="37"/>
        <v>0</v>
      </c>
      <c r="L216" s="719"/>
      <c r="M216" s="24">
        <f t="shared" si="38"/>
        <v>0.02</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4.4999999999999998E-2</v>
      </c>
      <c r="F217" s="719"/>
      <c r="G217" s="24">
        <f t="shared" si="35"/>
        <v>0.15</v>
      </c>
      <c r="H217" s="719"/>
      <c r="I217" s="24">
        <f t="shared" si="36"/>
        <v>0</v>
      </c>
      <c r="J217" s="719"/>
      <c r="K217" s="24">
        <f t="shared" si="37"/>
        <v>0</v>
      </c>
      <c r="L217" s="719"/>
      <c r="M217" s="24">
        <f t="shared" si="38"/>
        <v>0.02</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4.4999999999999998E-2</v>
      </c>
      <c r="F218" s="719"/>
      <c r="G218" s="24">
        <f t="shared" ref="G218:G281" si="45">(SUMIF($7:$7,F218,$8:$8)-SUMIF($7:$7,$F$24,$8:$8)+100)/100</f>
        <v>0.15</v>
      </c>
      <c r="H218" s="719"/>
      <c r="I218" s="24">
        <f t="shared" ref="I218:I281" si="46">(SUMIF($9:$9,H218,$10:$10)-SUMIF($9:$9,$H$24,$10:$10)+100)/100</f>
        <v>0</v>
      </c>
      <c r="J218" s="719"/>
      <c r="K218" s="24">
        <f t="shared" ref="K218:K281" si="47">(SUMIF($11:$11,J218,$12:$12)-SUMIF($11:$11,$J$24,$12:$12)+100)/100</f>
        <v>0</v>
      </c>
      <c r="L218" s="719"/>
      <c r="M218" s="24">
        <f t="shared" ref="M218:M281" si="48">(SUMIF($13:$13,L218,$14:$14)-SUMIF($13:$13,$L$24,$14:$14)+100)/100</f>
        <v>0.02</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4.4999999999999998E-2</v>
      </c>
      <c r="F219" s="719"/>
      <c r="G219" s="24">
        <f t="shared" si="45"/>
        <v>0.15</v>
      </c>
      <c r="H219" s="719"/>
      <c r="I219" s="24">
        <f t="shared" si="46"/>
        <v>0</v>
      </c>
      <c r="J219" s="719"/>
      <c r="K219" s="24">
        <f t="shared" si="47"/>
        <v>0</v>
      </c>
      <c r="L219" s="719"/>
      <c r="M219" s="24">
        <f t="shared" si="48"/>
        <v>0.02</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4.4999999999999998E-2</v>
      </c>
      <c r="F220" s="719"/>
      <c r="G220" s="24">
        <f t="shared" si="45"/>
        <v>0.15</v>
      </c>
      <c r="H220" s="719"/>
      <c r="I220" s="24">
        <f t="shared" si="46"/>
        <v>0</v>
      </c>
      <c r="J220" s="719"/>
      <c r="K220" s="24">
        <f t="shared" si="47"/>
        <v>0</v>
      </c>
      <c r="L220" s="719"/>
      <c r="M220" s="24">
        <f t="shared" si="48"/>
        <v>0.02</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4.4999999999999998E-2</v>
      </c>
      <c r="F221" s="719"/>
      <c r="G221" s="24">
        <f t="shared" si="45"/>
        <v>0.15</v>
      </c>
      <c r="H221" s="719"/>
      <c r="I221" s="24">
        <f t="shared" si="46"/>
        <v>0</v>
      </c>
      <c r="J221" s="719"/>
      <c r="K221" s="24">
        <f t="shared" si="47"/>
        <v>0</v>
      </c>
      <c r="L221" s="719"/>
      <c r="M221" s="24">
        <f t="shared" si="48"/>
        <v>0.02</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4.4999999999999998E-2</v>
      </c>
      <c r="F222" s="719"/>
      <c r="G222" s="24">
        <f t="shared" si="45"/>
        <v>0.15</v>
      </c>
      <c r="H222" s="719"/>
      <c r="I222" s="24">
        <f t="shared" si="46"/>
        <v>0</v>
      </c>
      <c r="J222" s="719"/>
      <c r="K222" s="24">
        <f t="shared" si="47"/>
        <v>0</v>
      </c>
      <c r="L222" s="719"/>
      <c r="M222" s="24">
        <f t="shared" si="48"/>
        <v>0.02</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4.4999999999999998E-2</v>
      </c>
      <c r="F223" s="719"/>
      <c r="G223" s="24">
        <f t="shared" si="45"/>
        <v>0.15</v>
      </c>
      <c r="H223" s="719"/>
      <c r="I223" s="24">
        <f t="shared" si="46"/>
        <v>0</v>
      </c>
      <c r="J223" s="719"/>
      <c r="K223" s="24">
        <f t="shared" si="47"/>
        <v>0</v>
      </c>
      <c r="L223" s="719"/>
      <c r="M223" s="24">
        <f t="shared" si="48"/>
        <v>0.02</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4.4999999999999998E-2</v>
      </c>
      <c r="F224" s="719"/>
      <c r="G224" s="24">
        <f t="shared" si="45"/>
        <v>0.15</v>
      </c>
      <c r="H224" s="719"/>
      <c r="I224" s="24">
        <f t="shared" si="46"/>
        <v>0</v>
      </c>
      <c r="J224" s="719"/>
      <c r="K224" s="24">
        <f t="shared" si="47"/>
        <v>0</v>
      </c>
      <c r="L224" s="719"/>
      <c r="M224" s="24">
        <f t="shared" si="48"/>
        <v>0.02</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4.4999999999999998E-2</v>
      </c>
      <c r="F225" s="719"/>
      <c r="G225" s="24">
        <f t="shared" si="45"/>
        <v>0.15</v>
      </c>
      <c r="H225" s="719"/>
      <c r="I225" s="24">
        <f t="shared" si="46"/>
        <v>0</v>
      </c>
      <c r="J225" s="719"/>
      <c r="K225" s="24">
        <f t="shared" si="47"/>
        <v>0</v>
      </c>
      <c r="L225" s="719"/>
      <c r="M225" s="24">
        <f t="shared" si="48"/>
        <v>0.02</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4.4999999999999998E-2</v>
      </c>
      <c r="F226" s="719"/>
      <c r="G226" s="24">
        <f t="shared" si="45"/>
        <v>0.15</v>
      </c>
      <c r="H226" s="719"/>
      <c r="I226" s="24">
        <f t="shared" si="46"/>
        <v>0</v>
      </c>
      <c r="J226" s="719"/>
      <c r="K226" s="24">
        <f t="shared" si="47"/>
        <v>0</v>
      </c>
      <c r="L226" s="719"/>
      <c r="M226" s="24">
        <f t="shared" si="48"/>
        <v>0.02</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4.4999999999999998E-2</v>
      </c>
      <c r="F227" s="719"/>
      <c r="G227" s="24">
        <f t="shared" si="45"/>
        <v>0.15</v>
      </c>
      <c r="H227" s="719"/>
      <c r="I227" s="24">
        <f t="shared" si="46"/>
        <v>0</v>
      </c>
      <c r="J227" s="719"/>
      <c r="K227" s="24">
        <f t="shared" si="47"/>
        <v>0</v>
      </c>
      <c r="L227" s="719"/>
      <c r="M227" s="24">
        <f t="shared" si="48"/>
        <v>0.02</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4.4999999999999998E-2</v>
      </c>
      <c r="F228" s="719"/>
      <c r="G228" s="24">
        <f t="shared" si="45"/>
        <v>0.15</v>
      </c>
      <c r="H228" s="719"/>
      <c r="I228" s="24">
        <f t="shared" si="46"/>
        <v>0</v>
      </c>
      <c r="J228" s="719"/>
      <c r="K228" s="24">
        <f t="shared" si="47"/>
        <v>0</v>
      </c>
      <c r="L228" s="719"/>
      <c r="M228" s="24">
        <f t="shared" si="48"/>
        <v>0.02</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4.4999999999999998E-2</v>
      </c>
      <c r="F229" s="719"/>
      <c r="G229" s="24">
        <f t="shared" si="45"/>
        <v>0.15</v>
      </c>
      <c r="H229" s="719"/>
      <c r="I229" s="24">
        <f t="shared" si="46"/>
        <v>0</v>
      </c>
      <c r="J229" s="719"/>
      <c r="K229" s="24">
        <f t="shared" si="47"/>
        <v>0</v>
      </c>
      <c r="L229" s="719"/>
      <c r="M229" s="24">
        <f t="shared" si="48"/>
        <v>0.02</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4.4999999999999998E-2</v>
      </c>
      <c r="F230" s="719"/>
      <c r="G230" s="24">
        <f t="shared" si="45"/>
        <v>0.15</v>
      </c>
      <c r="H230" s="719"/>
      <c r="I230" s="24">
        <f t="shared" si="46"/>
        <v>0</v>
      </c>
      <c r="J230" s="719"/>
      <c r="K230" s="24">
        <f t="shared" si="47"/>
        <v>0</v>
      </c>
      <c r="L230" s="719"/>
      <c r="M230" s="24">
        <f t="shared" si="48"/>
        <v>0.02</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4.4999999999999998E-2</v>
      </c>
      <c r="F231" s="719"/>
      <c r="G231" s="24">
        <f t="shared" si="45"/>
        <v>0.15</v>
      </c>
      <c r="H231" s="719"/>
      <c r="I231" s="24">
        <f t="shared" si="46"/>
        <v>0</v>
      </c>
      <c r="J231" s="719"/>
      <c r="K231" s="24">
        <f t="shared" si="47"/>
        <v>0</v>
      </c>
      <c r="L231" s="719"/>
      <c r="M231" s="24">
        <f t="shared" si="48"/>
        <v>0.02</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4.4999999999999998E-2</v>
      </c>
      <c r="F232" s="719"/>
      <c r="G232" s="24">
        <f t="shared" si="45"/>
        <v>0.15</v>
      </c>
      <c r="H232" s="719"/>
      <c r="I232" s="24">
        <f t="shared" si="46"/>
        <v>0</v>
      </c>
      <c r="J232" s="719"/>
      <c r="K232" s="24">
        <f t="shared" si="47"/>
        <v>0</v>
      </c>
      <c r="L232" s="719"/>
      <c r="M232" s="24">
        <f t="shared" si="48"/>
        <v>0.02</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4.4999999999999998E-2</v>
      </c>
      <c r="F233" s="719"/>
      <c r="G233" s="24">
        <f t="shared" si="45"/>
        <v>0.15</v>
      </c>
      <c r="H233" s="719"/>
      <c r="I233" s="24">
        <f t="shared" si="46"/>
        <v>0</v>
      </c>
      <c r="J233" s="719"/>
      <c r="K233" s="24">
        <f t="shared" si="47"/>
        <v>0</v>
      </c>
      <c r="L233" s="719"/>
      <c r="M233" s="24">
        <f t="shared" si="48"/>
        <v>0.02</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4.4999999999999998E-2</v>
      </c>
      <c r="F234" s="719"/>
      <c r="G234" s="24">
        <f t="shared" si="45"/>
        <v>0.15</v>
      </c>
      <c r="H234" s="719"/>
      <c r="I234" s="24">
        <f t="shared" si="46"/>
        <v>0</v>
      </c>
      <c r="J234" s="719"/>
      <c r="K234" s="24">
        <f t="shared" si="47"/>
        <v>0</v>
      </c>
      <c r="L234" s="719"/>
      <c r="M234" s="24">
        <f t="shared" si="48"/>
        <v>0.02</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4.4999999999999998E-2</v>
      </c>
      <c r="F235" s="719"/>
      <c r="G235" s="24">
        <f t="shared" si="45"/>
        <v>0.15</v>
      </c>
      <c r="H235" s="719"/>
      <c r="I235" s="24">
        <f t="shared" si="46"/>
        <v>0</v>
      </c>
      <c r="J235" s="719"/>
      <c r="K235" s="24">
        <f t="shared" si="47"/>
        <v>0</v>
      </c>
      <c r="L235" s="719"/>
      <c r="M235" s="24">
        <f t="shared" si="48"/>
        <v>0.02</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4.4999999999999998E-2</v>
      </c>
      <c r="F236" s="719"/>
      <c r="G236" s="24">
        <f t="shared" si="45"/>
        <v>0.15</v>
      </c>
      <c r="H236" s="719"/>
      <c r="I236" s="24">
        <f t="shared" si="46"/>
        <v>0</v>
      </c>
      <c r="J236" s="719"/>
      <c r="K236" s="24">
        <f t="shared" si="47"/>
        <v>0</v>
      </c>
      <c r="L236" s="719"/>
      <c r="M236" s="24">
        <f t="shared" si="48"/>
        <v>0.02</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4.4999999999999998E-2</v>
      </c>
      <c r="F237" s="719"/>
      <c r="G237" s="24">
        <f t="shared" si="45"/>
        <v>0.15</v>
      </c>
      <c r="H237" s="719"/>
      <c r="I237" s="24">
        <f t="shared" si="46"/>
        <v>0</v>
      </c>
      <c r="J237" s="719"/>
      <c r="K237" s="24">
        <f t="shared" si="47"/>
        <v>0</v>
      </c>
      <c r="L237" s="719"/>
      <c r="M237" s="24">
        <f t="shared" si="48"/>
        <v>0.02</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4.4999999999999998E-2</v>
      </c>
      <c r="F238" s="719"/>
      <c r="G238" s="24">
        <f t="shared" si="45"/>
        <v>0.15</v>
      </c>
      <c r="H238" s="719"/>
      <c r="I238" s="24">
        <f t="shared" si="46"/>
        <v>0</v>
      </c>
      <c r="J238" s="719"/>
      <c r="K238" s="24">
        <f t="shared" si="47"/>
        <v>0</v>
      </c>
      <c r="L238" s="719"/>
      <c r="M238" s="24">
        <f t="shared" si="48"/>
        <v>0.02</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4.4999999999999998E-2</v>
      </c>
      <c r="F239" s="719"/>
      <c r="G239" s="24">
        <f t="shared" si="45"/>
        <v>0.15</v>
      </c>
      <c r="H239" s="719"/>
      <c r="I239" s="24">
        <f t="shared" si="46"/>
        <v>0</v>
      </c>
      <c r="J239" s="719"/>
      <c r="K239" s="24">
        <f t="shared" si="47"/>
        <v>0</v>
      </c>
      <c r="L239" s="719"/>
      <c r="M239" s="24">
        <f t="shared" si="48"/>
        <v>0.02</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4.4999999999999998E-2</v>
      </c>
      <c r="F240" s="719"/>
      <c r="G240" s="24">
        <f t="shared" si="45"/>
        <v>0.15</v>
      </c>
      <c r="H240" s="719"/>
      <c r="I240" s="24">
        <f t="shared" si="46"/>
        <v>0</v>
      </c>
      <c r="J240" s="719"/>
      <c r="K240" s="24">
        <f t="shared" si="47"/>
        <v>0</v>
      </c>
      <c r="L240" s="719"/>
      <c r="M240" s="24">
        <f t="shared" si="48"/>
        <v>0.02</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4.4999999999999998E-2</v>
      </c>
      <c r="F241" s="719"/>
      <c r="G241" s="24">
        <f t="shared" si="45"/>
        <v>0.15</v>
      </c>
      <c r="H241" s="719"/>
      <c r="I241" s="24">
        <f t="shared" si="46"/>
        <v>0</v>
      </c>
      <c r="J241" s="719"/>
      <c r="K241" s="24">
        <f t="shared" si="47"/>
        <v>0</v>
      </c>
      <c r="L241" s="719"/>
      <c r="M241" s="24">
        <f t="shared" si="48"/>
        <v>0.02</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4.4999999999999998E-2</v>
      </c>
      <c r="F242" s="719"/>
      <c r="G242" s="24">
        <f t="shared" si="45"/>
        <v>0.15</v>
      </c>
      <c r="H242" s="719"/>
      <c r="I242" s="24">
        <f t="shared" si="46"/>
        <v>0</v>
      </c>
      <c r="J242" s="719"/>
      <c r="K242" s="24">
        <f t="shared" si="47"/>
        <v>0</v>
      </c>
      <c r="L242" s="719"/>
      <c r="M242" s="24">
        <f t="shared" si="48"/>
        <v>0.02</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4.4999999999999998E-2</v>
      </c>
      <c r="F243" s="719"/>
      <c r="G243" s="24">
        <f t="shared" si="45"/>
        <v>0.15</v>
      </c>
      <c r="H243" s="719"/>
      <c r="I243" s="24">
        <f t="shared" si="46"/>
        <v>0</v>
      </c>
      <c r="J243" s="719"/>
      <c r="K243" s="24">
        <f t="shared" si="47"/>
        <v>0</v>
      </c>
      <c r="L243" s="719"/>
      <c r="M243" s="24">
        <f t="shared" si="48"/>
        <v>0.02</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4.4999999999999998E-2</v>
      </c>
      <c r="F244" s="719"/>
      <c r="G244" s="24">
        <f t="shared" si="45"/>
        <v>0.15</v>
      </c>
      <c r="H244" s="719"/>
      <c r="I244" s="24">
        <f t="shared" si="46"/>
        <v>0</v>
      </c>
      <c r="J244" s="719"/>
      <c r="K244" s="24">
        <f t="shared" si="47"/>
        <v>0</v>
      </c>
      <c r="L244" s="719"/>
      <c r="M244" s="24">
        <f t="shared" si="48"/>
        <v>0.02</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4.4999999999999998E-2</v>
      </c>
      <c r="F245" s="719"/>
      <c r="G245" s="24">
        <f t="shared" si="45"/>
        <v>0.15</v>
      </c>
      <c r="H245" s="719"/>
      <c r="I245" s="24">
        <f t="shared" si="46"/>
        <v>0</v>
      </c>
      <c r="J245" s="719"/>
      <c r="K245" s="24">
        <f t="shared" si="47"/>
        <v>0</v>
      </c>
      <c r="L245" s="719"/>
      <c r="M245" s="24">
        <f t="shared" si="48"/>
        <v>0.02</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4.4999999999999998E-2</v>
      </c>
      <c r="F246" s="719"/>
      <c r="G246" s="24">
        <f t="shared" si="45"/>
        <v>0.15</v>
      </c>
      <c r="H246" s="719"/>
      <c r="I246" s="24">
        <f t="shared" si="46"/>
        <v>0</v>
      </c>
      <c r="J246" s="719"/>
      <c r="K246" s="24">
        <f t="shared" si="47"/>
        <v>0</v>
      </c>
      <c r="L246" s="719"/>
      <c r="M246" s="24">
        <f t="shared" si="48"/>
        <v>0.02</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4.4999999999999998E-2</v>
      </c>
      <c r="F247" s="719"/>
      <c r="G247" s="24">
        <f t="shared" si="45"/>
        <v>0.15</v>
      </c>
      <c r="H247" s="719"/>
      <c r="I247" s="24">
        <f t="shared" si="46"/>
        <v>0</v>
      </c>
      <c r="J247" s="719"/>
      <c r="K247" s="24">
        <f t="shared" si="47"/>
        <v>0</v>
      </c>
      <c r="L247" s="719"/>
      <c r="M247" s="24">
        <f t="shared" si="48"/>
        <v>0.02</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4.4999999999999998E-2</v>
      </c>
      <c r="F248" s="719"/>
      <c r="G248" s="24">
        <f t="shared" si="45"/>
        <v>0.15</v>
      </c>
      <c r="H248" s="719"/>
      <c r="I248" s="24">
        <f t="shared" si="46"/>
        <v>0</v>
      </c>
      <c r="J248" s="719"/>
      <c r="K248" s="24">
        <f t="shared" si="47"/>
        <v>0</v>
      </c>
      <c r="L248" s="719"/>
      <c r="M248" s="24">
        <f t="shared" si="48"/>
        <v>0.02</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4.4999999999999998E-2</v>
      </c>
      <c r="F249" s="719"/>
      <c r="G249" s="24">
        <f t="shared" si="45"/>
        <v>0.15</v>
      </c>
      <c r="H249" s="719"/>
      <c r="I249" s="24">
        <f t="shared" si="46"/>
        <v>0</v>
      </c>
      <c r="J249" s="719"/>
      <c r="K249" s="24">
        <f t="shared" si="47"/>
        <v>0</v>
      </c>
      <c r="L249" s="719"/>
      <c r="M249" s="24">
        <f t="shared" si="48"/>
        <v>0.02</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4.4999999999999998E-2</v>
      </c>
      <c r="F250" s="719"/>
      <c r="G250" s="24">
        <f t="shared" si="45"/>
        <v>0.15</v>
      </c>
      <c r="H250" s="719"/>
      <c r="I250" s="24">
        <f t="shared" si="46"/>
        <v>0</v>
      </c>
      <c r="J250" s="719"/>
      <c r="K250" s="24">
        <f t="shared" si="47"/>
        <v>0</v>
      </c>
      <c r="L250" s="719"/>
      <c r="M250" s="24">
        <f t="shared" si="48"/>
        <v>0.02</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4.4999999999999998E-2</v>
      </c>
      <c r="F251" s="719"/>
      <c r="G251" s="24">
        <f t="shared" si="45"/>
        <v>0.15</v>
      </c>
      <c r="H251" s="719"/>
      <c r="I251" s="24">
        <f t="shared" si="46"/>
        <v>0</v>
      </c>
      <c r="J251" s="719"/>
      <c r="K251" s="24">
        <f t="shared" si="47"/>
        <v>0</v>
      </c>
      <c r="L251" s="719"/>
      <c r="M251" s="24">
        <f t="shared" si="48"/>
        <v>0.02</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4.4999999999999998E-2</v>
      </c>
      <c r="F252" s="719"/>
      <c r="G252" s="24">
        <f t="shared" si="45"/>
        <v>0.15</v>
      </c>
      <c r="H252" s="719"/>
      <c r="I252" s="24">
        <f t="shared" si="46"/>
        <v>0</v>
      </c>
      <c r="J252" s="719"/>
      <c r="K252" s="24">
        <f t="shared" si="47"/>
        <v>0</v>
      </c>
      <c r="L252" s="719"/>
      <c r="M252" s="24">
        <f t="shared" si="48"/>
        <v>0.02</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4.4999999999999998E-2</v>
      </c>
      <c r="F253" s="719"/>
      <c r="G253" s="24">
        <f t="shared" si="45"/>
        <v>0.15</v>
      </c>
      <c r="H253" s="719"/>
      <c r="I253" s="24">
        <f t="shared" si="46"/>
        <v>0</v>
      </c>
      <c r="J253" s="719"/>
      <c r="K253" s="24">
        <f t="shared" si="47"/>
        <v>0</v>
      </c>
      <c r="L253" s="719"/>
      <c r="M253" s="24">
        <f t="shared" si="48"/>
        <v>0.02</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4.4999999999999998E-2</v>
      </c>
      <c r="F254" s="719"/>
      <c r="G254" s="24">
        <f t="shared" si="45"/>
        <v>0.15</v>
      </c>
      <c r="H254" s="719"/>
      <c r="I254" s="24">
        <f t="shared" si="46"/>
        <v>0</v>
      </c>
      <c r="J254" s="719"/>
      <c r="K254" s="24">
        <f t="shared" si="47"/>
        <v>0</v>
      </c>
      <c r="L254" s="719"/>
      <c r="M254" s="24">
        <f t="shared" si="48"/>
        <v>0.02</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4.4999999999999998E-2</v>
      </c>
      <c r="F255" s="719"/>
      <c r="G255" s="24">
        <f t="shared" si="45"/>
        <v>0.15</v>
      </c>
      <c r="H255" s="719"/>
      <c r="I255" s="24">
        <f t="shared" si="46"/>
        <v>0</v>
      </c>
      <c r="J255" s="719"/>
      <c r="K255" s="24">
        <f t="shared" si="47"/>
        <v>0</v>
      </c>
      <c r="L255" s="719"/>
      <c r="M255" s="24">
        <f t="shared" si="48"/>
        <v>0.02</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4.4999999999999998E-2</v>
      </c>
      <c r="F256" s="719"/>
      <c r="G256" s="24">
        <f t="shared" si="45"/>
        <v>0.15</v>
      </c>
      <c r="H256" s="719"/>
      <c r="I256" s="24">
        <f t="shared" si="46"/>
        <v>0</v>
      </c>
      <c r="J256" s="719"/>
      <c r="K256" s="24">
        <f t="shared" si="47"/>
        <v>0</v>
      </c>
      <c r="L256" s="719"/>
      <c r="M256" s="24">
        <f t="shared" si="48"/>
        <v>0.02</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4.4999999999999998E-2</v>
      </c>
      <c r="F257" s="719"/>
      <c r="G257" s="24">
        <f t="shared" si="45"/>
        <v>0.15</v>
      </c>
      <c r="H257" s="719"/>
      <c r="I257" s="24">
        <f t="shared" si="46"/>
        <v>0</v>
      </c>
      <c r="J257" s="719"/>
      <c r="K257" s="24">
        <f t="shared" si="47"/>
        <v>0</v>
      </c>
      <c r="L257" s="719"/>
      <c r="M257" s="24">
        <f t="shared" si="48"/>
        <v>0.02</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4.4999999999999998E-2</v>
      </c>
      <c r="F258" s="719"/>
      <c r="G258" s="24">
        <f t="shared" si="45"/>
        <v>0.15</v>
      </c>
      <c r="H258" s="719"/>
      <c r="I258" s="24">
        <f t="shared" si="46"/>
        <v>0</v>
      </c>
      <c r="J258" s="719"/>
      <c r="K258" s="24">
        <f t="shared" si="47"/>
        <v>0</v>
      </c>
      <c r="L258" s="719"/>
      <c r="M258" s="24">
        <f t="shared" si="48"/>
        <v>0.02</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4.4999999999999998E-2</v>
      </c>
      <c r="F259" s="719"/>
      <c r="G259" s="24">
        <f t="shared" si="45"/>
        <v>0.15</v>
      </c>
      <c r="H259" s="719"/>
      <c r="I259" s="24">
        <f t="shared" si="46"/>
        <v>0</v>
      </c>
      <c r="J259" s="719"/>
      <c r="K259" s="24">
        <f t="shared" si="47"/>
        <v>0</v>
      </c>
      <c r="L259" s="719"/>
      <c r="M259" s="24">
        <f t="shared" si="48"/>
        <v>0.02</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4.4999999999999998E-2</v>
      </c>
      <c r="F260" s="719"/>
      <c r="G260" s="24">
        <f t="shared" si="45"/>
        <v>0.15</v>
      </c>
      <c r="H260" s="719"/>
      <c r="I260" s="24">
        <f t="shared" si="46"/>
        <v>0</v>
      </c>
      <c r="J260" s="719"/>
      <c r="K260" s="24">
        <f t="shared" si="47"/>
        <v>0</v>
      </c>
      <c r="L260" s="719"/>
      <c r="M260" s="24">
        <f t="shared" si="48"/>
        <v>0.02</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4.4999999999999998E-2</v>
      </c>
      <c r="F261" s="719"/>
      <c r="G261" s="24">
        <f t="shared" si="45"/>
        <v>0.15</v>
      </c>
      <c r="H261" s="719"/>
      <c r="I261" s="24">
        <f t="shared" si="46"/>
        <v>0</v>
      </c>
      <c r="J261" s="719"/>
      <c r="K261" s="24">
        <f t="shared" si="47"/>
        <v>0</v>
      </c>
      <c r="L261" s="719"/>
      <c r="M261" s="24">
        <f t="shared" si="48"/>
        <v>0.02</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4.4999999999999998E-2</v>
      </c>
      <c r="F262" s="719"/>
      <c r="G262" s="24">
        <f t="shared" si="45"/>
        <v>0.15</v>
      </c>
      <c r="H262" s="719"/>
      <c r="I262" s="24">
        <f t="shared" si="46"/>
        <v>0</v>
      </c>
      <c r="J262" s="719"/>
      <c r="K262" s="24">
        <f t="shared" si="47"/>
        <v>0</v>
      </c>
      <c r="L262" s="719"/>
      <c r="M262" s="24">
        <f t="shared" si="48"/>
        <v>0.02</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4.4999999999999998E-2</v>
      </c>
      <c r="F263" s="719"/>
      <c r="G263" s="24">
        <f t="shared" si="45"/>
        <v>0.15</v>
      </c>
      <c r="H263" s="719"/>
      <c r="I263" s="24">
        <f t="shared" si="46"/>
        <v>0</v>
      </c>
      <c r="J263" s="719"/>
      <c r="K263" s="24">
        <f t="shared" si="47"/>
        <v>0</v>
      </c>
      <c r="L263" s="719"/>
      <c r="M263" s="24">
        <f t="shared" si="48"/>
        <v>0.02</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4.4999999999999998E-2</v>
      </c>
      <c r="F264" s="719"/>
      <c r="G264" s="24">
        <f t="shared" si="45"/>
        <v>0.15</v>
      </c>
      <c r="H264" s="719"/>
      <c r="I264" s="24">
        <f t="shared" si="46"/>
        <v>0</v>
      </c>
      <c r="J264" s="719"/>
      <c r="K264" s="24">
        <f t="shared" si="47"/>
        <v>0</v>
      </c>
      <c r="L264" s="719"/>
      <c r="M264" s="24">
        <f t="shared" si="48"/>
        <v>0.02</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4.4999999999999998E-2</v>
      </c>
      <c r="F265" s="719"/>
      <c r="G265" s="24">
        <f t="shared" si="45"/>
        <v>0.15</v>
      </c>
      <c r="H265" s="719"/>
      <c r="I265" s="24">
        <f t="shared" si="46"/>
        <v>0</v>
      </c>
      <c r="J265" s="719"/>
      <c r="K265" s="24">
        <f t="shared" si="47"/>
        <v>0</v>
      </c>
      <c r="L265" s="719"/>
      <c r="M265" s="24">
        <f t="shared" si="48"/>
        <v>0.02</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4.4999999999999998E-2</v>
      </c>
      <c r="F266" s="719"/>
      <c r="G266" s="24">
        <f t="shared" si="45"/>
        <v>0.15</v>
      </c>
      <c r="H266" s="719"/>
      <c r="I266" s="24">
        <f t="shared" si="46"/>
        <v>0</v>
      </c>
      <c r="J266" s="719"/>
      <c r="K266" s="24">
        <f t="shared" si="47"/>
        <v>0</v>
      </c>
      <c r="L266" s="719"/>
      <c r="M266" s="24">
        <f t="shared" si="48"/>
        <v>0.02</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4.4999999999999998E-2</v>
      </c>
      <c r="F267" s="719"/>
      <c r="G267" s="24">
        <f t="shared" si="45"/>
        <v>0.15</v>
      </c>
      <c r="H267" s="719"/>
      <c r="I267" s="24">
        <f t="shared" si="46"/>
        <v>0</v>
      </c>
      <c r="J267" s="719"/>
      <c r="K267" s="24">
        <f t="shared" si="47"/>
        <v>0</v>
      </c>
      <c r="L267" s="719"/>
      <c r="M267" s="24">
        <f t="shared" si="48"/>
        <v>0.02</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4.4999999999999998E-2</v>
      </c>
      <c r="F268" s="719"/>
      <c r="G268" s="24">
        <f t="shared" si="45"/>
        <v>0.15</v>
      </c>
      <c r="H268" s="719"/>
      <c r="I268" s="24">
        <f t="shared" si="46"/>
        <v>0</v>
      </c>
      <c r="J268" s="719"/>
      <c r="K268" s="24">
        <f t="shared" si="47"/>
        <v>0</v>
      </c>
      <c r="L268" s="719"/>
      <c r="M268" s="24">
        <f t="shared" si="48"/>
        <v>0.02</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4.4999999999999998E-2</v>
      </c>
      <c r="F269" s="719"/>
      <c r="G269" s="24">
        <f t="shared" si="45"/>
        <v>0.15</v>
      </c>
      <c r="H269" s="719"/>
      <c r="I269" s="24">
        <f t="shared" si="46"/>
        <v>0</v>
      </c>
      <c r="J269" s="719"/>
      <c r="K269" s="24">
        <f t="shared" si="47"/>
        <v>0</v>
      </c>
      <c r="L269" s="719"/>
      <c r="M269" s="24">
        <f t="shared" si="48"/>
        <v>0.02</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4.4999999999999998E-2</v>
      </c>
      <c r="F270" s="719"/>
      <c r="G270" s="24">
        <f t="shared" si="45"/>
        <v>0.15</v>
      </c>
      <c r="H270" s="719"/>
      <c r="I270" s="24">
        <f t="shared" si="46"/>
        <v>0</v>
      </c>
      <c r="J270" s="719"/>
      <c r="K270" s="24">
        <f t="shared" si="47"/>
        <v>0</v>
      </c>
      <c r="L270" s="719"/>
      <c r="M270" s="24">
        <f t="shared" si="48"/>
        <v>0.02</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4.4999999999999998E-2</v>
      </c>
      <c r="F271" s="719"/>
      <c r="G271" s="24">
        <f t="shared" si="45"/>
        <v>0.15</v>
      </c>
      <c r="H271" s="719"/>
      <c r="I271" s="24">
        <f t="shared" si="46"/>
        <v>0</v>
      </c>
      <c r="J271" s="719"/>
      <c r="K271" s="24">
        <f t="shared" si="47"/>
        <v>0</v>
      </c>
      <c r="L271" s="719"/>
      <c r="M271" s="24">
        <f t="shared" si="48"/>
        <v>0.02</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4.4999999999999998E-2</v>
      </c>
      <c r="F272" s="719"/>
      <c r="G272" s="24">
        <f t="shared" si="45"/>
        <v>0.15</v>
      </c>
      <c r="H272" s="719"/>
      <c r="I272" s="24">
        <f t="shared" si="46"/>
        <v>0</v>
      </c>
      <c r="J272" s="719"/>
      <c r="K272" s="24">
        <f t="shared" si="47"/>
        <v>0</v>
      </c>
      <c r="L272" s="719"/>
      <c r="M272" s="24">
        <f t="shared" si="48"/>
        <v>0.02</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4.4999999999999998E-2</v>
      </c>
      <c r="F273" s="719"/>
      <c r="G273" s="24">
        <f t="shared" si="45"/>
        <v>0.15</v>
      </c>
      <c r="H273" s="719"/>
      <c r="I273" s="24">
        <f t="shared" si="46"/>
        <v>0</v>
      </c>
      <c r="J273" s="719"/>
      <c r="K273" s="24">
        <f t="shared" si="47"/>
        <v>0</v>
      </c>
      <c r="L273" s="719"/>
      <c r="M273" s="24">
        <f t="shared" si="48"/>
        <v>0.02</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4.4999999999999998E-2</v>
      </c>
      <c r="F274" s="719"/>
      <c r="G274" s="24">
        <f t="shared" si="45"/>
        <v>0.15</v>
      </c>
      <c r="H274" s="719"/>
      <c r="I274" s="24">
        <f t="shared" si="46"/>
        <v>0</v>
      </c>
      <c r="J274" s="719"/>
      <c r="K274" s="24">
        <f t="shared" si="47"/>
        <v>0</v>
      </c>
      <c r="L274" s="719"/>
      <c r="M274" s="24">
        <f t="shared" si="48"/>
        <v>0.02</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4.4999999999999998E-2</v>
      </c>
      <c r="F275" s="719"/>
      <c r="G275" s="24">
        <f t="shared" si="45"/>
        <v>0.15</v>
      </c>
      <c r="H275" s="719"/>
      <c r="I275" s="24">
        <f t="shared" si="46"/>
        <v>0</v>
      </c>
      <c r="J275" s="719"/>
      <c r="K275" s="24">
        <f t="shared" si="47"/>
        <v>0</v>
      </c>
      <c r="L275" s="719"/>
      <c r="M275" s="24">
        <f t="shared" si="48"/>
        <v>0.02</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4.4999999999999998E-2</v>
      </c>
      <c r="F276" s="719"/>
      <c r="G276" s="24">
        <f t="shared" si="45"/>
        <v>0.15</v>
      </c>
      <c r="H276" s="719"/>
      <c r="I276" s="24">
        <f t="shared" si="46"/>
        <v>0</v>
      </c>
      <c r="J276" s="719"/>
      <c r="K276" s="24">
        <f t="shared" si="47"/>
        <v>0</v>
      </c>
      <c r="L276" s="719"/>
      <c r="M276" s="24">
        <f t="shared" si="48"/>
        <v>0.02</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4.4999999999999998E-2</v>
      </c>
      <c r="F277" s="719"/>
      <c r="G277" s="24">
        <f t="shared" si="45"/>
        <v>0.15</v>
      </c>
      <c r="H277" s="719"/>
      <c r="I277" s="24">
        <f t="shared" si="46"/>
        <v>0</v>
      </c>
      <c r="J277" s="719"/>
      <c r="K277" s="24">
        <f t="shared" si="47"/>
        <v>0</v>
      </c>
      <c r="L277" s="719"/>
      <c r="M277" s="24">
        <f t="shared" si="48"/>
        <v>0.02</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4.4999999999999998E-2</v>
      </c>
      <c r="F278" s="719"/>
      <c r="G278" s="24">
        <f t="shared" si="45"/>
        <v>0.15</v>
      </c>
      <c r="H278" s="719"/>
      <c r="I278" s="24">
        <f t="shared" si="46"/>
        <v>0</v>
      </c>
      <c r="J278" s="719"/>
      <c r="K278" s="24">
        <f t="shared" si="47"/>
        <v>0</v>
      </c>
      <c r="L278" s="719"/>
      <c r="M278" s="24">
        <f t="shared" si="48"/>
        <v>0.02</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4.4999999999999998E-2</v>
      </c>
      <c r="F279" s="719"/>
      <c r="G279" s="24">
        <f t="shared" si="45"/>
        <v>0.15</v>
      </c>
      <c r="H279" s="719"/>
      <c r="I279" s="24">
        <f t="shared" si="46"/>
        <v>0</v>
      </c>
      <c r="J279" s="719"/>
      <c r="K279" s="24">
        <f t="shared" si="47"/>
        <v>0</v>
      </c>
      <c r="L279" s="719"/>
      <c r="M279" s="24">
        <f t="shared" si="48"/>
        <v>0.02</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4.4999999999999998E-2</v>
      </c>
      <c r="F280" s="719"/>
      <c r="G280" s="24">
        <f t="shared" si="45"/>
        <v>0.15</v>
      </c>
      <c r="H280" s="719"/>
      <c r="I280" s="24">
        <f t="shared" si="46"/>
        <v>0</v>
      </c>
      <c r="J280" s="719"/>
      <c r="K280" s="24">
        <f t="shared" si="47"/>
        <v>0</v>
      </c>
      <c r="L280" s="719"/>
      <c r="M280" s="24">
        <f t="shared" si="48"/>
        <v>0.02</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4.4999999999999998E-2</v>
      </c>
      <c r="F281" s="719"/>
      <c r="G281" s="24">
        <f t="shared" si="45"/>
        <v>0.15</v>
      </c>
      <c r="H281" s="719"/>
      <c r="I281" s="24">
        <f t="shared" si="46"/>
        <v>0</v>
      </c>
      <c r="J281" s="719"/>
      <c r="K281" s="24">
        <f t="shared" si="47"/>
        <v>0</v>
      </c>
      <c r="L281" s="719"/>
      <c r="M281" s="24">
        <f t="shared" si="48"/>
        <v>0.02</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4.4999999999999998E-2</v>
      </c>
      <c r="F282" s="719"/>
      <c r="G282" s="24">
        <f t="shared" ref="G282:G345" si="55">(SUMIF($7:$7,F282,$8:$8)-SUMIF($7:$7,$F$24,$8:$8)+100)/100</f>
        <v>0.15</v>
      </c>
      <c r="H282" s="719"/>
      <c r="I282" s="24">
        <f t="shared" ref="I282:I345" si="56">(SUMIF($9:$9,H282,$10:$10)-SUMIF($9:$9,$H$24,$10:$10)+100)/100</f>
        <v>0</v>
      </c>
      <c r="J282" s="719"/>
      <c r="K282" s="24">
        <f t="shared" ref="K282:K345" si="57">(SUMIF($11:$11,J282,$12:$12)-SUMIF($11:$11,$J$24,$12:$12)+100)/100</f>
        <v>0</v>
      </c>
      <c r="L282" s="719"/>
      <c r="M282" s="24">
        <f t="shared" ref="M282:M345" si="58">(SUMIF($13:$13,L282,$14:$14)-SUMIF($13:$13,$L$24,$14:$14)+100)/100</f>
        <v>0.02</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4.4999999999999998E-2</v>
      </c>
      <c r="F283" s="719"/>
      <c r="G283" s="24">
        <f t="shared" si="55"/>
        <v>0.15</v>
      </c>
      <c r="H283" s="719"/>
      <c r="I283" s="24">
        <f t="shared" si="56"/>
        <v>0</v>
      </c>
      <c r="J283" s="719"/>
      <c r="K283" s="24">
        <f t="shared" si="57"/>
        <v>0</v>
      </c>
      <c r="L283" s="719"/>
      <c r="M283" s="24">
        <f t="shared" si="58"/>
        <v>0.02</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4.4999999999999998E-2</v>
      </c>
      <c r="F284" s="719"/>
      <c r="G284" s="24">
        <f t="shared" si="55"/>
        <v>0.15</v>
      </c>
      <c r="H284" s="719"/>
      <c r="I284" s="24">
        <f t="shared" si="56"/>
        <v>0</v>
      </c>
      <c r="J284" s="719"/>
      <c r="K284" s="24">
        <f t="shared" si="57"/>
        <v>0</v>
      </c>
      <c r="L284" s="719"/>
      <c r="M284" s="24">
        <f t="shared" si="58"/>
        <v>0.02</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4.4999999999999998E-2</v>
      </c>
      <c r="F285" s="719"/>
      <c r="G285" s="24">
        <f t="shared" si="55"/>
        <v>0.15</v>
      </c>
      <c r="H285" s="719"/>
      <c r="I285" s="24">
        <f t="shared" si="56"/>
        <v>0</v>
      </c>
      <c r="J285" s="719"/>
      <c r="K285" s="24">
        <f t="shared" si="57"/>
        <v>0</v>
      </c>
      <c r="L285" s="719"/>
      <c r="M285" s="24">
        <f t="shared" si="58"/>
        <v>0.02</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4.4999999999999998E-2</v>
      </c>
      <c r="F286" s="719"/>
      <c r="G286" s="24">
        <f t="shared" si="55"/>
        <v>0.15</v>
      </c>
      <c r="H286" s="719"/>
      <c r="I286" s="24">
        <f t="shared" si="56"/>
        <v>0</v>
      </c>
      <c r="J286" s="719"/>
      <c r="K286" s="24">
        <f t="shared" si="57"/>
        <v>0</v>
      </c>
      <c r="L286" s="719"/>
      <c r="M286" s="24">
        <f t="shared" si="58"/>
        <v>0.02</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4.4999999999999998E-2</v>
      </c>
      <c r="F287" s="719"/>
      <c r="G287" s="24">
        <f t="shared" si="55"/>
        <v>0.15</v>
      </c>
      <c r="H287" s="719"/>
      <c r="I287" s="24">
        <f t="shared" si="56"/>
        <v>0</v>
      </c>
      <c r="J287" s="719"/>
      <c r="K287" s="24">
        <f t="shared" si="57"/>
        <v>0</v>
      </c>
      <c r="L287" s="719"/>
      <c r="M287" s="24">
        <f t="shared" si="58"/>
        <v>0.02</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4.4999999999999998E-2</v>
      </c>
      <c r="F288" s="719"/>
      <c r="G288" s="24">
        <f t="shared" si="55"/>
        <v>0.15</v>
      </c>
      <c r="H288" s="719"/>
      <c r="I288" s="24">
        <f t="shared" si="56"/>
        <v>0</v>
      </c>
      <c r="J288" s="719"/>
      <c r="K288" s="24">
        <f t="shared" si="57"/>
        <v>0</v>
      </c>
      <c r="L288" s="719"/>
      <c r="M288" s="24">
        <f t="shared" si="58"/>
        <v>0.02</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4.4999999999999998E-2</v>
      </c>
      <c r="F289" s="719"/>
      <c r="G289" s="24">
        <f t="shared" si="55"/>
        <v>0.15</v>
      </c>
      <c r="H289" s="719"/>
      <c r="I289" s="24">
        <f t="shared" si="56"/>
        <v>0</v>
      </c>
      <c r="J289" s="719"/>
      <c r="K289" s="24">
        <f t="shared" si="57"/>
        <v>0</v>
      </c>
      <c r="L289" s="719"/>
      <c r="M289" s="24">
        <f t="shared" si="58"/>
        <v>0.02</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4.4999999999999998E-2</v>
      </c>
      <c r="F290" s="719"/>
      <c r="G290" s="24">
        <f t="shared" si="55"/>
        <v>0.15</v>
      </c>
      <c r="H290" s="719"/>
      <c r="I290" s="24">
        <f t="shared" si="56"/>
        <v>0</v>
      </c>
      <c r="J290" s="719"/>
      <c r="K290" s="24">
        <f t="shared" si="57"/>
        <v>0</v>
      </c>
      <c r="L290" s="719"/>
      <c r="M290" s="24">
        <f t="shared" si="58"/>
        <v>0.02</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4.4999999999999998E-2</v>
      </c>
      <c r="F291" s="719"/>
      <c r="G291" s="24">
        <f t="shared" si="55"/>
        <v>0.15</v>
      </c>
      <c r="H291" s="719"/>
      <c r="I291" s="24">
        <f t="shared" si="56"/>
        <v>0</v>
      </c>
      <c r="J291" s="719"/>
      <c r="K291" s="24">
        <f t="shared" si="57"/>
        <v>0</v>
      </c>
      <c r="L291" s="719"/>
      <c r="M291" s="24">
        <f t="shared" si="58"/>
        <v>0.02</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4.4999999999999998E-2</v>
      </c>
      <c r="F292" s="719"/>
      <c r="G292" s="24">
        <f t="shared" si="55"/>
        <v>0.15</v>
      </c>
      <c r="H292" s="719"/>
      <c r="I292" s="24">
        <f t="shared" si="56"/>
        <v>0</v>
      </c>
      <c r="J292" s="719"/>
      <c r="K292" s="24">
        <f t="shared" si="57"/>
        <v>0</v>
      </c>
      <c r="L292" s="719"/>
      <c r="M292" s="24">
        <f t="shared" si="58"/>
        <v>0.02</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4.4999999999999998E-2</v>
      </c>
      <c r="F293" s="719"/>
      <c r="G293" s="24">
        <f t="shared" si="55"/>
        <v>0.15</v>
      </c>
      <c r="H293" s="719"/>
      <c r="I293" s="24">
        <f t="shared" si="56"/>
        <v>0</v>
      </c>
      <c r="J293" s="719"/>
      <c r="K293" s="24">
        <f t="shared" si="57"/>
        <v>0</v>
      </c>
      <c r="L293" s="719"/>
      <c r="M293" s="24">
        <f t="shared" si="58"/>
        <v>0.02</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4.4999999999999998E-2</v>
      </c>
      <c r="F294" s="719"/>
      <c r="G294" s="24">
        <f t="shared" si="55"/>
        <v>0.15</v>
      </c>
      <c r="H294" s="719"/>
      <c r="I294" s="24">
        <f t="shared" si="56"/>
        <v>0</v>
      </c>
      <c r="J294" s="719"/>
      <c r="K294" s="24">
        <f t="shared" si="57"/>
        <v>0</v>
      </c>
      <c r="L294" s="719"/>
      <c r="M294" s="24">
        <f t="shared" si="58"/>
        <v>0.02</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4.4999999999999998E-2</v>
      </c>
      <c r="F295" s="719"/>
      <c r="G295" s="24">
        <f t="shared" si="55"/>
        <v>0.15</v>
      </c>
      <c r="H295" s="719"/>
      <c r="I295" s="24">
        <f t="shared" si="56"/>
        <v>0</v>
      </c>
      <c r="J295" s="719"/>
      <c r="K295" s="24">
        <f t="shared" si="57"/>
        <v>0</v>
      </c>
      <c r="L295" s="719"/>
      <c r="M295" s="24">
        <f t="shared" si="58"/>
        <v>0.02</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4.4999999999999998E-2</v>
      </c>
      <c r="F296" s="719"/>
      <c r="G296" s="24">
        <f t="shared" si="55"/>
        <v>0.15</v>
      </c>
      <c r="H296" s="719"/>
      <c r="I296" s="24">
        <f t="shared" si="56"/>
        <v>0</v>
      </c>
      <c r="J296" s="719"/>
      <c r="K296" s="24">
        <f t="shared" si="57"/>
        <v>0</v>
      </c>
      <c r="L296" s="719"/>
      <c r="M296" s="24">
        <f t="shared" si="58"/>
        <v>0.02</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4.4999999999999998E-2</v>
      </c>
      <c r="F297" s="719"/>
      <c r="G297" s="24">
        <f t="shared" si="55"/>
        <v>0.15</v>
      </c>
      <c r="H297" s="719"/>
      <c r="I297" s="24">
        <f t="shared" si="56"/>
        <v>0</v>
      </c>
      <c r="J297" s="719"/>
      <c r="K297" s="24">
        <f t="shared" si="57"/>
        <v>0</v>
      </c>
      <c r="L297" s="719"/>
      <c r="M297" s="24">
        <f t="shared" si="58"/>
        <v>0.02</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4.4999999999999998E-2</v>
      </c>
      <c r="F298" s="719"/>
      <c r="G298" s="24">
        <f t="shared" si="55"/>
        <v>0.15</v>
      </c>
      <c r="H298" s="719"/>
      <c r="I298" s="24">
        <f t="shared" si="56"/>
        <v>0</v>
      </c>
      <c r="J298" s="719"/>
      <c r="K298" s="24">
        <f t="shared" si="57"/>
        <v>0</v>
      </c>
      <c r="L298" s="719"/>
      <c r="M298" s="24">
        <f t="shared" si="58"/>
        <v>0.02</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4.4999999999999998E-2</v>
      </c>
      <c r="F299" s="719"/>
      <c r="G299" s="24">
        <f t="shared" si="55"/>
        <v>0.15</v>
      </c>
      <c r="H299" s="719"/>
      <c r="I299" s="24">
        <f t="shared" si="56"/>
        <v>0</v>
      </c>
      <c r="J299" s="719"/>
      <c r="K299" s="24">
        <f t="shared" si="57"/>
        <v>0</v>
      </c>
      <c r="L299" s="719"/>
      <c r="M299" s="24">
        <f t="shared" si="58"/>
        <v>0.02</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4.4999999999999998E-2</v>
      </c>
      <c r="F300" s="719"/>
      <c r="G300" s="24">
        <f t="shared" si="55"/>
        <v>0.15</v>
      </c>
      <c r="H300" s="719"/>
      <c r="I300" s="24">
        <f t="shared" si="56"/>
        <v>0</v>
      </c>
      <c r="J300" s="719"/>
      <c r="K300" s="24">
        <f t="shared" si="57"/>
        <v>0</v>
      </c>
      <c r="L300" s="719"/>
      <c r="M300" s="24">
        <f t="shared" si="58"/>
        <v>0.02</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4.4999999999999998E-2</v>
      </c>
      <c r="F301" s="719"/>
      <c r="G301" s="24">
        <f t="shared" si="55"/>
        <v>0.15</v>
      </c>
      <c r="H301" s="719"/>
      <c r="I301" s="24">
        <f t="shared" si="56"/>
        <v>0</v>
      </c>
      <c r="J301" s="719"/>
      <c r="K301" s="24">
        <f t="shared" si="57"/>
        <v>0</v>
      </c>
      <c r="L301" s="719"/>
      <c r="M301" s="24">
        <f t="shared" si="58"/>
        <v>0.02</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4.4999999999999998E-2</v>
      </c>
      <c r="F302" s="719"/>
      <c r="G302" s="24">
        <f t="shared" si="55"/>
        <v>0.15</v>
      </c>
      <c r="H302" s="719"/>
      <c r="I302" s="24">
        <f t="shared" si="56"/>
        <v>0</v>
      </c>
      <c r="J302" s="719"/>
      <c r="K302" s="24">
        <f t="shared" si="57"/>
        <v>0</v>
      </c>
      <c r="L302" s="719"/>
      <c r="M302" s="24">
        <f t="shared" si="58"/>
        <v>0.02</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4.4999999999999998E-2</v>
      </c>
      <c r="F303" s="719"/>
      <c r="G303" s="24">
        <f t="shared" si="55"/>
        <v>0.15</v>
      </c>
      <c r="H303" s="719"/>
      <c r="I303" s="24">
        <f t="shared" si="56"/>
        <v>0</v>
      </c>
      <c r="J303" s="719"/>
      <c r="K303" s="24">
        <f t="shared" si="57"/>
        <v>0</v>
      </c>
      <c r="L303" s="719"/>
      <c r="M303" s="24">
        <f t="shared" si="58"/>
        <v>0.02</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4.4999999999999998E-2</v>
      </c>
      <c r="F304" s="719"/>
      <c r="G304" s="24">
        <f t="shared" si="55"/>
        <v>0.15</v>
      </c>
      <c r="H304" s="719"/>
      <c r="I304" s="24">
        <f t="shared" si="56"/>
        <v>0</v>
      </c>
      <c r="J304" s="719"/>
      <c r="K304" s="24">
        <f t="shared" si="57"/>
        <v>0</v>
      </c>
      <c r="L304" s="719"/>
      <c r="M304" s="24">
        <f t="shared" si="58"/>
        <v>0.02</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4.4999999999999998E-2</v>
      </c>
      <c r="F305" s="719"/>
      <c r="G305" s="24">
        <f t="shared" si="55"/>
        <v>0.15</v>
      </c>
      <c r="H305" s="719"/>
      <c r="I305" s="24">
        <f t="shared" si="56"/>
        <v>0</v>
      </c>
      <c r="J305" s="719"/>
      <c r="K305" s="24">
        <f t="shared" si="57"/>
        <v>0</v>
      </c>
      <c r="L305" s="719"/>
      <c r="M305" s="24">
        <f t="shared" si="58"/>
        <v>0.02</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4.4999999999999998E-2</v>
      </c>
      <c r="F306" s="719"/>
      <c r="G306" s="24">
        <f t="shared" si="55"/>
        <v>0.15</v>
      </c>
      <c r="H306" s="719"/>
      <c r="I306" s="24">
        <f t="shared" si="56"/>
        <v>0</v>
      </c>
      <c r="J306" s="719"/>
      <c r="K306" s="24">
        <f t="shared" si="57"/>
        <v>0</v>
      </c>
      <c r="L306" s="719"/>
      <c r="M306" s="24">
        <f t="shared" si="58"/>
        <v>0.02</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4.4999999999999998E-2</v>
      </c>
      <c r="F307" s="719"/>
      <c r="G307" s="24">
        <f t="shared" si="55"/>
        <v>0.15</v>
      </c>
      <c r="H307" s="719"/>
      <c r="I307" s="24">
        <f t="shared" si="56"/>
        <v>0</v>
      </c>
      <c r="J307" s="719"/>
      <c r="K307" s="24">
        <f t="shared" si="57"/>
        <v>0</v>
      </c>
      <c r="L307" s="719"/>
      <c r="M307" s="24">
        <f t="shared" si="58"/>
        <v>0.02</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4.4999999999999998E-2</v>
      </c>
      <c r="F308" s="719"/>
      <c r="G308" s="24">
        <f t="shared" si="55"/>
        <v>0.15</v>
      </c>
      <c r="H308" s="719"/>
      <c r="I308" s="24">
        <f t="shared" si="56"/>
        <v>0</v>
      </c>
      <c r="J308" s="719"/>
      <c r="K308" s="24">
        <f t="shared" si="57"/>
        <v>0</v>
      </c>
      <c r="L308" s="719"/>
      <c r="M308" s="24">
        <f t="shared" si="58"/>
        <v>0.02</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4.4999999999999998E-2</v>
      </c>
      <c r="F309" s="719"/>
      <c r="G309" s="24">
        <f t="shared" si="55"/>
        <v>0.15</v>
      </c>
      <c r="H309" s="719"/>
      <c r="I309" s="24">
        <f t="shared" si="56"/>
        <v>0</v>
      </c>
      <c r="J309" s="719"/>
      <c r="K309" s="24">
        <f t="shared" si="57"/>
        <v>0</v>
      </c>
      <c r="L309" s="719"/>
      <c r="M309" s="24">
        <f t="shared" si="58"/>
        <v>0.02</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4.4999999999999998E-2</v>
      </c>
      <c r="F310" s="719"/>
      <c r="G310" s="24">
        <f t="shared" si="55"/>
        <v>0.15</v>
      </c>
      <c r="H310" s="719"/>
      <c r="I310" s="24">
        <f t="shared" si="56"/>
        <v>0</v>
      </c>
      <c r="J310" s="719"/>
      <c r="K310" s="24">
        <f t="shared" si="57"/>
        <v>0</v>
      </c>
      <c r="L310" s="719"/>
      <c r="M310" s="24">
        <f t="shared" si="58"/>
        <v>0.02</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4.4999999999999998E-2</v>
      </c>
      <c r="F311" s="719"/>
      <c r="G311" s="24">
        <f t="shared" si="55"/>
        <v>0.15</v>
      </c>
      <c r="H311" s="719"/>
      <c r="I311" s="24">
        <f t="shared" si="56"/>
        <v>0</v>
      </c>
      <c r="J311" s="719"/>
      <c r="K311" s="24">
        <f t="shared" si="57"/>
        <v>0</v>
      </c>
      <c r="L311" s="719"/>
      <c r="M311" s="24">
        <f t="shared" si="58"/>
        <v>0.02</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4.4999999999999998E-2</v>
      </c>
      <c r="F312" s="719"/>
      <c r="G312" s="24">
        <f t="shared" si="55"/>
        <v>0.15</v>
      </c>
      <c r="H312" s="719"/>
      <c r="I312" s="24">
        <f t="shared" si="56"/>
        <v>0</v>
      </c>
      <c r="J312" s="719"/>
      <c r="K312" s="24">
        <f t="shared" si="57"/>
        <v>0</v>
      </c>
      <c r="L312" s="719"/>
      <c r="M312" s="24">
        <f t="shared" si="58"/>
        <v>0.02</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4.4999999999999998E-2</v>
      </c>
      <c r="F313" s="719"/>
      <c r="G313" s="24">
        <f t="shared" si="55"/>
        <v>0.15</v>
      </c>
      <c r="H313" s="719"/>
      <c r="I313" s="24">
        <f t="shared" si="56"/>
        <v>0</v>
      </c>
      <c r="J313" s="719"/>
      <c r="K313" s="24">
        <f t="shared" si="57"/>
        <v>0</v>
      </c>
      <c r="L313" s="719"/>
      <c r="M313" s="24">
        <f t="shared" si="58"/>
        <v>0.02</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4.4999999999999998E-2</v>
      </c>
      <c r="F314" s="719"/>
      <c r="G314" s="24">
        <f t="shared" si="55"/>
        <v>0.15</v>
      </c>
      <c r="H314" s="719"/>
      <c r="I314" s="24">
        <f t="shared" si="56"/>
        <v>0</v>
      </c>
      <c r="J314" s="719"/>
      <c r="K314" s="24">
        <f t="shared" si="57"/>
        <v>0</v>
      </c>
      <c r="L314" s="719"/>
      <c r="M314" s="24">
        <f t="shared" si="58"/>
        <v>0.02</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4.4999999999999998E-2</v>
      </c>
      <c r="F315" s="719"/>
      <c r="G315" s="24">
        <f t="shared" si="55"/>
        <v>0.15</v>
      </c>
      <c r="H315" s="719"/>
      <c r="I315" s="24">
        <f t="shared" si="56"/>
        <v>0</v>
      </c>
      <c r="J315" s="719"/>
      <c r="K315" s="24">
        <f t="shared" si="57"/>
        <v>0</v>
      </c>
      <c r="L315" s="719"/>
      <c r="M315" s="24">
        <f t="shared" si="58"/>
        <v>0.02</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4.4999999999999998E-2</v>
      </c>
      <c r="F316" s="719"/>
      <c r="G316" s="24">
        <f t="shared" si="55"/>
        <v>0.15</v>
      </c>
      <c r="H316" s="719"/>
      <c r="I316" s="24">
        <f t="shared" si="56"/>
        <v>0</v>
      </c>
      <c r="J316" s="719"/>
      <c r="K316" s="24">
        <f t="shared" si="57"/>
        <v>0</v>
      </c>
      <c r="L316" s="719"/>
      <c r="M316" s="24">
        <f t="shared" si="58"/>
        <v>0.02</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4.4999999999999998E-2</v>
      </c>
      <c r="F317" s="719"/>
      <c r="G317" s="24">
        <f t="shared" si="55"/>
        <v>0.15</v>
      </c>
      <c r="H317" s="719"/>
      <c r="I317" s="24">
        <f t="shared" si="56"/>
        <v>0</v>
      </c>
      <c r="J317" s="719"/>
      <c r="K317" s="24">
        <f t="shared" si="57"/>
        <v>0</v>
      </c>
      <c r="L317" s="719"/>
      <c r="M317" s="24">
        <f t="shared" si="58"/>
        <v>0.02</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4.4999999999999998E-2</v>
      </c>
      <c r="F318" s="719"/>
      <c r="G318" s="24">
        <f t="shared" si="55"/>
        <v>0.15</v>
      </c>
      <c r="H318" s="719"/>
      <c r="I318" s="24">
        <f t="shared" si="56"/>
        <v>0</v>
      </c>
      <c r="J318" s="719"/>
      <c r="K318" s="24">
        <f t="shared" si="57"/>
        <v>0</v>
      </c>
      <c r="L318" s="719"/>
      <c r="M318" s="24">
        <f t="shared" si="58"/>
        <v>0.02</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4.4999999999999998E-2</v>
      </c>
      <c r="F319" s="719"/>
      <c r="G319" s="24">
        <f t="shared" si="55"/>
        <v>0.15</v>
      </c>
      <c r="H319" s="719"/>
      <c r="I319" s="24">
        <f t="shared" si="56"/>
        <v>0</v>
      </c>
      <c r="J319" s="719"/>
      <c r="K319" s="24">
        <f t="shared" si="57"/>
        <v>0</v>
      </c>
      <c r="L319" s="719"/>
      <c r="M319" s="24">
        <f t="shared" si="58"/>
        <v>0.02</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4.4999999999999998E-2</v>
      </c>
      <c r="F320" s="719"/>
      <c r="G320" s="24">
        <f t="shared" si="55"/>
        <v>0.15</v>
      </c>
      <c r="H320" s="719"/>
      <c r="I320" s="24">
        <f t="shared" si="56"/>
        <v>0</v>
      </c>
      <c r="J320" s="719"/>
      <c r="K320" s="24">
        <f t="shared" si="57"/>
        <v>0</v>
      </c>
      <c r="L320" s="719"/>
      <c r="M320" s="24">
        <f t="shared" si="58"/>
        <v>0.02</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4.4999999999999998E-2</v>
      </c>
      <c r="F321" s="719"/>
      <c r="G321" s="24">
        <f t="shared" si="55"/>
        <v>0.15</v>
      </c>
      <c r="H321" s="719"/>
      <c r="I321" s="24">
        <f t="shared" si="56"/>
        <v>0</v>
      </c>
      <c r="J321" s="719"/>
      <c r="K321" s="24">
        <f t="shared" si="57"/>
        <v>0</v>
      </c>
      <c r="L321" s="719"/>
      <c r="M321" s="24">
        <f t="shared" si="58"/>
        <v>0.02</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4.4999999999999998E-2</v>
      </c>
      <c r="F322" s="719"/>
      <c r="G322" s="24">
        <f t="shared" si="55"/>
        <v>0.15</v>
      </c>
      <c r="H322" s="719"/>
      <c r="I322" s="24">
        <f t="shared" si="56"/>
        <v>0</v>
      </c>
      <c r="J322" s="719"/>
      <c r="K322" s="24">
        <f t="shared" si="57"/>
        <v>0</v>
      </c>
      <c r="L322" s="719"/>
      <c r="M322" s="24">
        <f t="shared" si="58"/>
        <v>0.02</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4.4999999999999998E-2</v>
      </c>
      <c r="F323" s="719"/>
      <c r="G323" s="24">
        <f t="shared" si="55"/>
        <v>0.15</v>
      </c>
      <c r="H323" s="719"/>
      <c r="I323" s="24">
        <f t="shared" si="56"/>
        <v>0</v>
      </c>
      <c r="J323" s="719"/>
      <c r="K323" s="24">
        <f t="shared" si="57"/>
        <v>0</v>
      </c>
      <c r="L323" s="719"/>
      <c r="M323" s="24">
        <f t="shared" si="58"/>
        <v>0.02</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4.4999999999999998E-2</v>
      </c>
      <c r="F324" s="719"/>
      <c r="G324" s="24">
        <f t="shared" si="55"/>
        <v>0.15</v>
      </c>
      <c r="H324" s="719"/>
      <c r="I324" s="24">
        <f t="shared" si="56"/>
        <v>0</v>
      </c>
      <c r="J324" s="719"/>
      <c r="K324" s="24">
        <f t="shared" si="57"/>
        <v>0</v>
      </c>
      <c r="L324" s="719"/>
      <c r="M324" s="24">
        <f t="shared" si="58"/>
        <v>0.02</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4.4999999999999998E-2</v>
      </c>
      <c r="F325" s="719"/>
      <c r="G325" s="24">
        <f t="shared" si="55"/>
        <v>0.15</v>
      </c>
      <c r="H325" s="719"/>
      <c r="I325" s="24">
        <f t="shared" si="56"/>
        <v>0</v>
      </c>
      <c r="J325" s="719"/>
      <c r="K325" s="24">
        <f t="shared" si="57"/>
        <v>0</v>
      </c>
      <c r="L325" s="719"/>
      <c r="M325" s="24">
        <f t="shared" si="58"/>
        <v>0.02</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4.4999999999999998E-2</v>
      </c>
      <c r="F326" s="719"/>
      <c r="G326" s="24">
        <f t="shared" si="55"/>
        <v>0.15</v>
      </c>
      <c r="H326" s="719"/>
      <c r="I326" s="24">
        <f t="shared" si="56"/>
        <v>0</v>
      </c>
      <c r="J326" s="719"/>
      <c r="K326" s="24">
        <f t="shared" si="57"/>
        <v>0</v>
      </c>
      <c r="L326" s="719"/>
      <c r="M326" s="24">
        <f t="shared" si="58"/>
        <v>0.02</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4.4999999999999998E-2</v>
      </c>
      <c r="F327" s="719"/>
      <c r="G327" s="24">
        <f t="shared" si="55"/>
        <v>0.15</v>
      </c>
      <c r="H327" s="719"/>
      <c r="I327" s="24">
        <f t="shared" si="56"/>
        <v>0</v>
      </c>
      <c r="J327" s="719"/>
      <c r="K327" s="24">
        <f t="shared" si="57"/>
        <v>0</v>
      </c>
      <c r="L327" s="719"/>
      <c r="M327" s="24">
        <f t="shared" si="58"/>
        <v>0.02</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4.4999999999999998E-2</v>
      </c>
      <c r="F328" s="719"/>
      <c r="G328" s="24">
        <f t="shared" si="55"/>
        <v>0.15</v>
      </c>
      <c r="H328" s="719"/>
      <c r="I328" s="24">
        <f t="shared" si="56"/>
        <v>0</v>
      </c>
      <c r="J328" s="719"/>
      <c r="K328" s="24">
        <f t="shared" si="57"/>
        <v>0</v>
      </c>
      <c r="L328" s="719"/>
      <c r="M328" s="24">
        <f t="shared" si="58"/>
        <v>0.02</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4.4999999999999998E-2</v>
      </c>
      <c r="F329" s="719"/>
      <c r="G329" s="24">
        <f t="shared" si="55"/>
        <v>0.15</v>
      </c>
      <c r="H329" s="719"/>
      <c r="I329" s="24">
        <f t="shared" si="56"/>
        <v>0</v>
      </c>
      <c r="J329" s="719"/>
      <c r="K329" s="24">
        <f t="shared" si="57"/>
        <v>0</v>
      </c>
      <c r="L329" s="719"/>
      <c r="M329" s="24">
        <f t="shared" si="58"/>
        <v>0.02</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4.4999999999999998E-2</v>
      </c>
      <c r="F330" s="719"/>
      <c r="G330" s="24">
        <f t="shared" si="55"/>
        <v>0.15</v>
      </c>
      <c r="H330" s="719"/>
      <c r="I330" s="24">
        <f t="shared" si="56"/>
        <v>0</v>
      </c>
      <c r="J330" s="719"/>
      <c r="K330" s="24">
        <f t="shared" si="57"/>
        <v>0</v>
      </c>
      <c r="L330" s="719"/>
      <c r="M330" s="24">
        <f t="shared" si="58"/>
        <v>0.02</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4.4999999999999998E-2</v>
      </c>
      <c r="F331" s="719"/>
      <c r="G331" s="24">
        <f t="shared" si="55"/>
        <v>0.15</v>
      </c>
      <c r="H331" s="719"/>
      <c r="I331" s="24">
        <f t="shared" si="56"/>
        <v>0</v>
      </c>
      <c r="J331" s="719"/>
      <c r="K331" s="24">
        <f t="shared" si="57"/>
        <v>0</v>
      </c>
      <c r="L331" s="719"/>
      <c r="M331" s="24">
        <f t="shared" si="58"/>
        <v>0.02</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4.4999999999999998E-2</v>
      </c>
      <c r="F332" s="719"/>
      <c r="G332" s="24">
        <f t="shared" si="55"/>
        <v>0.15</v>
      </c>
      <c r="H332" s="719"/>
      <c r="I332" s="24">
        <f t="shared" si="56"/>
        <v>0</v>
      </c>
      <c r="J332" s="719"/>
      <c r="K332" s="24">
        <f t="shared" si="57"/>
        <v>0</v>
      </c>
      <c r="L332" s="719"/>
      <c r="M332" s="24">
        <f t="shared" si="58"/>
        <v>0.02</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4.4999999999999998E-2</v>
      </c>
      <c r="F333" s="719"/>
      <c r="G333" s="24">
        <f t="shared" si="55"/>
        <v>0.15</v>
      </c>
      <c r="H333" s="719"/>
      <c r="I333" s="24">
        <f t="shared" si="56"/>
        <v>0</v>
      </c>
      <c r="J333" s="719"/>
      <c r="K333" s="24">
        <f t="shared" si="57"/>
        <v>0</v>
      </c>
      <c r="L333" s="719"/>
      <c r="M333" s="24">
        <f t="shared" si="58"/>
        <v>0.02</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4.4999999999999998E-2</v>
      </c>
      <c r="F334" s="719"/>
      <c r="G334" s="24">
        <f t="shared" si="55"/>
        <v>0.15</v>
      </c>
      <c r="H334" s="719"/>
      <c r="I334" s="24">
        <f t="shared" si="56"/>
        <v>0</v>
      </c>
      <c r="J334" s="719"/>
      <c r="K334" s="24">
        <f t="shared" si="57"/>
        <v>0</v>
      </c>
      <c r="L334" s="719"/>
      <c r="M334" s="24">
        <f t="shared" si="58"/>
        <v>0.02</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4.4999999999999998E-2</v>
      </c>
      <c r="F335" s="719"/>
      <c r="G335" s="24">
        <f t="shared" si="55"/>
        <v>0.15</v>
      </c>
      <c r="H335" s="719"/>
      <c r="I335" s="24">
        <f t="shared" si="56"/>
        <v>0</v>
      </c>
      <c r="J335" s="719"/>
      <c r="K335" s="24">
        <f t="shared" si="57"/>
        <v>0</v>
      </c>
      <c r="L335" s="719"/>
      <c r="M335" s="24">
        <f t="shared" si="58"/>
        <v>0.02</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4.4999999999999998E-2</v>
      </c>
      <c r="F336" s="719"/>
      <c r="G336" s="24">
        <f t="shared" si="55"/>
        <v>0.15</v>
      </c>
      <c r="H336" s="719"/>
      <c r="I336" s="24">
        <f t="shared" si="56"/>
        <v>0</v>
      </c>
      <c r="J336" s="719"/>
      <c r="K336" s="24">
        <f t="shared" si="57"/>
        <v>0</v>
      </c>
      <c r="L336" s="719"/>
      <c r="M336" s="24">
        <f t="shared" si="58"/>
        <v>0.02</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4.4999999999999998E-2</v>
      </c>
      <c r="F337" s="719"/>
      <c r="G337" s="24">
        <f t="shared" si="55"/>
        <v>0.15</v>
      </c>
      <c r="H337" s="719"/>
      <c r="I337" s="24">
        <f t="shared" si="56"/>
        <v>0</v>
      </c>
      <c r="J337" s="719"/>
      <c r="K337" s="24">
        <f t="shared" si="57"/>
        <v>0</v>
      </c>
      <c r="L337" s="719"/>
      <c r="M337" s="24">
        <f t="shared" si="58"/>
        <v>0.02</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4.4999999999999998E-2</v>
      </c>
      <c r="F338" s="719"/>
      <c r="G338" s="24">
        <f t="shared" si="55"/>
        <v>0.15</v>
      </c>
      <c r="H338" s="719"/>
      <c r="I338" s="24">
        <f t="shared" si="56"/>
        <v>0</v>
      </c>
      <c r="J338" s="719"/>
      <c r="K338" s="24">
        <f t="shared" si="57"/>
        <v>0</v>
      </c>
      <c r="L338" s="719"/>
      <c r="M338" s="24">
        <f t="shared" si="58"/>
        <v>0.02</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4.4999999999999998E-2</v>
      </c>
      <c r="F339" s="719"/>
      <c r="G339" s="24">
        <f t="shared" si="55"/>
        <v>0.15</v>
      </c>
      <c r="H339" s="719"/>
      <c r="I339" s="24">
        <f t="shared" si="56"/>
        <v>0</v>
      </c>
      <c r="J339" s="719"/>
      <c r="K339" s="24">
        <f t="shared" si="57"/>
        <v>0</v>
      </c>
      <c r="L339" s="719"/>
      <c r="M339" s="24">
        <f t="shared" si="58"/>
        <v>0.02</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4.4999999999999998E-2</v>
      </c>
      <c r="F340" s="719"/>
      <c r="G340" s="24">
        <f t="shared" si="55"/>
        <v>0.15</v>
      </c>
      <c r="H340" s="719"/>
      <c r="I340" s="24">
        <f t="shared" si="56"/>
        <v>0</v>
      </c>
      <c r="J340" s="719"/>
      <c r="K340" s="24">
        <f t="shared" si="57"/>
        <v>0</v>
      </c>
      <c r="L340" s="719"/>
      <c r="M340" s="24">
        <f t="shared" si="58"/>
        <v>0.02</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4.4999999999999998E-2</v>
      </c>
      <c r="F341" s="719"/>
      <c r="G341" s="24">
        <f t="shared" si="55"/>
        <v>0.15</v>
      </c>
      <c r="H341" s="719"/>
      <c r="I341" s="24">
        <f t="shared" si="56"/>
        <v>0</v>
      </c>
      <c r="J341" s="719"/>
      <c r="K341" s="24">
        <f t="shared" si="57"/>
        <v>0</v>
      </c>
      <c r="L341" s="719"/>
      <c r="M341" s="24">
        <f t="shared" si="58"/>
        <v>0.02</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4.4999999999999998E-2</v>
      </c>
      <c r="F342" s="719"/>
      <c r="G342" s="24">
        <f t="shared" si="55"/>
        <v>0.15</v>
      </c>
      <c r="H342" s="719"/>
      <c r="I342" s="24">
        <f t="shared" si="56"/>
        <v>0</v>
      </c>
      <c r="J342" s="719"/>
      <c r="K342" s="24">
        <f t="shared" si="57"/>
        <v>0</v>
      </c>
      <c r="L342" s="719"/>
      <c r="M342" s="24">
        <f t="shared" si="58"/>
        <v>0.02</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4.4999999999999998E-2</v>
      </c>
      <c r="F343" s="719"/>
      <c r="G343" s="24">
        <f t="shared" si="55"/>
        <v>0.15</v>
      </c>
      <c r="H343" s="719"/>
      <c r="I343" s="24">
        <f t="shared" si="56"/>
        <v>0</v>
      </c>
      <c r="J343" s="719"/>
      <c r="K343" s="24">
        <f t="shared" si="57"/>
        <v>0</v>
      </c>
      <c r="L343" s="719"/>
      <c r="M343" s="24">
        <f t="shared" si="58"/>
        <v>0.02</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4.4999999999999998E-2</v>
      </c>
      <c r="F344" s="719"/>
      <c r="G344" s="24">
        <f t="shared" si="55"/>
        <v>0.15</v>
      </c>
      <c r="H344" s="719"/>
      <c r="I344" s="24">
        <f t="shared" si="56"/>
        <v>0</v>
      </c>
      <c r="J344" s="719"/>
      <c r="K344" s="24">
        <f t="shared" si="57"/>
        <v>0</v>
      </c>
      <c r="L344" s="719"/>
      <c r="M344" s="24">
        <f t="shared" si="58"/>
        <v>0.02</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4.4999999999999998E-2</v>
      </c>
      <c r="F345" s="719"/>
      <c r="G345" s="24">
        <f t="shared" si="55"/>
        <v>0.15</v>
      </c>
      <c r="H345" s="719"/>
      <c r="I345" s="24">
        <f t="shared" si="56"/>
        <v>0</v>
      </c>
      <c r="J345" s="719"/>
      <c r="K345" s="24">
        <f t="shared" si="57"/>
        <v>0</v>
      </c>
      <c r="L345" s="719"/>
      <c r="M345" s="24">
        <f t="shared" si="58"/>
        <v>0.02</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4.4999999999999998E-2</v>
      </c>
      <c r="F346" s="719"/>
      <c r="G346" s="24">
        <f t="shared" ref="G346:G409" si="66">(SUMIF($7:$7,F346,$8:$8)-SUMIF($7:$7,$F$24,$8:$8)+100)/100</f>
        <v>0.15</v>
      </c>
      <c r="H346" s="719"/>
      <c r="I346" s="24">
        <f t="shared" ref="I346:I409" si="67">(SUMIF($9:$9,H346,$10:$10)-SUMIF($9:$9,$H$24,$10:$10)+100)/100</f>
        <v>0</v>
      </c>
      <c r="J346" s="719"/>
      <c r="K346" s="24">
        <f t="shared" ref="K346:K409" si="68">(SUMIF($11:$11,J346,$12:$12)-SUMIF($11:$11,$J$24,$12:$12)+100)/100</f>
        <v>0</v>
      </c>
      <c r="L346" s="719"/>
      <c r="M346" s="24">
        <f t="shared" ref="M346:M409" si="69">(SUMIF($13:$13,L346,$14:$14)-SUMIF($13:$13,$L$24,$14:$14)+100)/100</f>
        <v>0.02</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4.4999999999999998E-2</v>
      </c>
      <c r="F347" s="719"/>
      <c r="G347" s="24">
        <f t="shared" si="66"/>
        <v>0.15</v>
      </c>
      <c r="H347" s="719"/>
      <c r="I347" s="24">
        <f t="shared" si="67"/>
        <v>0</v>
      </c>
      <c r="J347" s="719"/>
      <c r="K347" s="24">
        <f t="shared" si="68"/>
        <v>0</v>
      </c>
      <c r="L347" s="719"/>
      <c r="M347" s="24">
        <f t="shared" si="69"/>
        <v>0.02</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4.4999999999999998E-2</v>
      </c>
      <c r="F348" s="719"/>
      <c r="G348" s="24">
        <f t="shared" si="66"/>
        <v>0.15</v>
      </c>
      <c r="H348" s="719"/>
      <c r="I348" s="24">
        <f t="shared" si="67"/>
        <v>0</v>
      </c>
      <c r="J348" s="719"/>
      <c r="K348" s="24">
        <f t="shared" si="68"/>
        <v>0</v>
      </c>
      <c r="L348" s="719"/>
      <c r="M348" s="24">
        <f t="shared" si="69"/>
        <v>0.02</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4.4999999999999998E-2</v>
      </c>
      <c r="F349" s="719"/>
      <c r="G349" s="24">
        <f t="shared" si="66"/>
        <v>0.15</v>
      </c>
      <c r="H349" s="719"/>
      <c r="I349" s="24">
        <f t="shared" si="67"/>
        <v>0</v>
      </c>
      <c r="J349" s="719"/>
      <c r="K349" s="24">
        <f t="shared" si="68"/>
        <v>0</v>
      </c>
      <c r="L349" s="719"/>
      <c r="M349" s="24">
        <f t="shared" si="69"/>
        <v>0.02</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4.4999999999999998E-2</v>
      </c>
      <c r="F350" s="719"/>
      <c r="G350" s="24">
        <f t="shared" si="66"/>
        <v>0.15</v>
      </c>
      <c r="H350" s="719"/>
      <c r="I350" s="24">
        <f t="shared" si="67"/>
        <v>0</v>
      </c>
      <c r="J350" s="719"/>
      <c r="K350" s="24">
        <f t="shared" si="68"/>
        <v>0</v>
      </c>
      <c r="L350" s="719"/>
      <c r="M350" s="24">
        <f t="shared" si="69"/>
        <v>0.02</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4.4999999999999998E-2</v>
      </c>
      <c r="F351" s="719"/>
      <c r="G351" s="24">
        <f t="shared" si="66"/>
        <v>0.15</v>
      </c>
      <c r="H351" s="719"/>
      <c r="I351" s="24">
        <f t="shared" si="67"/>
        <v>0</v>
      </c>
      <c r="J351" s="719"/>
      <c r="K351" s="24">
        <f t="shared" si="68"/>
        <v>0</v>
      </c>
      <c r="L351" s="719"/>
      <c r="M351" s="24">
        <f t="shared" si="69"/>
        <v>0.02</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4.4999999999999998E-2</v>
      </c>
      <c r="F352" s="719"/>
      <c r="G352" s="24">
        <f t="shared" si="66"/>
        <v>0.15</v>
      </c>
      <c r="H352" s="719"/>
      <c r="I352" s="24">
        <f t="shared" si="67"/>
        <v>0</v>
      </c>
      <c r="J352" s="719"/>
      <c r="K352" s="24">
        <f t="shared" si="68"/>
        <v>0</v>
      </c>
      <c r="L352" s="719"/>
      <c r="M352" s="24">
        <f t="shared" si="69"/>
        <v>0.02</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4.4999999999999998E-2</v>
      </c>
      <c r="F353" s="719"/>
      <c r="G353" s="24">
        <f t="shared" si="66"/>
        <v>0.15</v>
      </c>
      <c r="H353" s="719"/>
      <c r="I353" s="24">
        <f t="shared" si="67"/>
        <v>0</v>
      </c>
      <c r="J353" s="719"/>
      <c r="K353" s="24">
        <f t="shared" si="68"/>
        <v>0</v>
      </c>
      <c r="L353" s="719"/>
      <c r="M353" s="24">
        <f t="shared" si="69"/>
        <v>0.02</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4.4999999999999998E-2</v>
      </c>
      <c r="F354" s="719"/>
      <c r="G354" s="24">
        <f t="shared" si="66"/>
        <v>0.15</v>
      </c>
      <c r="H354" s="719"/>
      <c r="I354" s="24">
        <f t="shared" si="67"/>
        <v>0</v>
      </c>
      <c r="J354" s="719"/>
      <c r="K354" s="24">
        <f t="shared" si="68"/>
        <v>0</v>
      </c>
      <c r="L354" s="719"/>
      <c r="M354" s="24">
        <f t="shared" si="69"/>
        <v>0.02</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4.4999999999999998E-2</v>
      </c>
      <c r="F355" s="719"/>
      <c r="G355" s="24">
        <f t="shared" si="66"/>
        <v>0.15</v>
      </c>
      <c r="H355" s="719"/>
      <c r="I355" s="24">
        <f t="shared" si="67"/>
        <v>0</v>
      </c>
      <c r="J355" s="719"/>
      <c r="K355" s="24">
        <f t="shared" si="68"/>
        <v>0</v>
      </c>
      <c r="L355" s="719"/>
      <c r="M355" s="24">
        <f t="shared" si="69"/>
        <v>0.02</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4.4999999999999998E-2</v>
      </c>
      <c r="F356" s="719"/>
      <c r="G356" s="24">
        <f t="shared" si="66"/>
        <v>0.15</v>
      </c>
      <c r="H356" s="719"/>
      <c r="I356" s="24">
        <f t="shared" si="67"/>
        <v>0</v>
      </c>
      <c r="J356" s="719"/>
      <c r="K356" s="24">
        <f t="shared" si="68"/>
        <v>0</v>
      </c>
      <c r="L356" s="719"/>
      <c r="M356" s="24">
        <f t="shared" si="69"/>
        <v>0.02</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4.4999999999999998E-2</v>
      </c>
      <c r="F357" s="719"/>
      <c r="G357" s="24">
        <f t="shared" si="66"/>
        <v>0.15</v>
      </c>
      <c r="H357" s="719"/>
      <c r="I357" s="24">
        <f t="shared" si="67"/>
        <v>0</v>
      </c>
      <c r="J357" s="719"/>
      <c r="K357" s="24">
        <f t="shared" si="68"/>
        <v>0</v>
      </c>
      <c r="L357" s="719"/>
      <c r="M357" s="24">
        <f t="shared" si="69"/>
        <v>0.02</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4.4999999999999998E-2</v>
      </c>
      <c r="F358" s="719"/>
      <c r="G358" s="24">
        <f t="shared" si="66"/>
        <v>0.15</v>
      </c>
      <c r="H358" s="719"/>
      <c r="I358" s="24">
        <f t="shared" si="67"/>
        <v>0</v>
      </c>
      <c r="J358" s="719"/>
      <c r="K358" s="24">
        <f t="shared" si="68"/>
        <v>0</v>
      </c>
      <c r="L358" s="719"/>
      <c r="M358" s="24">
        <f t="shared" si="69"/>
        <v>0.02</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4.4999999999999998E-2</v>
      </c>
      <c r="F359" s="719"/>
      <c r="G359" s="24">
        <f t="shared" si="66"/>
        <v>0.15</v>
      </c>
      <c r="H359" s="719"/>
      <c r="I359" s="24">
        <f t="shared" si="67"/>
        <v>0</v>
      </c>
      <c r="J359" s="719"/>
      <c r="K359" s="24">
        <f t="shared" si="68"/>
        <v>0</v>
      </c>
      <c r="L359" s="719"/>
      <c r="M359" s="24">
        <f t="shared" si="69"/>
        <v>0.02</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4.4999999999999998E-2</v>
      </c>
      <c r="F360" s="719"/>
      <c r="G360" s="24">
        <f t="shared" si="66"/>
        <v>0.15</v>
      </c>
      <c r="H360" s="719"/>
      <c r="I360" s="24">
        <f t="shared" si="67"/>
        <v>0</v>
      </c>
      <c r="J360" s="719"/>
      <c r="K360" s="24">
        <f t="shared" si="68"/>
        <v>0</v>
      </c>
      <c r="L360" s="719"/>
      <c r="M360" s="24">
        <f t="shared" si="69"/>
        <v>0.02</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4.4999999999999998E-2</v>
      </c>
      <c r="F361" s="719"/>
      <c r="G361" s="24">
        <f t="shared" si="66"/>
        <v>0.15</v>
      </c>
      <c r="H361" s="719"/>
      <c r="I361" s="24">
        <f t="shared" si="67"/>
        <v>0</v>
      </c>
      <c r="J361" s="719"/>
      <c r="K361" s="24">
        <f t="shared" si="68"/>
        <v>0</v>
      </c>
      <c r="L361" s="719"/>
      <c r="M361" s="24">
        <f t="shared" si="69"/>
        <v>0.02</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4.4999999999999998E-2</v>
      </c>
      <c r="F362" s="719"/>
      <c r="G362" s="24">
        <f t="shared" si="66"/>
        <v>0.15</v>
      </c>
      <c r="H362" s="719"/>
      <c r="I362" s="24">
        <f t="shared" si="67"/>
        <v>0</v>
      </c>
      <c r="J362" s="719"/>
      <c r="K362" s="24">
        <f t="shared" si="68"/>
        <v>0</v>
      </c>
      <c r="L362" s="719"/>
      <c r="M362" s="24">
        <f t="shared" si="69"/>
        <v>0.02</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4.4999999999999998E-2</v>
      </c>
      <c r="F363" s="719"/>
      <c r="G363" s="24">
        <f t="shared" si="66"/>
        <v>0.15</v>
      </c>
      <c r="H363" s="719"/>
      <c r="I363" s="24">
        <f t="shared" si="67"/>
        <v>0</v>
      </c>
      <c r="J363" s="719"/>
      <c r="K363" s="24">
        <f t="shared" si="68"/>
        <v>0</v>
      </c>
      <c r="L363" s="719"/>
      <c r="M363" s="24">
        <f t="shared" si="69"/>
        <v>0.02</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4.4999999999999998E-2</v>
      </c>
      <c r="F364" s="719"/>
      <c r="G364" s="24">
        <f t="shared" si="66"/>
        <v>0.15</v>
      </c>
      <c r="H364" s="719"/>
      <c r="I364" s="24">
        <f t="shared" si="67"/>
        <v>0</v>
      </c>
      <c r="J364" s="719"/>
      <c r="K364" s="24">
        <f t="shared" si="68"/>
        <v>0</v>
      </c>
      <c r="L364" s="719"/>
      <c r="M364" s="24">
        <f t="shared" si="69"/>
        <v>0.02</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4.4999999999999998E-2</v>
      </c>
      <c r="F365" s="719"/>
      <c r="G365" s="24">
        <f t="shared" si="66"/>
        <v>0.15</v>
      </c>
      <c r="H365" s="719"/>
      <c r="I365" s="24">
        <f t="shared" si="67"/>
        <v>0</v>
      </c>
      <c r="J365" s="719"/>
      <c r="K365" s="24">
        <f t="shared" si="68"/>
        <v>0</v>
      </c>
      <c r="L365" s="719"/>
      <c r="M365" s="24">
        <f t="shared" si="69"/>
        <v>0.02</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4.4999999999999998E-2</v>
      </c>
      <c r="F366" s="719"/>
      <c r="G366" s="24">
        <f t="shared" si="66"/>
        <v>0.15</v>
      </c>
      <c r="H366" s="719"/>
      <c r="I366" s="24">
        <f t="shared" si="67"/>
        <v>0</v>
      </c>
      <c r="J366" s="719"/>
      <c r="K366" s="24">
        <f t="shared" si="68"/>
        <v>0</v>
      </c>
      <c r="L366" s="719"/>
      <c r="M366" s="24">
        <f t="shared" si="69"/>
        <v>0.02</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4.4999999999999998E-2</v>
      </c>
      <c r="F367" s="719"/>
      <c r="G367" s="24">
        <f t="shared" si="66"/>
        <v>0.15</v>
      </c>
      <c r="H367" s="719"/>
      <c r="I367" s="24">
        <f t="shared" si="67"/>
        <v>0</v>
      </c>
      <c r="J367" s="719"/>
      <c r="K367" s="24">
        <f t="shared" si="68"/>
        <v>0</v>
      </c>
      <c r="L367" s="719"/>
      <c r="M367" s="24">
        <f t="shared" si="69"/>
        <v>0.02</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4.4999999999999998E-2</v>
      </c>
      <c r="F368" s="719"/>
      <c r="G368" s="24">
        <f t="shared" si="66"/>
        <v>0.15</v>
      </c>
      <c r="H368" s="719"/>
      <c r="I368" s="24">
        <f t="shared" si="67"/>
        <v>0</v>
      </c>
      <c r="J368" s="719"/>
      <c r="K368" s="24">
        <f t="shared" si="68"/>
        <v>0</v>
      </c>
      <c r="L368" s="719"/>
      <c r="M368" s="24">
        <f t="shared" si="69"/>
        <v>0.02</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4.4999999999999998E-2</v>
      </c>
      <c r="F369" s="719"/>
      <c r="G369" s="24">
        <f t="shared" si="66"/>
        <v>0.15</v>
      </c>
      <c r="H369" s="719"/>
      <c r="I369" s="24">
        <f t="shared" si="67"/>
        <v>0</v>
      </c>
      <c r="J369" s="719"/>
      <c r="K369" s="24">
        <f t="shared" si="68"/>
        <v>0</v>
      </c>
      <c r="L369" s="719"/>
      <c r="M369" s="24">
        <f t="shared" si="69"/>
        <v>0.02</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4.4999999999999998E-2</v>
      </c>
      <c r="F370" s="719"/>
      <c r="G370" s="24">
        <f t="shared" si="66"/>
        <v>0.15</v>
      </c>
      <c r="H370" s="719"/>
      <c r="I370" s="24">
        <f t="shared" si="67"/>
        <v>0</v>
      </c>
      <c r="J370" s="719"/>
      <c r="K370" s="24">
        <f t="shared" si="68"/>
        <v>0</v>
      </c>
      <c r="L370" s="719"/>
      <c r="M370" s="24">
        <f t="shared" si="69"/>
        <v>0.02</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4.4999999999999998E-2</v>
      </c>
      <c r="F371" s="719"/>
      <c r="G371" s="24">
        <f t="shared" si="66"/>
        <v>0.15</v>
      </c>
      <c r="H371" s="719"/>
      <c r="I371" s="24">
        <f t="shared" si="67"/>
        <v>0</v>
      </c>
      <c r="J371" s="719"/>
      <c r="K371" s="24">
        <f t="shared" si="68"/>
        <v>0</v>
      </c>
      <c r="L371" s="719"/>
      <c r="M371" s="24">
        <f t="shared" si="69"/>
        <v>0.02</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4.4999999999999998E-2</v>
      </c>
      <c r="F372" s="719"/>
      <c r="G372" s="24">
        <f t="shared" si="66"/>
        <v>0.15</v>
      </c>
      <c r="H372" s="719"/>
      <c r="I372" s="24">
        <f t="shared" si="67"/>
        <v>0</v>
      </c>
      <c r="J372" s="719"/>
      <c r="K372" s="24">
        <f t="shared" si="68"/>
        <v>0</v>
      </c>
      <c r="L372" s="719"/>
      <c r="M372" s="24">
        <f t="shared" si="69"/>
        <v>0.02</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4.4999999999999998E-2</v>
      </c>
      <c r="F373" s="719"/>
      <c r="G373" s="24">
        <f t="shared" si="66"/>
        <v>0.15</v>
      </c>
      <c r="H373" s="719"/>
      <c r="I373" s="24">
        <f t="shared" si="67"/>
        <v>0</v>
      </c>
      <c r="J373" s="719"/>
      <c r="K373" s="24">
        <f t="shared" si="68"/>
        <v>0</v>
      </c>
      <c r="L373" s="719"/>
      <c r="M373" s="24">
        <f t="shared" si="69"/>
        <v>0.02</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4.4999999999999998E-2</v>
      </c>
      <c r="F374" s="719"/>
      <c r="G374" s="24">
        <f t="shared" si="66"/>
        <v>0.15</v>
      </c>
      <c r="H374" s="719"/>
      <c r="I374" s="24">
        <f t="shared" si="67"/>
        <v>0</v>
      </c>
      <c r="J374" s="719"/>
      <c r="K374" s="24">
        <f t="shared" si="68"/>
        <v>0</v>
      </c>
      <c r="L374" s="719"/>
      <c r="M374" s="24">
        <f t="shared" si="69"/>
        <v>0.02</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4.4999999999999998E-2</v>
      </c>
      <c r="F375" s="719"/>
      <c r="G375" s="24">
        <f t="shared" si="66"/>
        <v>0.15</v>
      </c>
      <c r="H375" s="719"/>
      <c r="I375" s="24">
        <f t="shared" si="67"/>
        <v>0</v>
      </c>
      <c r="J375" s="719"/>
      <c r="K375" s="24">
        <f t="shared" si="68"/>
        <v>0</v>
      </c>
      <c r="L375" s="719"/>
      <c r="M375" s="24">
        <f t="shared" si="69"/>
        <v>0.02</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4.4999999999999998E-2</v>
      </c>
      <c r="F376" s="719"/>
      <c r="G376" s="24">
        <f t="shared" si="66"/>
        <v>0.15</v>
      </c>
      <c r="H376" s="719"/>
      <c r="I376" s="24">
        <f t="shared" si="67"/>
        <v>0</v>
      </c>
      <c r="J376" s="719"/>
      <c r="K376" s="24">
        <f t="shared" si="68"/>
        <v>0</v>
      </c>
      <c r="L376" s="719"/>
      <c r="M376" s="24">
        <f t="shared" si="69"/>
        <v>0.02</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4.4999999999999998E-2</v>
      </c>
      <c r="F377" s="719"/>
      <c r="G377" s="24">
        <f t="shared" si="66"/>
        <v>0.15</v>
      </c>
      <c r="H377" s="719"/>
      <c r="I377" s="24">
        <f t="shared" si="67"/>
        <v>0</v>
      </c>
      <c r="J377" s="719"/>
      <c r="K377" s="24">
        <f t="shared" si="68"/>
        <v>0</v>
      </c>
      <c r="L377" s="719"/>
      <c r="M377" s="24">
        <f t="shared" si="69"/>
        <v>0.02</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4.4999999999999998E-2</v>
      </c>
      <c r="F378" s="719"/>
      <c r="G378" s="24">
        <f t="shared" si="66"/>
        <v>0.15</v>
      </c>
      <c r="H378" s="719"/>
      <c r="I378" s="24">
        <f t="shared" si="67"/>
        <v>0</v>
      </c>
      <c r="J378" s="719"/>
      <c r="K378" s="24">
        <f t="shared" si="68"/>
        <v>0</v>
      </c>
      <c r="L378" s="719"/>
      <c r="M378" s="24">
        <f t="shared" si="69"/>
        <v>0.02</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4.4999999999999998E-2</v>
      </c>
      <c r="F379" s="719"/>
      <c r="G379" s="24">
        <f t="shared" si="66"/>
        <v>0.15</v>
      </c>
      <c r="H379" s="719"/>
      <c r="I379" s="24">
        <f t="shared" si="67"/>
        <v>0</v>
      </c>
      <c r="J379" s="719"/>
      <c r="K379" s="24">
        <f t="shared" si="68"/>
        <v>0</v>
      </c>
      <c r="L379" s="719"/>
      <c r="M379" s="24">
        <f t="shared" si="69"/>
        <v>0.02</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4.4999999999999998E-2</v>
      </c>
      <c r="F380" s="719"/>
      <c r="G380" s="24">
        <f t="shared" si="66"/>
        <v>0.15</v>
      </c>
      <c r="H380" s="719"/>
      <c r="I380" s="24">
        <f t="shared" si="67"/>
        <v>0</v>
      </c>
      <c r="J380" s="719"/>
      <c r="K380" s="24">
        <f t="shared" si="68"/>
        <v>0</v>
      </c>
      <c r="L380" s="719"/>
      <c r="M380" s="24">
        <f t="shared" si="69"/>
        <v>0.02</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4.4999999999999998E-2</v>
      </c>
      <c r="F381" s="719"/>
      <c r="G381" s="24">
        <f t="shared" si="66"/>
        <v>0.15</v>
      </c>
      <c r="H381" s="719"/>
      <c r="I381" s="24">
        <f t="shared" si="67"/>
        <v>0</v>
      </c>
      <c r="J381" s="719"/>
      <c r="K381" s="24">
        <f t="shared" si="68"/>
        <v>0</v>
      </c>
      <c r="L381" s="719"/>
      <c r="M381" s="24">
        <f t="shared" si="69"/>
        <v>0.02</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4.4999999999999998E-2</v>
      </c>
      <c r="F382" s="719"/>
      <c r="G382" s="24">
        <f t="shared" si="66"/>
        <v>0.15</v>
      </c>
      <c r="H382" s="719"/>
      <c r="I382" s="24">
        <f t="shared" si="67"/>
        <v>0</v>
      </c>
      <c r="J382" s="719"/>
      <c r="K382" s="24">
        <f t="shared" si="68"/>
        <v>0</v>
      </c>
      <c r="L382" s="719"/>
      <c r="M382" s="24">
        <f t="shared" si="69"/>
        <v>0.02</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4.4999999999999998E-2</v>
      </c>
      <c r="F383" s="719"/>
      <c r="G383" s="24">
        <f t="shared" si="66"/>
        <v>0.15</v>
      </c>
      <c r="H383" s="719"/>
      <c r="I383" s="24">
        <f t="shared" si="67"/>
        <v>0</v>
      </c>
      <c r="J383" s="719"/>
      <c r="K383" s="24">
        <f t="shared" si="68"/>
        <v>0</v>
      </c>
      <c r="L383" s="719"/>
      <c r="M383" s="24">
        <f t="shared" si="69"/>
        <v>0.02</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4.4999999999999998E-2</v>
      </c>
      <c r="F384" s="719"/>
      <c r="G384" s="24">
        <f t="shared" si="66"/>
        <v>0.15</v>
      </c>
      <c r="H384" s="719"/>
      <c r="I384" s="24">
        <f t="shared" si="67"/>
        <v>0</v>
      </c>
      <c r="J384" s="719"/>
      <c r="K384" s="24">
        <f t="shared" si="68"/>
        <v>0</v>
      </c>
      <c r="L384" s="719"/>
      <c r="M384" s="24">
        <f t="shared" si="69"/>
        <v>0.02</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4.4999999999999998E-2</v>
      </c>
      <c r="F385" s="719"/>
      <c r="G385" s="24">
        <f t="shared" si="66"/>
        <v>0.15</v>
      </c>
      <c r="H385" s="719"/>
      <c r="I385" s="24">
        <f t="shared" si="67"/>
        <v>0</v>
      </c>
      <c r="J385" s="719"/>
      <c r="K385" s="24">
        <f t="shared" si="68"/>
        <v>0</v>
      </c>
      <c r="L385" s="719"/>
      <c r="M385" s="24">
        <f t="shared" si="69"/>
        <v>0.02</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4.4999999999999998E-2</v>
      </c>
      <c r="F386" s="719"/>
      <c r="G386" s="24">
        <f t="shared" si="66"/>
        <v>0.15</v>
      </c>
      <c r="H386" s="719"/>
      <c r="I386" s="24">
        <f t="shared" si="67"/>
        <v>0</v>
      </c>
      <c r="J386" s="719"/>
      <c r="K386" s="24">
        <f t="shared" si="68"/>
        <v>0</v>
      </c>
      <c r="L386" s="719"/>
      <c r="M386" s="24">
        <f t="shared" si="69"/>
        <v>0.02</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4.4999999999999998E-2</v>
      </c>
      <c r="F387" s="719"/>
      <c r="G387" s="24">
        <f t="shared" si="66"/>
        <v>0.15</v>
      </c>
      <c r="H387" s="719"/>
      <c r="I387" s="24">
        <f t="shared" si="67"/>
        <v>0</v>
      </c>
      <c r="J387" s="719"/>
      <c r="K387" s="24">
        <f t="shared" si="68"/>
        <v>0</v>
      </c>
      <c r="L387" s="719"/>
      <c r="M387" s="24">
        <f t="shared" si="69"/>
        <v>0.02</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4.4999999999999998E-2</v>
      </c>
      <c r="F388" s="719"/>
      <c r="G388" s="24">
        <f t="shared" si="66"/>
        <v>0.15</v>
      </c>
      <c r="H388" s="719"/>
      <c r="I388" s="24">
        <f t="shared" si="67"/>
        <v>0</v>
      </c>
      <c r="J388" s="719"/>
      <c r="K388" s="24">
        <f t="shared" si="68"/>
        <v>0</v>
      </c>
      <c r="L388" s="719"/>
      <c r="M388" s="24">
        <f t="shared" si="69"/>
        <v>0.02</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4.4999999999999998E-2</v>
      </c>
      <c r="F389" s="719"/>
      <c r="G389" s="24">
        <f t="shared" si="66"/>
        <v>0.15</v>
      </c>
      <c r="H389" s="719"/>
      <c r="I389" s="24">
        <f t="shared" si="67"/>
        <v>0</v>
      </c>
      <c r="J389" s="719"/>
      <c r="K389" s="24">
        <f t="shared" si="68"/>
        <v>0</v>
      </c>
      <c r="L389" s="719"/>
      <c r="M389" s="24">
        <f t="shared" si="69"/>
        <v>0.02</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4.4999999999999998E-2</v>
      </c>
      <c r="F390" s="719"/>
      <c r="G390" s="24">
        <f t="shared" si="66"/>
        <v>0.15</v>
      </c>
      <c r="H390" s="719"/>
      <c r="I390" s="24">
        <f t="shared" si="67"/>
        <v>0</v>
      </c>
      <c r="J390" s="719"/>
      <c r="K390" s="24">
        <f t="shared" si="68"/>
        <v>0</v>
      </c>
      <c r="L390" s="719"/>
      <c r="M390" s="24">
        <f t="shared" si="69"/>
        <v>0.02</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4.4999999999999998E-2</v>
      </c>
      <c r="F391" s="719"/>
      <c r="G391" s="24">
        <f t="shared" si="66"/>
        <v>0.15</v>
      </c>
      <c r="H391" s="719"/>
      <c r="I391" s="24">
        <f t="shared" si="67"/>
        <v>0</v>
      </c>
      <c r="J391" s="719"/>
      <c r="K391" s="24">
        <f t="shared" si="68"/>
        <v>0</v>
      </c>
      <c r="L391" s="719"/>
      <c r="M391" s="24">
        <f t="shared" si="69"/>
        <v>0.02</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4.4999999999999998E-2</v>
      </c>
      <c r="F392" s="719"/>
      <c r="G392" s="24">
        <f t="shared" si="66"/>
        <v>0.15</v>
      </c>
      <c r="H392" s="719"/>
      <c r="I392" s="24">
        <f t="shared" si="67"/>
        <v>0</v>
      </c>
      <c r="J392" s="719"/>
      <c r="K392" s="24">
        <f t="shared" si="68"/>
        <v>0</v>
      </c>
      <c r="L392" s="719"/>
      <c r="M392" s="24">
        <f t="shared" si="69"/>
        <v>0.02</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4.4999999999999998E-2</v>
      </c>
      <c r="F393" s="719"/>
      <c r="G393" s="24">
        <f t="shared" si="66"/>
        <v>0.15</v>
      </c>
      <c r="H393" s="719"/>
      <c r="I393" s="24">
        <f t="shared" si="67"/>
        <v>0</v>
      </c>
      <c r="J393" s="719"/>
      <c r="K393" s="24">
        <f t="shared" si="68"/>
        <v>0</v>
      </c>
      <c r="L393" s="719"/>
      <c r="M393" s="24">
        <f t="shared" si="69"/>
        <v>0.02</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4.4999999999999998E-2</v>
      </c>
      <c r="F394" s="719"/>
      <c r="G394" s="24">
        <f t="shared" si="66"/>
        <v>0.15</v>
      </c>
      <c r="H394" s="719"/>
      <c r="I394" s="24">
        <f t="shared" si="67"/>
        <v>0</v>
      </c>
      <c r="J394" s="719"/>
      <c r="K394" s="24">
        <f t="shared" si="68"/>
        <v>0</v>
      </c>
      <c r="L394" s="719"/>
      <c r="M394" s="24">
        <f t="shared" si="69"/>
        <v>0.02</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4.4999999999999998E-2</v>
      </c>
      <c r="F395" s="719"/>
      <c r="G395" s="24">
        <f t="shared" si="66"/>
        <v>0.15</v>
      </c>
      <c r="H395" s="719"/>
      <c r="I395" s="24">
        <f t="shared" si="67"/>
        <v>0</v>
      </c>
      <c r="J395" s="719"/>
      <c r="K395" s="24">
        <f t="shared" si="68"/>
        <v>0</v>
      </c>
      <c r="L395" s="719"/>
      <c r="M395" s="24">
        <f t="shared" si="69"/>
        <v>0.02</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4.4999999999999998E-2</v>
      </c>
      <c r="F396" s="719"/>
      <c r="G396" s="24">
        <f t="shared" si="66"/>
        <v>0.15</v>
      </c>
      <c r="H396" s="719"/>
      <c r="I396" s="24">
        <f t="shared" si="67"/>
        <v>0</v>
      </c>
      <c r="J396" s="719"/>
      <c r="K396" s="24">
        <f t="shared" si="68"/>
        <v>0</v>
      </c>
      <c r="L396" s="719"/>
      <c r="M396" s="24">
        <f t="shared" si="69"/>
        <v>0.02</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4.4999999999999998E-2</v>
      </c>
      <c r="F397" s="719"/>
      <c r="G397" s="24">
        <f t="shared" si="66"/>
        <v>0.15</v>
      </c>
      <c r="H397" s="719"/>
      <c r="I397" s="24">
        <f t="shared" si="67"/>
        <v>0</v>
      </c>
      <c r="J397" s="719"/>
      <c r="K397" s="24">
        <f t="shared" si="68"/>
        <v>0</v>
      </c>
      <c r="L397" s="719"/>
      <c r="M397" s="24">
        <f t="shared" si="69"/>
        <v>0.02</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4.4999999999999998E-2</v>
      </c>
      <c r="F398" s="719"/>
      <c r="G398" s="24">
        <f t="shared" si="66"/>
        <v>0.15</v>
      </c>
      <c r="H398" s="719"/>
      <c r="I398" s="24">
        <f t="shared" si="67"/>
        <v>0</v>
      </c>
      <c r="J398" s="719"/>
      <c r="K398" s="24">
        <f t="shared" si="68"/>
        <v>0</v>
      </c>
      <c r="L398" s="719"/>
      <c r="M398" s="24">
        <f t="shared" si="69"/>
        <v>0.02</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4.4999999999999998E-2</v>
      </c>
      <c r="F399" s="719"/>
      <c r="G399" s="24">
        <f t="shared" si="66"/>
        <v>0.15</v>
      </c>
      <c r="H399" s="719"/>
      <c r="I399" s="24">
        <f t="shared" si="67"/>
        <v>0</v>
      </c>
      <c r="J399" s="719"/>
      <c r="K399" s="24">
        <f t="shared" si="68"/>
        <v>0</v>
      </c>
      <c r="L399" s="719"/>
      <c r="M399" s="24">
        <f t="shared" si="69"/>
        <v>0.02</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4.4999999999999998E-2</v>
      </c>
      <c r="F400" s="719"/>
      <c r="G400" s="24">
        <f t="shared" si="66"/>
        <v>0.15</v>
      </c>
      <c r="H400" s="719"/>
      <c r="I400" s="24">
        <f t="shared" si="67"/>
        <v>0</v>
      </c>
      <c r="J400" s="719"/>
      <c r="K400" s="24">
        <f t="shared" si="68"/>
        <v>0</v>
      </c>
      <c r="L400" s="719"/>
      <c r="M400" s="24">
        <f t="shared" si="69"/>
        <v>0.02</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4.4999999999999998E-2</v>
      </c>
      <c r="F401" s="719"/>
      <c r="G401" s="24">
        <f t="shared" si="66"/>
        <v>0.15</v>
      </c>
      <c r="H401" s="719"/>
      <c r="I401" s="24">
        <f t="shared" si="67"/>
        <v>0</v>
      </c>
      <c r="J401" s="719"/>
      <c r="K401" s="24">
        <f t="shared" si="68"/>
        <v>0</v>
      </c>
      <c r="L401" s="719"/>
      <c r="M401" s="24">
        <f t="shared" si="69"/>
        <v>0.02</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4.4999999999999998E-2</v>
      </c>
      <c r="F402" s="719"/>
      <c r="G402" s="24">
        <f t="shared" si="66"/>
        <v>0.15</v>
      </c>
      <c r="H402" s="719"/>
      <c r="I402" s="24">
        <f t="shared" si="67"/>
        <v>0</v>
      </c>
      <c r="J402" s="719"/>
      <c r="K402" s="24">
        <f t="shared" si="68"/>
        <v>0</v>
      </c>
      <c r="L402" s="719"/>
      <c r="M402" s="24">
        <f t="shared" si="69"/>
        <v>0.02</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4.4999999999999998E-2</v>
      </c>
      <c r="F403" s="719"/>
      <c r="G403" s="24">
        <f t="shared" si="66"/>
        <v>0.15</v>
      </c>
      <c r="H403" s="719"/>
      <c r="I403" s="24">
        <f t="shared" si="67"/>
        <v>0</v>
      </c>
      <c r="J403" s="719"/>
      <c r="K403" s="24">
        <f t="shared" si="68"/>
        <v>0</v>
      </c>
      <c r="L403" s="719"/>
      <c r="M403" s="24">
        <f t="shared" si="69"/>
        <v>0.02</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4.4999999999999998E-2</v>
      </c>
      <c r="F404" s="719"/>
      <c r="G404" s="24">
        <f t="shared" si="66"/>
        <v>0.15</v>
      </c>
      <c r="H404" s="719"/>
      <c r="I404" s="24">
        <f t="shared" si="67"/>
        <v>0</v>
      </c>
      <c r="J404" s="719"/>
      <c r="K404" s="24">
        <f t="shared" si="68"/>
        <v>0</v>
      </c>
      <c r="L404" s="719"/>
      <c r="M404" s="24">
        <f t="shared" si="69"/>
        <v>0.02</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4.4999999999999998E-2</v>
      </c>
      <c r="F405" s="719"/>
      <c r="G405" s="24">
        <f t="shared" si="66"/>
        <v>0.15</v>
      </c>
      <c r="H405" s="719"/>
      <c r="I405" s="24">
        <f t="shared" si="67"/>
        <v>0</v>
      </c>
      <c r="J405" s="719"/>
      <c r="K405" s="24">
        <f t="shared" si="68"/>
        <v>0</v>
      </c>
      <c r="L405" s="719"/>
      <c r="M405" s="24">
        <f t="shared" si="69"/>
        <v>0.02</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4.4999999999999998E-2</v>
      </c>
      <c r="F406" s="719"/>
      <c r="G406" s="24">
        <f t="shared" si="66"/>
        <v>0.15</v>
      </c>
      <c r="H406" s="719"/>
      <c r="I406" s="24">
        <f t="shared" si="67"/>
        <v>0</v>
      </c>
      <c r="J406" s="719"/>
      <c r="K406" s="24">
        <f t="shared" si="68"/>
        <v>0</v>
      </c>
      <c r="L406" s="719"/>
      <c r="M406" s="24">
        <f t="shared" si="69"/>
        <v>0.02</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4.4999999999999998E-2</v>
      </c>
      <c r="F407" s="719"/>
      <c r="G407" s="24">
        <f t="shared" si="66"/>
        <v>0.15</v>
      </c>
      <c r="H407" s="719"/>
      <c r="I407" s="24">
        <f t="shared" si="67"/>
        <v>0</v>
      </c>
      <c r="J407" s="719"/>
      <c r="K407" s="24">
        <f t="shared" si="68"/>
        <v>0</v>
      </c>
      <c r="L407" s="719"/>
      <c r="M407" s="24">
        <f t="shared" si="69"/>
        <v>0.02</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4.4999999999999998E-2</v>
      </c>
      <c r="F408" s="719"/>
      <c r="G408" s="24">
        <f t="shared" si="66"/>
        <v>0.15</v>
      </c>
      <c r="H408" s="719"/>
      <c r="I408" s="24">
        <f t="shared" si="67"/>
        <v>0</v>
      </c>
      <c r="J408" s="719"/>
      <c r="K408" s="24">
        <f t="shared" si="68"/>
        <v>0</v>
      </c>
      <c r="L408" s="719"/>
      <c r="M408" s="24">
        <f t="shared" si="69"/>
        <v>0.02</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4.4999999999999998E-2</v>
      </c>
      <c r="F409" s="719"/>
      <c r="G409" s="24">
        <f t="shared" si="66"/>
        <v>0.15</v>
      </c>
      <c r="H409" s="719"/>
      <c r="I409" s="24">
        <f t="shared" si="67"/>
        <v>0</v>
      </c>
      <c r="J409" s="719"/>
      <c r="K409" s="24">
        <f t="shared" si="68"/>
        <v>0</v>
      </c>
      <c r="L409" s="719"/>
      <c r="M409" s="24">
        <f t="shared" si="69"/>
        <v>0.02</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4.4999999999999998E-2</v>
      </c>
      <c r="F410" s="719"/>
      <c r="G410" s="24">
        <f t="shared" ref="G410:G473" si="76">(SUMIF($7:$7,F410,$8:$8)-SUMIF($7:$7,$F$24,$8:$8)+100)/100</f>
        <v>0.15</v>
      </c>
      <c r="H410" s="719"/>
      <c r="I410" s="24">
        <f t="shared" ref="I410:I473" si="77">(SUMIF($9:$9,H410,$10:$10)-SUMIF($9:$9,$H$24,$10:$10)+100)/100</f>
        <v>0</v>
      </c>
      <c r="J410" s="719"/>
      <c r="K410" s="24">
        <f t="shared" ref="K410:K473" si="78">(SUMIF($11:$11,J410,$12:$12)-SUMIF($11:$11,$J$24,$12:$12)+100)/100</f>
        <v>0</v>
      </c>
      <c r="L410" s="719"/>
      <c r="M410" s="24">
        <f t="shared" ref="M410:M473" si="79">(SUMIF($13:$13,L410,$14:$14)-SUMIF($13:$13,$L$24,$14:$14)+100)/100</f>
        <v>0.02</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4.4999999999999998E-2</v>
      </c>
      <c r="F411" s="719"/>
      <c r="G411" s="24">
        <f t="shared" si="76"/>
        <v>0.15</v>
      </c>
      <c r="H411" s="719"/>
      <c r="I411" s="24">
        <f t="shared" si="77"/>
        <v>0</v>
      </c>
      <c r="J411" s="719"/>
      <c r="K411" s="24">
        <f t="shared" si="78"/>
        <v>0</v>
      </c>
      <c r="L411" s="719"/>
      <c r="M411" s="24">
        <f t="shared" si="79"/>
        <v>0.02</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4.4999999999999998E-2</v>
      </c>
      <c r="F412" s="719"/>
      <c r="G412" s="24">
        <f t="shared" si="76"/>
        <v>0.15</v>
      </c>
      <c r="H412" s="719"/>
      <c r="I412" s="24">
        <f t="shared" si="77"/>
        <v>0</v>
      </c>
      <c r="J412" s="719"/>
      <c r="K412" s="24">
        <f t="shared" si="78"/>
        <v>0</v>
      </c>
      <c r="L412" s="719"/>
      <c r="M412" s="24">
        <f t="shared" si="79"/>
        <v>0.02</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4.4999999999999998E-2</v>
      </c>
      <c r="F413" s="719"/>
      <c r="G413" s="24">
        <f t="shared" si="76"/>
        <v>0.15</v>
      </c>
      <c r="H413" s="719"/>
      <c r="I413" s="24">
        <f t="shared" si="77"/>
        <v>0</v>
      </c>
      <c r="J413" s="719"/>
      <c r="K413" s="24">
        <f t="shared" si="78"/>
        <v>0</v>
      </c>
      <c r="L413" s="719"/>
      <c r="M413" s="24">
        <f t="shared" si="79"/>
        <v>0.02</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4.4999999999999998E-2</v>
      </c>
      <c r="F414" s="719"/>
      <c r="G414" s="24">
        <f t="shared" si="76"/>
        <v>0.15</v>
      </c>
      <c r="H414" s="719"/>
      <c r="I414" s="24">
        <f t="shared" si="77"/>
        <v>0</v>
      </c>
      <c r="J414" s="719"/>
      <c r="K414" s="24">
        <f t="shared" si="78"/>
        <v>0</v>
      </c>
      <c r="L414" s="719"/>
      <c r="M414" s="24">
        <f t="shared" si="79"/>
        <v>0.02</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4.4999999999999998E-2</v>
      </c>
      <c r="F415" s="719"/>
      <c r="G415" s="24">
        <f t="shared" si="76"/>
        <v>0.15</v>
      </c>
      <c r="H415" s="719"/>
      <c r="I415" s="24">
        <f t="shared" si="77"/>
        <v>0</v>
      </c>
      <c r="J415" s="719"/>
      <c r="K415" s="24">
        <f t="shared" si="78"/>
        <v>0</v>
      </c>
      <c r="L415" s="719"/>
      <c r="M415" s="24">
        <f t="shared" si="79"/>
        <v>0.02</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4.4999999999999998E-2</v>
      </c>
      <c r="F416" s="719"/>
      <c r="G416" s="24">
        <f t="shared" si="76"/>
        <v>0.15</v>
      </c>
      <c r="H416" s="719"/>
      <c r="I416" s="24">
        <f t="shared" si="77"/>
        <v>0</v>
      </c>
      <c r="J416" s="719"/>
      <c r="K416" s="24">
        <f t="shared" si="78"/>
        <v>0</v>
      </c>
      <c r="L416" s="719"/>
      <c r="M416" s="24">
        <f t="shared" si="79"/>
        <v>0.02</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4.4999999999999998E-2</v>
      </c>
      <c r="F417" s="719"/>
      <c r="G417" s="24">
        <f t="shared" si="76"/>
        <v>0.15</v>
      </c>
      <c r="H417" s="719"/>
      <c r="I417" s="24">
        <f t="shared" si="77"/>
        <v>0</v>
      </c>
      <c r="J417" s="719"/>
      <c r="K417" s="24">
        <f t="shared" si="78"/>
        <v>0</v>
      </c>
      <c r="L417" s="719"/>
      <c r="M417" s="24">
        <f t="shared" si="79"/>
        <v>0.02</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4.4999999999999998E-2</v>
      </c>
      <c r="F418" s="719"/>
      <c r="G418" s="24">
        <f t="shared" si="76"/>
        <v>0.15</v>
      </c>
      <c r="H418" s="719"/>
      <c r="I418" s="24">
        <f t="shared" si="77"/>
        <v>0</v>
      </c>
      <c r="J418" s="719"/>
      <c r="K418" s="24">
        <f t="shared" si="78"/>
        <v>0</v>
      </c>
      <c r="L418" s="719"/>
      <c r="M418" s="24">
        <f t="shared" si="79"/>
        <v>0.02</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4.4999999999999998E-2</v>
      </c>
      <c r="F419" s="719"/>
      <c r="G419" s="24">
        <f t="shared" si="76"/>
        <v>0.15</v>
      </c>
      <c r="H419" s="719"/>
      <c r="I419" s="24">
        <f t="shared" si="77"/>
        <v>0</v>
      </c>
      <c r="J419" s="719"/>
      <c r="K419" s="24">
        <f t="shared" si="78"/>
        <v>0</v>
      </c>
      <c r="L419" s="719"/>
      <c r="M419" s="24">
        <f t="shared" si="79"/>
        <v>0.02</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4.4999999999999998E-2</v>
      </c>
      <c r="F420" s="719"/>
      <c r="G420" s="24">
        <f t="shared" si="76"/>
        <v>0.15</v>
      </c>
      <c r="H420" s="719"/>
      <c r="I420" s="24">
        <f t="shared" si="77"/>
        <v>0</v>
      </c>
      <c r="J420" s="719"/>
      <c r="K420" s="24">
        <f t="shared" si="78"/>
        <v>0</v>
      </c>
      <c r="L420" s="719"/>
      <c r="M420" s="24">
        <f t="shared" si="79"/>
        <v>0.02</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4.4999999999999998E-2</v>
      </c>
      <c r="F421" s="719"/>
      <c r="G421" s="24">
        <f t="shared" si="76"/>
        <v>0.15</v>
      </c>
      <c r="H421" s="719"/>
      <c r="I421" s="24">
        <f t="shared" si="77"/>
        <v>0</v>
      </c>
      <c r="J421" s="719"/>
      <c r="K421" s="24">
        <f t="shared" si="78"/>
        <v>0</v>
      </c>
      <c r="L421" s="719"/>
      <c r="M421" s="24">
        <f t="shared" si="79"/>
        <v>0.02</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4.4999999999999998E-2</v>
      </c>
      <c r="F422" s="719"/>
      <c r="G422" s="24">
        <f t="shared" si="76"/>
        <v>0.15</v>
      </c>
      <c r="H422" s="719"/>
      <c r="I422" s="24">
        <f t="shared" si="77"/>
        <v>0</v>
      </c>
      <c r="J422" s="719"/>
      <c r="K422" s="24">
        <f t="shared" si="78"/>
        <v>0</v>
      </c>
      <c r="L422" s="719"/>
      <c r="M422" s="24">
        <f t="shared" si="79"/>
        <v>0.02</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4.4999999999999998E-2</v>
      </c>
      <c r="F423" s="719"/>
      <c r="G423" s="24">
        <f t="shared" si="76"/>
        <v>0.15</v>
      </c>
      <c r="H423" s="719"/>
      <c r="I423" s="24">
        <f t="shared" si="77"/>
        <v>0</v>
      </c>
      <c r="J423" s="719"/>
      <c r="K423" s="24">
        <f t="shared" si="78"/>
        <v>0</v>
      </c>
      <c r="L423" s="719"/>
      <c r="M423" s="24">
        <f t="shared" si="79"/>
        <v>0.02</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4.4999999999999998E-2</v>
      </c>
      <c r="F424" s="719"/>
      <c r="G424" s="24">
        <f t="shared" si="76"/>
        <v>0.15</v>
      </c>
      <c r="H424" s="719"/>
      <c r="I424" s="24">
        <f t="shared" si="77"/>
        <v>0</v>
      </c>
      <c r="J424" s="719"/>
      <c r="K424" s="24">
        <f t="shared" si="78"/>
        <v>0</v>
      </c>
      <c r="L424" s="719"/>
      <c r="M424" s="24">
        <f t="shared" si="79"/>
        <v>0.02</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4.4999999999999998E-2</v>
      </c>
      <c r="F425" s="719"/>
      <c r="G425" s="24">
        <f t="shared" si="76"/>
        <v>0.15</v>
      </c>
      <c r="H425" s="719"/>
      <c r="I425" s="24">
        <f t="shared" si="77"/>
        <v>0</v>
      </c>
      <c r="J425" s="719"/>
      <c r="K425" s="24">
        <f t="shared" si="78"/>
        <v>0</v>
      </c>
      <c r="L425" s="719"/>
      <c r="M425" s="24">
        <f t="shared" si="79"/>
        <v>0.02</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4.4999999999999998E-2</v>
      </c>
      <c r="F426" s="719"/>
      <c r="G426" s="24">
        <f t="shared" si="76"/>
        <v>0.15</v>
      </c>
      <c r="H426" s="719"/>
      <c r="I426" s="24">
        <f t="shared" si="77"/>
        <v>0</v>
      </c>
      <c r="J426" s="719"/>
      <c r="K426" s="24">
        <f t="shared" si="78"/>
        <v>0</v>
      </c>
      <c r="L426" s="719"/>
      <c r="M426" s="24">
        <f t="shared" si="79"/>
        <v>0.02</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4.4999999999999998E-2</v>
      </c>
      <c r="F427" s="719"/>
      <c r="G427" s="24">
        <f t="shared" si="76"/>
        <v>0.15</v>
      </c>
      <c r="H427" s="719"/>
      <c r="I427" s="24">
        <f t="shared" si="77"/>
        <v>0</v>
      </c>
      <c r="J427" s="719"/>
      <c r="K427" s="24">
        <f t="shared" si="78"/>
        <v>0</v>
      </c>
      <c r="L427" s="719"/>
      <c r="M427" s="24">
        <f t="shared" si="79"/>
        <v>0.02</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4.4999999999999998E-2</v>
      </c>
      <c r="F428" s="719"/>
      <c r="G428" s="24">
        <f t="shared" si="76"/>
        <v>0.15</v>
      </c>
      <c r="H428" s="719"/>
      <c r="I428" s="24">
        <f t="shared" si="77"/>
        <v>0</v>
      </c>
      <c r="J428" s="719"/>
      <c r="K428" s="24">
        <f t="shared" si="78"/>
        <v>0</v>
      </c>
      <c r="L428" s="719"/>
      <c r="M428" s="24">
        <f t="shared" si="79"/>
        <v>0.02</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4.4999999999999998E-2</v>
      </c>
      <c r="F429" s="719"/>
      <c r="G429" s="24">
        <f t="shared" si="76"/>
        <v>0.15</v>
      </c>
      <c r="H429" s="719"/>
      <c r="I429" s="24">
        <f t="shared" si="77"/>
        <v>0</v>
      </c>
      <c r="J429" s="719"/>
      <c r="K429" s="24">
        <f t="shared" si="78"/>
        <v>0</v>
      </c>
      <c r="L429" s="719"/>
      <c r="M429" s="24">
        <f t="shared" si="79"/>
        <v>0.02</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4.4999999999999998E-2</v>
      </c>
      <c r="F430" s="719"/>
      <c r="G430" s="24">
        <f t="shared" si="76"/>
        <v>0.15</v>
      </c>
      <c r="H430" s="719"/>
      <c r="I430" s="24">
        <f t="shared" si="77"/>
        <v>0</v>
      </c>
      <c r="J430" s="719"/>
      <c r="K430" s="24">
        <f t="shared" si="78"/>
        <v>0</v>
      </c>
      <c r="L430" s="719"/>
      <c r="M430" s="24">
        <f t="shared" si="79"/>
        <v>0.02</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4.4999999999999998E-2</v>
      </c>
      <c r="F431" s="719"/>
      <c r="G431" s="24">
        <f t="shared" si="76"/>
        <v>0.15</v>
      </c>
      <c r="H431" s="719"/>
      <c r="I431" s="24">
        <f t="shared" si="77"/>
        <v>0</v>
      </c>
      <c r="J431" s="719"/>
      <c r="K431" s="24">
        <f t="shared" si="78"/>
        <v>0</v>
      </c>
      <c r="L431" s="719"/>
      <c r="M431" s="24">
        <f t="shared" si="79"/>
        <v>0.02</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4.4999999999999998E-2</v>
      </c>
      <c r="F432" s="719"/>
      <c r="G432" s="24">
        <f t="shared" si="76"/>
        <v>0.15</v>
      </c>
      <c r="H432" s="719"/>
      <c r="I432" s="24">
        <f t="shared" si="77"/>
        <v>0</v>
      </c>
      <c r="J432" s="719"/>
      <c r="K432" s="24">
        <f t="shared" si="78"/>
        <v>0</v>
      </c>
      <c r="L432" s="719"/>
      <c r="M432" s="24">
        <f t="shared" si="79"/>
        <v>0.02</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4.4999999999999998E-2</v>
      </c>
      <c r="F433" s="719"/>
      <c r="G433" s="24">
        <f t="shared" si="76"/>
        <v>0.15</v>
      </c>
      <c r="H433" s="719"/>
      <c r="I433" s="24">
        <f t="shared" si="77"/>
        <v>0</v>
      </c>
      <c r="J433" s="719"/>
      <c r="K433" s="24">
        <f t="shared" si="78"/>
        <v>0</v>
      </c>
      <c r="L433" s="719"/>
      <c r="M433" s="24">
        <f t="shared" si="79"/>
        <v>0.02</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4.4999999999999998E-2</v>
      </c>
      <c r="F434" s="719"/>
      <c r="G434" s="24">
        <f t="shared" si="76"/>
        <v>0.15</v>
      </c>
      <c r="H434" s="719"/>
      <c r="I434" s="24">
        <f t="shared" si="77"/>
        <v>0</v>
      </c>
      <c r="J434" s="719"/>
      <c r="K434" s="24">
        <f t="shared" si="78"/>
        <v>0</v>
      </c>
      <c r="L434" s="719"/>
      <c r="M434" s="24">
        <f t="shared" si="79"/>
        <v>0.02</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4.4999999999999998E-2</v>
      </c>
      <c r="F435" s="719"/>
      <c r="G435" s="24">
        <f t="shared" si="76"/>
        <v>0.15</v>
      </c>
      <c r="H435" s="719"/>
      <c r="I435" s="24">
        <f t="shared" si="77"/>
        <v>0</v>
      </c>
      <c r="J435" s="719"/>
      <c r="K435" s="24">
        <f t="shared" si="78"/>
        <v>0</v>
      </c>
      <c r="L435" s="719"/>
      <c r="M435" s="24">
        <f t="shared" si="79"/>
        <v>0.02</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4.4999999999999998E-2</v>
      </c>
      <c r="F436" s="719"/>
      <c r="G436" s="24">
        <f t="shared" si="76"/>
        <v>0.15</v>
      </c>
      <c r="H436" s="719"/>
      <c r="I436" s="24">
        <f t="shared" si="77"/>
        <v>0</v>
      </c>
      <c r="J436" s="719"/>
      <c r="K436" s="24">
        <f t="shared" si="78"/>
        <v>0</v>
      </c>
      <c r="L436" s="719"/>
      <c r="M436" s="24">
        <f t="shared" si="79"/>
        <v>0.02</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4.4999999999999998E-2</v>
      </c>
      <c r="F437" s="719"/>
      <c r="G437" s="24">
        <f t="shared" si="76"/>
        <v>0.15</v>
      </c>
      <c r="H437" s="719"/>
      <c r="I437" s="24">
        <f t="shared" si="77"/>
        <v>0</v>
      </c>
      <c r="J437" s="719"/>
      <c r="K437" s="24">
        <f t="shared" si="78"/>
        <v>0</v>
      </c>
      <c r="L437" s="719"/>
      <c r="M437" s="24">
        <f t="shared" si="79"/>
        <v>0.02</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4.4999999999999998E-2</v>
      </c>
      <c r="F438" s="719"/>
      <c r="G438" s="24">
        <f t="shared" si="76"/>
        <v>0.15</v>
      </c>
      <c r="H438" s="719"/>
      <c r="I438" s="24">
        <f t="shared" si="77"/>
        <v>0</v>
      </c>
      <c r="J438" s="719"/>
      <c r="K438" s="24">
        <f t="shared" si="78"/>
        <v>0</v>
      </c>
      <c r="L438" s="719"/>
      <c r="M438" s="24">
        <f t="shared" si="79"/>
        <v>0.02</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4.4999999999999998E-2</v>
      </c>
      <c r="F439" s="719"/>
      <c r="G439" s="24">
        <f t="shared" si="76"/>
        <v>0.15</v>
      </c>
      <c r="H439" s="719"/>
      <c r="I439" s="24">
        <f t="shared" si="77"/>
        <v>0</v>
      </c>
      <c r="J439" s="719"/>
      <c r="K439" s="24">
        <f t="shared" si="78"/>
        <v>0</v>
      </c>
      <c r="L439" s="719"/>
      <c r="M439" s="24">
        <f t="shared" si="79"/>
        <v>0.02</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4.4999999999999998E-2</v>
      </c>
      <c r="F440" s="719"/>
      <c r="G440" s="24">
        <f t="shared" si="76"/>
        <v>0.15</v>
      </c>
      <c r="H440" s="719"/>
      <c r="I440" s="24">
        <f t="shared" si="77"/>
        <v>0</v>
      </c>
      <c r="J440" s="719"/>
      <c r="K440" s="24">
        <f t="shared" si="78"/>
        <v>0</v>
      </c>
      <c r="L440" s="719"/>
      <c r="M440" s="24">
        <f t="shared" si="79"/>
        <v>0.02</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4.4999999999999998E-2</v>
      </c>
      <c r="F441" s="719"/>
      <c r="G441" s="24">
        <f t="shared" si="76"/>
        <v>0.15</v>
      </c>
      <c r="H441" s="719"/>
      <c r="I441" s="24">
        <f t="shared" si="77"/>
        <v>0</v>
      </c>
      <c r="J441" s="719"/>
      <c r="K441" s="24">
        <f t="shared" si="78"/>
        <v>0</v>
      </c>
      <c r="L441" s="719"/>
      <c r="M441" s="24">
        <f t="shared" si="79"/>
        <v>0.02</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4.4999999999999998E-2</v>
      </c>
      <c r="F442" s="719"/>
      <c r="G442" s="24">
        <f t="shared" si="76"/>
        <v>0.15</v>
      </c>
      <c r="H442" s="719"/>
      <c r="I442" s="24">
        <f t="shared" si="77"/>
        <v>0</v>
      </c>
      <c r="J442" s="719"/>
      <c r="K442" s="24">
        <f t="shared" si="78"/>
        <v>0</v>
      </c>
      <c r="L442" s="719"/>
      <c r="M442" s="24">
        <f t="shared" si="79"/>
        <v>0.02</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4.4999999999999998E-2</v>
      </c>
      <c r="F443" s="719"/>
      <c r="G443" s="24">
        <f t="shared" si="76"/>
        <v>0.15</v>
      </c>
      <c r="H443" s="719"/>
      <c r="I443" s="24">
        <f t="shared" si="77"/>
        <v>0</v>
      </c>
      <c r="J443" s="719"/>
      <c r="K443" s="24">
        <f t="shared" si="78"/>
        <v>0</v>
      </c>
      <c r="L443" s="719"/>
      <c r="M443" s="24">
        <f t="shared" si="79"/>
        <v>0.02</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4.4999999999999998E-2</v>
      </c>
      <c r="F444" s="719"/>
      <c r="G444" s="24">
        <f t="shared" si="76"/>
        <v>0.15</v>
      </c>
      <c r="H444" s="719"/>
      <c r="I444" s="24">
        <f t="shared" si="77"/>
        <v>0</v>
      </c>
      <c r="J444" s="719"/>
      <c r="K444" s="24">
        <f t="shared" si="78"/>
        <v>0</v>
      </c>
      <c r="L444" s="719"/>
      <c r="M444" s="24">
        <f t="shared" si="79"/>
        <v>0.02</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4.4999999999999998E-2</v>
      </c>
      <c r="F445" s="719"/>
      <c r="G445" s="24">
        <f t="shared" si="76"/>
        <v>0.15</v>
      </c>
      <c r="H445" s="719"/>
      <c r="I445" s="24">
        <f t="shared" si="77"/>
        <v>0</v>
      </c>
      <c r="J445" s="719"/>
      <c r="K445" s="24">
        <f t="shared" si="78"/>
        <v>0</v>
      </c>
      <c r="L445" s="719"/>
      <c r="M445" s="24">
        <f t="shared" si="79"/>
        <v>0.02</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4.4999999999999998E-2</v>
      </c>
      <c r="F446" s="719"/>
      <c r="G446" s="24">
        <f t="shared" si="76"/>
        <v>0.15</v>
      </c>
      <c r="H446" s="719"/>
      <c r="I446" s="24">
        <f t="shared" si="77"/>
        <v>0</v>
      </c>
      <c r="J446" s="719"/>
      <c r="K446" s="24">
        <f t="shared" si="78"/>
        <v>0</v>
      </c>
      <c r="L446" s="719"/>
      <c r="M446" s="24">
        <f t="shared" si="79"/>
        <v>0.02</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4.4999999999999998E-2</v>
      </c>
      <c r="F447" s="719"/>
      <c r="G447" s="24">
        <f t="shared" si="76"/>
        <v>0.15</v>
      </c>
      <c r="H447" s="719"/>
      <c r="I447" s="24">
        <f t="shared" si="77"/>
        <v>0</v>
      </c>
      <c r="J447" s="719"/>
      <c r="K447" s="24">
        <f t="shared" si="78"/>
        <v>0</v>
      </c>
      <c r="L447" s="719"/>
      <c r="M447" s="24">
        <f t="shared" si="79"/>
        <v>0.02</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4.4999999999999998E-2</v>
      </c>
      <c r="F448" s="719"/>
      <c r="G448" s="24">
        <f t="shared" si="76"/>
        <v>0.15</v>
      </c>
      <c r="H448" s="719"/>
      <c r="I448" s="24">
        <f t="shared" si="77"/>
        <v>0</v>
      </c>
      <c r="J448" s="719"/>
      <c r="K448" s="24">
        <f t="shared" si="78"/>
        <v>0</v>
      </c>
      <c r="L448" s="719"/>
      <c r="M448" s="24">
        <f t="shared" si="79"/>
        <v>0.02</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4.4999999999999998E-2</v>
      </c>
      <c r="F449" s="719"/>
      <c r="G449" s="24">
        <f t="shared" si="76"/>
        <v>0.15</v>
      </c>
      <c r="H449" s="719"/>
      <c r="I449" s="24">
        <f t="shared" si="77"/>
        <v>0</v>
      </c>
      <c r="J449" s="719"/>
      <c r="K449" s="24">
        <f t="shared" si="78"/>
        <v>0</v>
      </c>
      <c r="L449" s="719"/>
      <c r="M449" s="24">
        <f t="shared" si="79"/>
        <v>0.02</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4.4999999999999998E-2</v>
      </c>
      <c r="F450" s="719"/>
      <c r="G450" s="24">
        <f t="shared" si="76"/>
        <v>0.15</v>
      </c>
      <c r="H450" s="719"/>
      <c r="I450" s="24">
        <f t="shared" si="77"/>
        <v>0</v>
      </c>
      <c r="J450" s="719"/>
      <c r="K450" s="24">
        <f t="shared" si="78"/>
        <v>0</v>
      </c>
      <c r="L450" s="719"/>
      <c r="M450" s="24">
        <f t="shared" si="79"/>
        <v>0.02</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4.4999999999999998E-2</v>
      </c>
      <c r="F451" s="719"/>
      <c r="G451" s="24">
        <f t="shared" si="76"/>
        <v>0.15</v>
      </c>
      <c r="H451" s="719"/>
      <c r="I451" s="24">
        <f t="shared" si="77"/>
        <v>0</v>
      </c>
      <c r="J451" s="719"/>
      <c r="K451" s="24">
        <f t="shared" si="78"/>
        <v>0</v>
      </c>
      <c r="L451" s="719"/>
      <c r="M451" s="24">
        <f t="shared" si="79"/>
        <v>0.02</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4.4999999999999998E-2</v>
      </c>
      <c r="F452" s="719"/>
      <c r="G452" s="24">
        <f t="shared" si="76"/>
        <v>0.15</v>
      </c>
      <c r="H452" s="719"/>
      <c r="I452" s="24">
        <f t="shared" si="77"/>
        <v>0</v>
      </c>
      <c r="J452" s="719"/>
      <c r="K452" s="24">
        <f t="shared" si="78"/>
        <v>0</v>
      </c>
      <c r="L452" s="719"/>
      <c r="M452" s="24">
        <f t="shared" si="79"/>
        <v>0.02</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4.4999999999999998E-2</v>
      </c>
      <c r="F453" s="719"/>
      <c r="G453" s="24">
        <f t="shared" si="76"/>
        <v>0.15</v>
      </c>
      <c r="H453" s="719"/>
      <c r="I453" s="24">
        <f t="shared" si="77"/>
        <v>0</v>
      </c>
      <c r="J453" s="719"/>
      <c r="K453" s="24">
        <f t="shared" si="78"/>
        <v>0</v>
      </c>
      <c r="L453" s="719"/>
      <c r="M453" s="24">
        <f t="shared" si="79"/>
        <v>0.02</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4.4999999999999998E-2</v>
      </c>
      <c r="F454" s="719"/>
      <c r="G454" s="24">
        <f t="shared" si="76"/>
        <v>0.15</v>
      </c>
      <c r="H454" s="719"/>
      <c r="I454" s="24">
        <f t="shared" si="77"/>
        <v>0</v>
      </c>
      <c r="J454" s="719"/>
      <c r="K454" s="24">
        <f t="shared" si="78"/>
        <v>0</v>
      </c>
      <c r="L454" s="719"/>
      <c r="M454" s="24">
        <f t="shared" si="79"/>
        <v>0.02</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4.4999999999999998E-2</v>
      </c>
      <c r="F455" s="719"/>
      <c r="G455" s="24">
        <f t="shared" si="76"/>
        <v>0.15</v>
      </c>
      <c r="H455" s="719"/>
      <c r="I455" s="24">
        <f t="shared" si="77"/>
        <v>0</v>
      </c>
      <c r="J455" s="719"/>
      <c r="K455" s="24">
        <f t="shared" si="78"/>
        <v>0</v>
      </c>
      <c r="L455" s="719"/>
      <c r="M455" s="24">
        <f t="shared" si="79"/>
        <v>0.02</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4.4999999999999998E-2</v>
      </c>
      <c r="F456" s="719"/>
      <c r="G456" s="24">
        <f t="shared" si="76"/>
        <v>0.15</v>
      </c>
      <c r="H456" s="719"/>
      <c r="I456" s="24">
        <f t="shared" si="77"/>
        <v>0</v>
      </c>
      <c r="J456" s="719"/>
      <c r="K456" s="24">
        <f t="shared" si="78"/>
        <v>0</v>
      </c>
      <c r="L456" s="719"/>
      <c r="M456" s="24">
        <f t="shared" si="79"/>
        <v>0.02</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4.4999999999999998E-2</v>
      </c>
      <c r="F457" s="719"/>
      <c r="G457" s="24">
        <f t="shared" si="76"/>
        <v>0.15</v>
      </c>
      <c r="H457" s="719"/>
      <c r="I457" s="24">
        <f t="shared" si="77"/>
        <v>0</v>
      </c>
      <c r="J457" s="719"/>
      <c r="K457" s="24">
        <f t="shared" si="78"/>
        <v>0</v>
      </c>
      <c r="L457" s="719"/>
      <c r="M457" s="24">
        <f t="shared" si="79"/>
        <v>0.02</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4.4999999999999998E-2</v>
      </c>
      <c r="F458" s="719"/>
      <c r="G458" s="24">
        <f t="shared" si="76"/>
        <v>0.15</v>
      </c>
      <c r="H458" s="719"/>
      <c r="I458" s="24">
        <f t="shared" si="77"/>
        <v>0</v>
      </c>
      <c r="J458" s="719"/>
      <c r="K458" s="24">
        <f t="shared" si="78"/>
        <v>0</v>
      </c>
      <c r="L458" s="719"/>
      <c r="M458" s="24">
        <f t="shared" si="79"/>
        <v>0.02</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4.4999999999999998E-2</v>
      </c>
      <c r="F459" s="719"/>
      <c r="G459" s="24">
        <f t="shared" si="76"/>
        <v>0.15</v>
      </c>
      <c r="H459" s="719"/>
      <c r="I459" s="24">
        <f t="shared" si="77"/>
        <v>0</v>
      </c>
      <c r="J459" s="719"/>
      <c r="K459" s="24">
        <f t="shared" si="78"/>
        <v>0</v>
      </c>
      <c r="L459" s="719"/>
      <c r="M459" s="24">
        <f t="shared" si="79"/>
        <v>0.02</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4.4999999999999998E-2</v>
      </c>
      <c r="F460" s="719"/>
      <c r="G460" s="24">
        <f t="shared" si="76"/>
        <v>0.15</v>
      </c>
      <c r="H460" s="719"/>
      <c r="I460" s="24">
        <f t="shared" si="77"/>
        <v>0</v>
      </c>
      <c r="J460" s="719"/>
      <c r="K460" s="24">
        <f t="shared" si="78"/>
        <v>0</v>
      </c>
      <c r="L460" s="719"/>
      <c r="M460" s="24">
        <f t="shared" si="79"/>
        <v>0.02</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4.4999999999999998E-2</v>
      </c>
      <c r="F461" s="719"/>
      <c r="G461" s="24">
        <f t="shared" si="76"/>
        <v>0.15</v>
      </c>
      <c r="H461" s="719"/>
      <c r="I461" s="24">
        <f t="shared" si="77"/>
        <v>0</v>
      </c>
      <c r="J461" s="719"/>
      <c r="K461" s="24">
        <f t="shared" si="78"/>
        <v>0</v>
      </c>
      <c r="L461" s="719"/>
      <c r="M461" s="24">
        <f t="shared" si="79"/>
        <v>0.02</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4.4999999999999998E-2</v>
      </c>
      <c r="F462" s="719"/>
      <c r="G462" s="24">
        <f t="shared" si="76"/>
        <v>0.15</v>
      </c>
      <c r="H462" s="719"/>
      <c r="I462" s="24">
        <f t="shared" si="77"/>
        <v>0</v>
      </c>
      <c r="J462" s="719"/>
      <c r="K462" s="24">
        <f t="shared" si="78"/>
        <v>0</v>
      </c>
      <c r="L462" s="719"/>
      <c r="M462" s="24">
        <f t="shared" si="79"/>
        <v>0.02</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4.4999999999999998E-2</v>
      </c>
      <c r="F463" s="719"/>
      <c r="G463" s="24">
        <f t="shared" si="76"/>
        <v>0.15</v>
      </c>
      <c r="H463" s="719"/>
      <c r="I463" s="24">
        <f t="shared" si="77"/>
        <v>0</v>
      </c>
      <c r="J463" s="719"/>
      <c r="K463" s="24">
        <f t="shared" si="78"/>
        <v>0</v>
      </c>
      <c r="L463" s="719"/>
      <c r="M463" s="24">
        <f t="shared" si="79"/>
        <v>0.02</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4.4999999999999998E-2</v>
      </c>
      <c r="F464" s="719"/>
      <c r="G464" s="24">
        <f t="shared" si="76"/>
        <v>0.15</v>
      </c>
      <c r="H464" s="719"/>
      <c r="I464" s="24">
        <f t="shared" si="77"/>
        <v>0</v>
      </c>
      <c r="J464" s="719"/>
      <c r="K464" s="24">
        <f t="shared" si="78"/>
        <v>0</v>
      </c>
      <c r="L464" s="719"/>
      <c r="M464" s="24">
        <f t="shared" si="79"/>
        <v>0.02</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4.4999999999999998E-2</v>
      </c>
      <c r="F465" s="719"/>
      <c r="G465" s="24">
        <f t="shared" si="76"/>
        <v>0.15</v>
      </c>
      <c r="H465" s="719"/>
      <c r="I465" s="24">
        <f t="shared" si="77"/>
        <v>0</v>
      </c>
      <c r="J465" s="719"/>
      <c r="K465" s="24">
        <f t="shared" si="78"/>
        <v>0</v>
      </c>
      <c r="L465" s="719"/>
      <c r="M465" s="24">
        <f t="shared" si="79"/>
        <v>0.02</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4.4999999999999998E-2</v>
      </c>
      <c r="F466" s="719"/>
      <c r="G466" s="24">
        <f t="shared" si="76"/>
        <v>0.15</v>
      </c>
      <c r="H466" s="719"/>
      <c r="I466" s="24">
        <f t="shared" si="77"/>
        <v>0</v>
      </c>
      <c r="J466" s="719"/>
      <c r="K466" s="24">
        <f t="shared" si="78"/>
        <v>0</v>
      </c>
      <c r="L466" s="719"/>
      <c r="M466" s="24">
        <f t="shared" si="79"/>
        <v>0.02</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4.4999999999999998E-2</v>
      </c>
      <c r="F467" s="719"/>
      <c r="G467" s="24">
        <f t="shared" si="76"/>
        <v>0.15</v>
      </c>
      <c r="H467" s="719"/>
      <c r="I467" s="24">
        <f t="shared" si="77"/>
        <v>0</v>
      </c>
      <c r="J467" s="719"/>
      <c r="K467" s="24">
        <f t="shared" si="78"/>
        <v>0</v>
      </c>
      <c r="L467" s="719"/>
      <c r="M467" s="24">
        <f t="shared" si="79"/>
        <v>0.02</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4.4999999999999998E-2</v>
      </c>
      <c r="F468" s="719"/>
      <c r="G468" s="24">
        <f t="shared" si="76"/>
        <v>0.15</v>
      </c>
      <c r="H468" s="719"/>
      <c r="I468" s="24">
        <f t="shared" si="77"/>
        <v>0</v>
      </c>
      <c r="J468" s="719"/>
      <c r="K468" s="24">
        <f t="shared" si="78"/>
        <v>0</v>
      </c>
      <c r="L468" s="719"/>
      <c r="M468" s="24">
        <f t="shared" si="79"/>
        <v>0.02</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4.4999999999999998E-2</v>
      </c>
      <c r="F469" s="719"/>
      <c r="G469" s="24">
        <f t="shared" si="76"/>
        <v>0.15</v>
      </c>
      <c r="H469" s="719"/>
      <c r="I469" s="24">
        <f t="shared" si="77"/>
        <v>0</v>
      </c>
      <c r="J469" s="719"/>
      <c r="K469" s="24">
        <f t="shared" si="78"/>
        <v>0</v>
      </c>
      <c r="L469" s="719"/>
      <c r="M469" s="24">
        <f t="shared" si="79"/>
        <v>0.02</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4.4999999999999998E-2</v>
      </c>
      <c r="F470" s="719"/>
      <c r="G470" s="24">
        <f t="shared" si="76"/>
        <v>0.15</v>
      </c>
      <c r="H470" s="719"/>
      <c r="I470" s="24">
        <f t="shared" si="77"/>
        <v>0</v>
      </c>
      <c r="J470" s="719"/>
      <c r="K470" s="24">
        <f t="shared" si="78"/>
        <v>0</v>
      </c>
      <c r="L470" s="719"/>
      <c r="M470" s="24">
        <f t="shared" si="79"/>
        <v>0.02</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4.4999999999999998E-2</v>
      </c>
      <c r="F471" s="719"/>
      <c r="G471" s="24">
        <f t="shared" si="76"/>
        <v>0.15</v>
      </c>
      <c r="H471" s="719"/>
      <c r="I471" s="24">
        <f t="shared" si="77"/>
        <v>0</v>
      </c>
      <c r="J471" s="719"/>
      <c r="K471" s="24">
        <f t="shared" si="78"/>
        <v>0</v>
      </c>
      <c r="L471" s="719"/>
      <c r="M471" s="24">
        <f t="shared" si="79"/>
        <v>0.02</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4.4999999999999998E-2</v>
      </c>
      <c r="F472" s="719"/>
      <c r="G472" s="24">
        <f t="shared" si="76"/>
        <v>0.15</v>
      </c>
      <c r="H472" s="719"/>
      <c r="I472" s="24">
        <f t="shared" si="77"/>
        <v>0</v>
      </c>
      <c r="J472" s="719"/>
      <c r="K472" s="24">
        <f t="shared" si="78"/>
        <v>0</v>
      </c>
      <c r="L472" s="719"/>
      <c r="M472" s="24">
        <f t="shared" si="79"/>
        <v>0.02</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4.4999999999999998E-2</v>
      </c>
      <c r="F473" s="719"/>
      <c r="G473" s="24">
        <f t="shared" si="76"/>
        <v>0.15</v>
      </c>
      <c r="H473" s="719"/>
      <c r="I473" s="24">
        <f t="shared" si="77"/>
        <v>0</v>
      </c>
      <c r="J473" s="719"/>
      <c r="K473" s="24">
        <f t="shared" si="78"/>
        <v>0</v>
      </c>
      <c r="L473" s="719"/>
      <c r="M473" s="24">
        <f t="shared" si="79"/>
        <v>0.02</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4.4999999999999998E-2</v>
      </c>
      <c r="F474" s="719"/>
      <c r="G474" s="24">
        <f t="shared" ref="G474:G524" si="87">(SUMIF($7:$7,F474,$8:$8)-SUMIF($7:$7,$F$24,$8:$8)+100)/100</f>
        <v>0.15</v>
      </c>
      <c r="H474" s="719"/>
      <c r="I474" s="24">
        <f t="shared" ref="I474:I524" si="88">(SUMIF($9:$9,H474,$10:$10)-SUMIF($9:$9,$H$24,$10:$10)+100)/100</f>
        <v>0</v>
      </c>
      <c r="J474" s="719"/>
      <c r="K474" s="24">
        <f t="shared" ref="K474:K524" si="89">(SUMIF($11:$11,J474,$12:$12)-SUMIF($11:$11,$J$24,$12:$12)+100)/100</f>
        <v>0</v>
      </c>
      <c r="L474" s="719"/>
      <c r="M474" s="24">
        <f t="shared" ref="M474:M524" si="90">(SUMIF($13:$13,L474,$14:$14)-SUMIF($13:$13,$L$24,$14:$14)+100)/100</f>
        <v>0.02</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4.4999999999999998E-2</v>
      </c>
      <c r="F475" s="719"/>
      <c r="G475" s="24">
        <f t="shared" si="87"/>
        <v>0.15</v>
      </c>
      <c r="H475" s="719"/>
      <c r="I475" s="24">
        <f t="shared" si="88"/>
        <v>0</v>
      </c>
      <c r="J475" s="719"/>
      <c r="K475" s="24">
        <f t="shared" si="89"/>
        <v>0</v>
      </c>
      <c r="L475" s="719"/>
      <c r="M475" s="24">
        <f t="shared" si="90"/>
        <v>0.02</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4.4999999999999998E-2</v>
      </c>
      <c r="F476" s="719"/>
      <c r="G476" s="24">
        <f t="shared" si="87"/>
        <v>0.15</v>
      </c>
      <c r="H476" s="719"/>
      <c r="I476" s="24">
        <f t="shared" si="88"/>
        <v>0</v>
      </c>
      <c r="J476" s="719"/>
      <c r="K476" s="24">
        <f t="shared" si="89"/>
        <v>0</v>
      </c>
      <c r="L476" s="719"/>
      <c r="M476" s="24">
        <f t="shared" si="90"/>
        <v>0.02</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4.4999999999999998E-2</v>
      </c>
      <c r="F477" s="719"/>
      <c r="G477" s="24">
        <f t="shared" si="87"/>
        <v>0.15</v>
      </c>
      <c r="H477" s="719"/>
      <c r="I477" s="24">
        <f t="shared" si="88"/>
        <v>0</v>
      </c>
      <c r="J477" s="719"/>
      <c r="K477" s="24">
        <f t="shared" si="89"/>
        <v>0</v>
      </c>
      <c r="L477" s="719"/>
      <c r="M477" s="24">
        <f t="shared" si="90"/>
        <v>0.02</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4.4999999999999998E-2</v>
      </c>
      <c r="F478" s="719"/>
      <c r="G478" s="24">
        <f t="shared" si="87"/>
        <v>0.15</v>
      </c>
      <c r="H478" s="719"/>
      <c r="I478" s="24">
        <f t="shared" si="88"/>
        <v>0</v>
      </c>
      <c r="J478" s="719"/>
      <c r="K478" s="24">
        <f t="shared" si="89"/>
        <v>0</v>
      </c>
      <c r="L478" s="719"/>
      <c r="M478" s="24">
        <f t="shared" si="90"/>
        <v>0.02</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4.4999999999999998E-2</v>
      </c>
      <c r="F479" s="719"/>
      <c r="G479" s="24">
        <f t="shared" si="87"/>
        <v>0.15</v>
      </c>
      <c r="H479" s="719"/>
      <c r="I479" s="24">
        <f t="shared" si="88"/>
        <v>0</v>
      </c>
      <c r="J479" s="719"/>
      <c r="K479" s="24">
        <f t="shared" si="89"/>
        <v>0</v>
      </c>
      <c r="L479" s="719"/>
      <c r="M479" s="24">
        <f t="shared" si="90"/>
        <v>0.02</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4.4999999999999998E-2</v>
      </c>
      <c r="F480" s="719"/>
      <c r="G480" s="24">
        <f t="shared" si="87"/>
        <v>0.15</v>
      </c>
      <c r="H480" s="719"/>
      <c r="I480" s="24">
        <f t="shared" si="88"/>
        <v>0</v>
      </c>
      <c r="J480" s="719"/>
      <c r="K480" s="24">
        <f t="shared" si="89"/>
        <v>0</v>
      </c>
      <c r="L480" s="719"/>
      <c r="M480" s="24">
        <f t="shared" si="90"/>
        <v>0.02</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4.4999999999999998E-2</v>
      </c>
      <c r="F481" s="719"/>
      <c r="G481" s="24">
        <f t="shared" si="87"/>
        <v>0.15</v>
      </c>
      <c r="H481" s="719"/>
      <c r="I481" s="24">
        <f t="shared" si="88"/>
        <v>0</v>
      </c>
      <c r="J481" s="719"/>
      <c r="K481" s="24">
        <f t="shared" si="89"/>
        <v>0</v>
      </c>
      <c r="L481" s="719"/>
      <c r="M481" s="24">
        <f t="shared" si="90"/>
        <v>0.02</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4.4999999999999998E-2</v>
      </c>
      <c r="F482" s="719"/>
      <c r="G482" s="24">
        <f t="shared" si="87"/>
        <v>0.15</v>
      </c>
      <c r="H482" s="719"/>
      <c r="I482" s="24">
        <f t="shared" si="88"/>
        <v>0</v>
      </c>
      <c r="J482" s="719"/>
      <c r="K482" s="24">
        <f t="shared" si="89"/>
        <v>0</v>
      </c>
      <c r="L482" s="719"/>
      <c r="M482" s="24">
        <f t="shared" si="90"/>
        <v>0.02</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4.4999999999999998E-2</v>
      </c>
      <c r="F483" s="719"/>
      <c r="G483" s="24">
        <f t="shared" si="87"/>
        <v>0.15</v>
      </c>
      <c r="H483" s="719"/>
      <c r="I483" s="24">
        <f t="shared" si="88"/>
        <v>0</v>
      </c>
      <c r="J483" s="719"/>
      <c r="K483" s="24">
        <f t="shared" si="89"/>
        <v>0</v>
      </c>
      <c r="L483" s="719"/>
      <c r="M483" s="24">
        <f t="shared" si="90"/>
        <v>0.02</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4.4999999999999998E-2</v>
      </c>
      <c r="F484" s="719"/>
      <c r="G484" s="24">
        <f t="shared" si="87"/>
        <v>0.15</v>
      </c>
      <c r="H484" s="719"/>
      <c r="I484" s="24">
        <f t="shared" si="88"/>
        <v>0</v>
      </c>
      <c r="J484" s="719"/>
      <c r="K484" s="24">
        <f t="shared" si="89"/>
        <v>0</v>
      </c>
      <c r="L484" s="719"/>
      <c r="M484" s="24">
        <f t="shared" si="90"/>
        <v>0.02</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4.4999999999999998E-2</v>
      </c>
      <c r="F485" s="719"/>
      <c r="G485" s="24">
        <f t="shared" si="87"/>
        <v>0.15</v>
      </c>
      <c r="H485" s="719"/>
      <c r="I485" s="24">
        <f t="shared" si="88"/>
        <v>0</v>
      </c>
      <c r="J485" s="719"/>
      <c r="K485" s="24">
        <f t="shared" si="89"/>
        <v>0</v>
      </c>
      <c r="L485" s="719"/>
      <c r="M485" s="24">
        <f t="shared" si="90"/>
        <v>0.02</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4.4999999999999998E-2</v>
      </c>
      <c r="F486" s="719"/>
      <c r="G486" s="24">
        <f t="shared" si="87"/>
        <v>0.15</v>
      </c>
      <c r="H486" s="719"/>
      <c r="I486" s="24">
        <f t="shared" si="88"/>
        <v>0</v>
      </c>
      <c r="J486" s="719"/>
      <c r="K486" s="24">
        <f t="shared" si="89"/>
        <v>0</v>
      </c>
      <c r="L486" s="719"/>
      <c r="M486" s="24">
        <f t="shared" si="90"/>
        <v>0.02</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4.4999999999999998E-2</v>
      </c>
      <c r="F487" s="719"/>
      <c r="G487" s="24">
        <f t="shared" si="87"/>
        <v>0.15</v>
      </c>
      <c r="H487" s="719"/>
      <c r="I487" s="24">
        <f t="shared" si="88"/>
        <v>0</v>
      </c>
      <c r="J487" s="719"/>
      <c r="K487" s="24">
        <f t="shared" si="89"/>
        <v>0</v>
      </c>
      <c r="L487" s="719"/>
      <c r="M487" s="24">
        <f t="shared" si="90"/>
        <v>0.02</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4.4999999999999998E-2</v>
      </c>
      <c r="F488" s="719"/>
      <c r="G488" s="24">
        <f t="shared" si="87"/>
        <v>0.15</v>
      </c>
      <c r="H488" s="719"/>
      <c r="I488" s="24">
        <f t="shared" si="88"/>
        <v>0</v>
      </c>
      <c r="J488" s="719"/>
      <c r="K488" s="24">
        <f t="shared" si="89"/>
        <v>0</v>
      </c>
      <c r="L488" s="719"/>
      <c r="M488" s="24">
        <f t="shared" si="90"/>
        <v>0.02</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4.4999999999999998E-2</v>
      </c>
      <c r="F489" s="719"/>
      <c r="G489" s="24">
        <f t="shared" si="87"/>
        <v>0.15</v>
      </c>
      <c r="H489" s="719"/>
      <c r="I489" s="24">
        <f t="shared" si="88"/>
        <v>0</v>
      </c>
      <c r="J489" s="719"/>
      <c r="K489" s="24">
        <f t="shared" si="89"/>
        <v>0</v>
      </c>
      <c r="L489" s="719"/>
      <c r="M489" s="24">
        <f t="shared" si="90"/>
        <v>0.02</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4.4999999999999998E-2</v>
      </c>
      <c r="F490" s="719"/>
      <c r="G490" s="24">
        <f t="shared" si="87"/>
        <v>0.15</v>
      </c>
      <c r="H490" s="719"/>
      <c r="I490" s="24">
        <f t="shared" si="88"/>
        <v>0</v>
      </c>
      <c r="J490" s="719"/>
      <c r="K490" s="24">
        <f t="shared" si="89"/>
        <v>0</v>
      </c>
      <c r="L490" s="719"/>
      <c r="M490" s="24">
        <f t="shared" si="90"/>
        <v>0.02</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4.4999999999999998E-2</v>
      </c>
      <c r="F491" s="719"/>
      <c r="G491" s="24">
        <f t="shared" si="87"/>
        <v>0.15</v>
      </c>
      <c r="H491" s="719"/>
      <c r="I491" s="24">
        <f t="shared" si="88"/>
        <v>0</v>
      </c>
      <c r="J491" s="719"/>
      <c r="K491" s="24">
        <f t="shared" si="89"/>
        <v>0</v>
      </c>
      <c r="L491" s="719"/>
      <c r="M491" s="24">
        <f t="shared" si="90"/>
        <v>0.02</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4.4999999999999998E-2</v>
      </c>
      <c r="F492" s="719"/>
      <c r="G492" s="24">
        <f t="shared" si="87"/>
        <v>0.15</v>
      </c>
      <c r="H492" s="719"/>
      <c r="I492" s="24">
        <f t="shared" si="88"/>
        <v>0</v>
      </c>
      <c r="J492" s="719"/>
      <c r="K492" s="24">
        <f t="shared" si="89"/>
        <v>0</v>
      </c>
      <c r="L492" s="719"/>
      <c r="M492" s="24">
        <f t="shared" si="90"/>
        <v>0.02</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4.4999999999999998E-2</v>
      </c>
      <c r="F493" s="719"/>
      <c r="G493" s="24">
        <f t="shared" si="87"/>
        <v>0.15</v>
      </c>
      <c r="H493" s="719"/>
      <c r="I493" s="24">
        <f t="shared" si="88"/>
        <v>0</v>
      </c>
      <c r="J493" s="719"/>
      <c r="K493" s="24">
        <f t="shared" si="89"/>
        <v>0</v>
      </c>
      <c r="L493" s="719"/>
      <c r="M493" s="24">
        <f t="shared" si="90"/>
        <v>0.02</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4.4999999999999998E-2</v>
      </c>
      <c r="F494" s="719"/>
      <c r="G494" s="24">
        <f t="shared" si="87"/>
        <v>0.15</v>
      </c>
      <c r="H494" s="719"/>
      <c r="I494" s="24">
        <f t="shared" si="88"/>
        <v>0</v>
      </c>
      <c r="J494" s="719"/>
      <c r="K494" s="24">
        <f t="shared" si="89"/>
        <v>0</v>
      </c>
      <c r="L494" s="719"/>
      <c r="M494" s="24">
        <f t="shared" si="90"/>
        <v>0.02</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4.4999999999999998E-2</v>
      </c>
      <c r="F495" s="719"/>
      <c r="G495" s="24">
        <f t="shared" si="87"/>
        <v>0.15</v>
      </c>
      <c r="H495" s="719"/>
      <c r="I495" s="24">
        <f t="shared" si="88"/>
        <v>0</v>
      </c>
      <c r="J495" s="719"/>
      <c r="K495" s="24">
        <f t="shared" si="89"/>
        <v>0</v>
      </c>
      <c r="L495" s="719"/>
      <c r="M495" s="24">
        <f t="shared" si="90"/>
        <v>0.02</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4.4999999999999998E-2</v>
      </c>
      <c r="F496" s="719"/>
      <c r="G496" s="24">
        <f t="shared" si="87"/>
        <v>0.15</v>
      </c>
      <c r="H496" s="719"/>
      <c r="I496" s="24">
        <f t="shared" si="88"/>
        <v>0</v>
      </c>
      <c r="J496" s="719"/>
      <c r="K496" s="24">
        <f t="shared" si="89"/>
        <v>0</v>
      </c>
      <c r="L496" s="719"/>
      <c r="M496" s="24">
        <f t="shared" si="90"/>
        <v>0.02</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4.4999999999999998E-2</v>
      </c>
      <c r="F497" s="719"/>
      <c r="G497" s="24">
        <f t="shared" si="87"/>
        <v>0.15</v>
      </c>
      <c r="H497" s="719"/>
      <c r="I497" s="24">
        <f t="shared" si="88"/>
        <v>0</v>
      </c>
      <c r="J497" s="719"/>
      <c r="K497" s="24">
        <f t="shared" si="89"/>
        <v>0</v>
      </c>
      <c r="L497" s="719"/>
      <c r="M497" s="24">
        <f t="shared" si="90"/>
        <v>0.02</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4.4999999999999998E-2</v>
      </c>
      <c r="F498" s="719"/>
      <c r="G498" s="24">
        <f t="shared" si="87"/>
        <v>0.15</v>
      </c>
      <c r="H498" s="719"/>
      <c r="I498" s="24">
        <f t="shared" si="88"/>
        <v>0</v>
      </c>
      <c r="J498" s="719"/>
      <c r="K498" s="24">
        <f t="shared" si="89"/>
        <v>0</v>
      </c>
      <c r="L498" s="719"/>
      <c r="M498" s="24">
        <f t="shared" si="90"/>
        <v>0.02</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4.4999999999999998E-2</v>
      </c>
      <c r="F499" s="719"/>
      <c r="G499" s="24">
        <f t="shared" si="87"/>
        <v>0.15</v>
      </c>
      <c r="H499" s="719"/>
      <c r="I499" s="24">
        <f t="shared" si="88"/>
        <v>0</v>
      </c>
      <c r="J499" s="719"/>
      <c r="K499" s="24">
        <f t="shared" si="89"/>
        <v>0</v>
      </c>
      <c r="L499" s="719"/>
      <c r="M499" s="24">
        <f t="shared" si="90"/>
        <v>0.02</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4.4999999999999998E-2</v>
      </c>
      <c r="F500" s="719"/>
      <c r="G500" s="24">
        <f t="shared" si="87"/>
        <v>0.15</v>
      </c>
      <c r="H500" s="719"/>
      <c r="I500" s="24">
        <f t="shared" si="88"/>
        <v>0</v>
      </c>
      <c r="J500" s="719"/>
      <c r="K500" s="24">
        <f t="shared" si="89"/>
        <v>0</v>
      </c>
      <c r="L500" s="719"/>
      <c r="M500" s="24">
        <f t="shared" si="90"/>
        <v>0.02</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4.4999999999999998E-2</v>
      </c>
      <c r="F501" s="719"/>
      <c r="G501" s="24">
        <f t="shared" si="87"/>
        <v>0.15</v>
      </c>
      <c r="H501" s="719"/>
      <c r="I501" s="24">
        <f t="shared" si="88"/>
        <v>0</v>
      </c>
      <c r="J501" s="719"/>
      <c r="K501" s="24">
        <f t="shared" si="89"/>
        <v>0</v>
      </c>
      <c r="L501" s="719"/>
      <c r="M501" s="24">
        <f t="shared" si="90"/>
        <v>0.02</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4.4999999999999998E-2</v>
      </c>
      <c r="F502" s="719"/>
      <c r="G502" s="24">
        <f t="shared" si="87"/>
        <v>0.15</v>
      </c>
      <c r="H502" s="719"/>
      <c r="I502" s="24">
        <f t="shared" si="88"/>
        <v>0</v>
      </c>
      <c r="J502" s="719"/>
      <c r="K502" s="24">
        <f t="shared" si="89"/>
        <v>0</v>
      </c>
      <c r="L502" s="719"/>
      <c r="M502" s="24">
        <f t="shared" si="90"/>
        <v>0.02</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4.4999999999999998E-2</v>
      </c>
      <c r="F503" s="719"/>
      <c r="G503" s="24">
        <f t="shared" si="87"/>
        <v>0.15</v>
      </c>
      <c r="H503" s="719"/>
      <c r="I503" s="24">
        <f t="shared" si="88"/>
        <v>0</v>
      </c>
      <c r="J503" s="719"/>
      <c r="K503" s="24">
        <f t="shared" si="89"/>
        <v>0</v>
      </c>
      <c r="L503" s="719"/>
      <c r="M503" s="24">
        <f t="shared" si="90"/>
        <v>0.02</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4.4999999999999998E-2</v>
      </c>
      <c r="F504" s="719"/>
      <c r="G504" s="24">
        <f t="shared" si="87"/>
        <v>0.15</v>
      </c>
      <c r="H504" s="719"/>
      <c r="I504" s="24">
        <f t="shared" si="88"/>
        <v>0</v>
      </c>
      <c r="J504" s="719"/>
      <c r="K504" s="24">
        <f t="shared" si="89"/>
        <v>0</v>
      </c>
      <c r="L504" s="719"/>
      <c r="M504" s="24">
        <f t="shared" si="90"/>
        <v>0.02</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4.4999999999999998E-2</v>
      </c>
      <c r="F505" s="719"/>
      <c r="G505" s="24">
        <f t="shared" si="87"/>
        <v>0.15</v>
      </c>
      <c r="H505" s="719"/>
      <c r="I505" s="24">
        <f t="shared" si="88"/>
        <v>0</v>
      </c>
      <c r="J505" s="719"/>
      <c r="K505" s="24">
        <f t="shared" si="89"/>
        <v>0</v>
      </c>
      <c r="L505" s="719"/>
      <c r="M505" s="24">
        <f t="shared" si="90"/>
        <v>0.02</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4.4999999999999998E-2</v>
      </c>
      <c r="F506" s="719"/>
      <c r="G506" s="24">
        <f t="shared" si="87"/>
        <v>0.15</v>
      </c>
      <c r="H506" s="719"/>
      <c r="I506" s="24">
        <f t="shared" si="88"/>
        <v>0</v>
      </c>
      <c r="J506" s="719"/>
      <c r="K506" s="24">
        <f t="shared" si="89"/>
        <v>0</v>
      </c>
      <c r="L506" s="719"/>
      <c r="M506" s="24">
        <f t="shared" si="90"/>
        <v>0.02</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4.4999999999999998E-2</v>
      </c>
      <c r="F507" s="719"/>
      <c r="G507" s="24">
        <f t="shared" si="87"/>
        <v>0.15</v>
      </c>
      <c r="H507" s="719"/>
      <c r="I507" s="24">
        <f t="shared" si="88"/>
        <v>0</v>
      </c>
      <c r="J507" s="719"/>
      <c r="K507" s="24">
        <f t="shared" si="89"/>
        <v>0</v>
      </c>
      <c r="L507" s="719"/>
      <c r="M507" s="24">
        <f t="shared" si="90"/>
        <v>0.02</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4.4999999999999998E-2</v>
      </c>
      <c r="F508" s="719"/>
      <c r="G508" s="24">
        <f t="shared" si="87"/>
        <v>0.15</v>
      </c>
      <c r="H508" s="719"/>
      <c r="I508" s="24">
        <f t="shared" si="88"/>
        <v>0</v>
      </c>
      <c r="J508" s="719"/>
      <c r="K508" s="24">
        <f t="shared" si="89"/>
        <v>0</v>
      </c>
      <c r="L508" s="719"/>
      <c r="M508" s="24">
        <f t="shared" si="90"/>
        <v>0.02</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4.4999999999999998E-2</v>
      </c>
      <c r="F509" s="719"/>
      <c r="G509" s="24">
        <f t="shared" si="87"/>
        <v>0.15</v>
      </c>
      <c r="H509" s="719"/>
      <c r="I509" s="24">
        <f t="shared" si="88"/>
        <v>0</v>
      </c>
      <c r="J509" s="719"/>
      <c r="K509" s="24">
        <f t="shared" si="89"/>
        <v>0</v>
      </c>
      <c r="L509" s="719"/>
      <c r="M509" s="24">
        <f t="shared" si="90"/>
        <v>0.02</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4.4999999999999998E-2</v>
      </c>
      <c r="F510" s="719"/>
      <c r="G510" s="24">
        <f t="shared" si="87"/>
        <v>0.15</v>
      </c>
      <c r="H510" s="719"/>
      <c r="I510" s="24">
        <f t="shared" si="88"/>
        <v>0</v>
      </c>
      <c r="J510" s="719"/>
      <c r="K510" s="24">
        <f t="shared" si="89"/>
        <v>0</v>
      </c>
      <c r="L510" s="719"/>
      <c r="M510" s="24">
        <f t="shared" si="90"/>
        <v>0.02</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4.4999999999999998E-2</v>
      </c>
      <c r="F511" s="719"/>
      <c r="G511" s="24">
        <f t="shared" si="87"/>
        <v>0.15</v>
      </c>
      <c r="H511" s="719"/>
      <c r="I511" s="24">
        <f t="shared" si="88"/>
        <v>0</v>
      </c>
      <c r="J511" s="719"/>
      <c r="K511" s="24">
        <f t="shared" si="89"/>
        <v>0</v>
      </c>
      <c r="L511" s="719"/>
      <c r="M511" s="24">
        <f t="shared" si="90"/>
        <v>0.02</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4.4999999999999998E-2</v>
      </c>
      <c r="F512" s="719"/>
      <c r="G512" s="24">
        <f t="shared" si="87"/>
        <v>0.15</v>
      </c>
      <c r="H512" s="719"/>
      <c r="I512" s="24">
        <f t="shared" si="88"/>
        <v>0</v>
      </c>
      <c r="J512" s="719"/>
      <c r="K512" s="24">
        <f t="shared" si="89"/>
        <v>0</v>
      </c>
      <c r="L512" s="719"/>
      <c r="M512" s="24">
        <f t="shared" si="90"/>
        <v>0.02</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4.4999999999999998E-2</v>
      </c>
      <c r="F513" s="719"/>
      <c r="G513" s="24">
        <f t="shared" si="87"/>
        <v>0.15</v>
      </c>
      <c r="H513" s="719"/>
      <c r="I513" s="24">
        <f t="shared" si="88"/>
        <v>0</v>
      </c>
      <c r="J513" s="719"/>
      <c r="K513" s="24">
        <f t="shared" si="89"/>
        <v>0</v>
      </c>
      <c r="L513" s="719"/>
      <c r="M513" s="24">
        <f t="shared" si="90"/>
        <v>0.02</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4.4999999999999998E-2</v>
      </c>
      <c r="F514" s="719"/>
      <c r="G514" s="24">
        <f t="shared" si="87"/>
        <v>0.15</v>
      </c>
      <c r="H514" s="719"/>
      <c r="I514" s="24">
        <f t="shared" si="88"/>
        <v>0</v>
      </c>
      <c r="J514" s="719"/>
      <c r="K514" s="24">
        <f t="shared" si="89"/>
        <v>0</v>
      </c>
      <c r="L514" s="719"/>
      <c r="M514" s="24">
        <f t="shared" si="90"/>
        <v>0.02</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4.4999999999999998E-2</v>
      </c>
      <c r="F515" s="719"/>
      <c r="G515" s="24">
        <f t="shared" si="87"/>
        <v>0.15</v>
      </c>
      <c r="H515" s="719"/>
      <c r="I515" s="24">
        <f t="shared" si="88"/>
        <v>0</v>
      </c>
      <c r="J515" s="719"/>
      <c r="K515" s="24">
        <f t="shared" si="89"/>
        <v>0</v>
      </c>
      <c r="L515" s="719"/>
      <c r="M515" s="24">
        <f t="shared" si="90"/>
        <v>0.02</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4.4999999999999998E-2</v>
      </c>
      <c r="F516" s="719"/>
      <c r="G516" s="24">
        <f t="shared" si="87"/>
        <v>0.15</v>
      </c>
      <c r="H516" s="719"/>
      <c r="I516" s="24">
        <f t="shared" si="88"/>
        <v>0</v>
      </c>
      <c r="J516" s="719"/>
      <c r="K516" s="24">
        <f t="shared" si="89"/>
        <v>0</v>
      </c>
      <c r="L516" s="719"/>
      <c r="M516" s="24">
        <f t="shared" si="90"/>
        <v>0.02</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4.4999999999999998E-2</v>
      </c>
      <c r="F517" s="719"/>
      <c r="G517" s="24">
        <f t="shared" si="87"/>
        <v>0.15</v>
      </c>
      <c r="H517" s="719"/>
      <c r="I517" s="24">
        <f t="shared" si="88"/>
        <v>0</v>
      </c>
      <c r="J517" s="719"/>
      <c r="K517" s="24">
        <f t="shared" si="89"/>
        <v>0</v>
      </c>
      <c r="L517" s="719"/>
      <c r="M517" s="24">
        <f t="shared" si="90"/>
        <v>0.02</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4.4999999999999998E-2</v>
      </c>
      <c r="F518" s="719"/>
      <c r="G518" s="24">
        <f t="shared" si="87"/>
        <v>0.15</v>
      </c>
      <c r="H518" s="719"/>
      <c r="I518" s="24">
        <f t="shared" si="88"/>
        <v>0</v>
      </c>
      <c r="J518" s="719"/>
      <c r="K518" s="24">
        <f t="shared" si="89"/>
        <v>0</v>
      </c>
      <c r="L518" s="719"/>
      <c r="M518" s="24">
        <f t="shared" si="90"/>
        <v>0.02</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4.4999999999999998E-2</v>
      </c>
      <c r="F519" s="719"/>
      <c r="G519" s="24">
        <f t="shared" si="87"/>
        <v>0.15</v>
      </c>
      <c r="H519" s="719"/>
      <c r="I519" s="24">
        <f t="shared" si="88"/>
        <v>0</v>
      </c>
      <c r="J519" s="719"/>
      <c r="K519" s="24">
        <f t="shared" si="89"/>
        <v>0</v>
      </c>
      <c r="L519" s="719"/>
      <c r="M519" s="24">
        <f t="shared" si="90"/>
        <v>0.02</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4.4999999999999998E-2</v>
      </c>
      <c r="F520" s="719"/>
      <c r="G520" s="24">
        <f t="shared" si="87"/>
        <v>0.15</v>
      </c>
      <c r="H520" s="719"/>
      <c r="I520" s="24">
        <f t="shared" si="88"/>
        <v>0</v>
      </c>
      <c r="J520" s="719"/>
      <c r="K520" s="24">
        <f t="shared" si="89"/>
        <v>0</v>
      </c>
      <c r="L520" s="719"/>
      <c r="M520" s="24">
        <f t="shared" si="90"/>
        <v>0.02</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4.4999999999999998E-2</v>
      </c>
      <c r="F521" s="719"/>
      <c r="G521" s="24">
        <f t="shared" si="87"/>
        <v>0.15</v>
      </c>
      <c r="H521" s="719"/>
      <c r="I521" s="24">
        <f t="shared" si="88"/>
        <v>0</v>
      </c>
      <c r="J521" s="719"/>
      <c r="K521" s="24">
        <f t="shared" si="89"/>
        <v>0</v>
      </c>
      <c r="L521" s="719"/>
      <c r="M521" s="24">
        <f t="shared" si="90"/>
        <v>0.02</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4.4999999999999998E-2</v>
      </c>
      <c r="F522" s="719"/>
      <c r="G522" s="24">
        <f t="shared" si="87"/>
        <v>0.15</v>
      </c>
      <c r="H522" s="719"/>
      <c r="I522" s="24">
        <f t="shared" si="88"/>
        <v>0</v>
      </c>
      <c r="J522" s="719"/>
      <c r="K522" s="24">
        <f t="shared" si="89"/>
        <v>0</v>
      </c>
      <c r="L522" s="719"/>
      <c r="M522" s="24">
        <f t="shared" si="90"/>
        <v>0.02</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4.4999999999999998E-2</v>
      </c>
      <c r="F523" s="719"/>
      <c r="G523" s="24">
        <f t="shared" si="87"/>
        <v>0.15</v>
      </c>
      <c r="H523" s="719"/>
      <c r="I523" s="24">
        <f t="shared" si="88"/>
        <v>0</v>
      </c>
      <c r="J523" s="719"/>
      <c r="K523" s="24">
        <f t="shared" si="89"/>
        <v>0</v>
      </c>
      <c r="L523" s="719"/>
      <c r="M523" s="24">
        <f t="shared" si="90"/>
        <v>0.02</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4.4999999999999998E-2</v>
      </c>
      <c r="F524" s="719"/>
      <c r="G524" s="24">
        <f t="shared" si="87"/>
        <v>0.15</v>
      </c>
      <c r="H524" s="719"/>
      <c r="I524" s="24">
        <f t="shared" si="88"/>
        <v>0</v>
      </c>
      <c r="J524" s="719"/>
      <c r="K524" s="24">
        <f t="shared" si="89"/>
        <v>0</v>
      </c>
      <c r="L524" s="719"/>
      <c r="M524" s="24">
        <f t="shared" si="90"/>
        <v>0.02</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3060</v>
      </c>
      <c r="D1" s="1818" t="s">
        <v>70</v>
      </c>
      <c r="E1" s="1819" t="s">
        <v>1387</v>
      </c>
      <c r="F1" s="1282"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t="e">
        <f ca="1">ROUND(D2/10000,0)</f>
        <v>#N/A</v>
      </c>
      <c r="C2" s="1843" t="s">
        <v>1592</v>
      </c>
      <c r="D2" s="1936" t="e">
        <f ca="1">C40+J29+L46</f>
        <v>#N/A</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1" t="e">
        <f ca="1">C6+C10+C12</f>
        <v>#N/A</v>
      </c>
      <c r="D5" s="1820" t="s">
        <v>1602</v>
      </c>
      <c r="E5" s="1292"/>
      <c r="F5" s="1293"/>
      <c r="G5" s="1849"/>
      <c r="H5" s="344">
        <v>1</v>
      </c>
      <c r="I5" s="345" t="s">
        <v>1601</v>
      </c>
      <c r="J5" s="1291" t="e">
        <f ca="1">J6+J10+J12</f>
        <v>#N/A</v>
      </c>
      <c r="K5" s="1820" t="s">
        <v>1602</v>
      </c>
      <c r="L5" s="1292"/>
      <c r="M5" s="1293"/>
    </row>
    <row r="6" spans="1:37" ht="18" customHeight="1">
      <c r="A6" s="1290" t="s">
        <v>1035</v>
      </c>
      <c r="B6" s="3242" t="s">
        <v>1403</v>
      </c>
      <c r="C6" s="1295" t="e">
        <f ca="1">ROUND(F6*F8*F7*(1-F9),0)</f>
        <v>#N/A</v>
      </c>
      <c r="D6" s="164" t="s">
        <v>3013</v>
      </c>
      <c r="E6" s="347" t="s">
        <v>1405</v>
      </c>
      <c r="F6" s="348" t="e">
        <f ca="1">INDIRECT("'数据-取费表'!u"&amp;$G$1)</f>
        <v>#N/A</v>
      </c>
      <c r="G6" s="1849"/>
      <c r="H6" s="1290" t="s">
        <v>1035</v>
      </c>
      <c r="I6" s="3242" t="s">
        <v>1403</v>
      </c>
      <c r="J6" s="346" t="e">
        <f ca="1">ROUND(M6*M8*M7*(1-M9),0)</f>
        <v>#N/A</v>
      </c>
      <c r="K6" s="1832" t="s">
        <v>3016</v>
      </c>
      <c r="L6" s="347" t="s">
        <v>1405</v>
      </c>
      <c r="M6" s="348" t="e">
        <f ca="1">INDIRECT("'数据-取费表'!z"&amp;$G$1)</f>
        <v>#N/A</v>
      </c>
    </row>
    <row r="7" spans="1:37" ht="18" customHeight="1">
      <c r="A7" s="1294"/>
      <c r="B7" s="3243"/>
      <c r="C7" s="1296"/>
      <c r="D7" s="352"/>
      <c r="E7" s="1297" t="s">
        <v>1406</v>
      </c>
      <c r="F7" s="348" t="e">
        <f ca="1">IF(INDIRECT("'数据-取费表'!ah"&amp;$G$1)="",INDIRECT("'数据-取费表'!k"&amp;$G$1),INDIRECT("'数据-取费表'!ah"&amp;$G$1))</f>
        <v>#N/A</v>
      </c>
      <c r="G7" s="1849"/>
      <c r="H7" s="349"/>
      <c r="I7" s="3243"/>
      <c r="J7" s="351"/>
      <c r="K7" s="352"/>
      <c r="L7" s="347" t="s">
        <v>1406</v>
      </c>
      <c r="M7" s="348" t="e">
        <f ca="1">F7</f>
        <v>#N/A</v>
      </c>
    </row>
    <row r="8" spans="1:37" ht="18" customHeight="1">
      <c r="A8" s="349"/>
      <c r="B8" s="3243"/>
      <c r="C8" s="351"/>
      <c r="D8" s="352"/>
      <c r="E8" s="347" t="s">
        <v>1407</v>
      </c>
      <c r="F8" s="348" t="e">
        <f ca="1">INDIRECT("'数据-取费表'!ai"&amp;$G$1)</f>
        <v>#N/A</v>
      </c>
      <c r="G8" s="1849"/>
      <c r="H8" s="349"/>
      <c r="I8" s="3243"/>
      <c r="J8" s="351"/>
      <c r="K8" s="352"/>
      <c r="L8" s="347" t="s">
        <v>1407</v>
      </c>
      <c r="M8" s="348" t="e">
        <f ca="1">INDIRECT("'数据-取费表'!ai"&amp;$G$1)</f>
        <v>#N/A</v>
      </c>
    </row>
    <row r="9" spans="1:37" ht="18" customHeight="1">
      <c r="A9" s="349"/>
      <c r="B9" s="3244"/>
      <c r="C9" s="351"/>
      <c r="D9" s="352"/>
      <c r="E9" s="347" t="s">
        <v>1408</v>
      </c>
      <c r="F9" s="357" t="e">
        <f ca="1">INDIRECT("'数据-取费表'!w"&amp;$G$1)</f>
        <v>#N/A</v>
      </c>
      <c r="G9" s="1849"/>
      <c r="H9" s="349"/>
      <c r="I9" s="3244"/>
      <c r="J9" s="351"/>
      <c r="K9" s="352"/>
      <c r="L9" s="358" t="s">
        <v>1408</v>
      </c>
      <c r="M9" s="359" t="e">
        <f ca="1">INDIRECT("'数据-取费表'!ab"&amp;$G$1)</f>
        <v>#N/A</v>
      </c>
    </row>
    <row r="10" spans="1:37" ht="18" customHeight="1">
      <c r="A10" s="1290" t="s">
        <v>1039</v>
      </c>
      <c r="B10" s="1821" t="s">
        <v>1409</v>
      </c>
      <c r="C10" s="361" t="e">
        <f ca="1">ROUND(IF(F10="押一",F6*F8*F7/12*F11,IF(F10="押二",F6*F8*F7/12*2*F11,IF(F10="押三",F6*F8*F7/12*3*F11,C11*F11))),0)</f>
        <v>#N/A</v>
      </c>
      <c r="D10" s="1822" t="s">
        <v>3014</v>
      </c>
      <c r="E10" s="358" t="s">
        <v>1411</v>
      </c>
      <c r="F10" s="1365" t="s">
        <v>3112</v>
      </c>
      <c r="G10" s="1849"/>
      <c r="H10" s="1290" t="s">
        <v>1039</v>
      </c>
      <c r="I10" s="1821" t="s">
        <v>1409</v>
      </c>
      <c r="J10" s="346">
        <f ca="1">ROUND(IF(M10="押一",M6*M8*M7/12*M11,IF(M10="押二",M6*M8*M7/12*2*M11,IF(M10="押三",M6*M8*M7/12*3*M11,J11*M11))),0)</f>
        <v>0</v>
      </c>
      <c r="K10" s="1833" t="s">
        <v>3015</v>
      </c>
      <c r="L10" s="358" t="s">
        <v>1411</v>
      </c>
      <c r="M10" s="1365"/>
    </row>
    <row r="11" spans="1:37" ht="18" customHeight="1">
      <c r="A11" s="353"/>
      <c r="B11" s="1823" t="s">
        <v>1603</v>
      </c>
      <c r="C11" s="1177"/>
      <c r="D11" s="352"/>
      <c r="E11" s="358" t="s">
        <v>1413</v>
      </c>
      <c r="F11" s="359">
        <f ca="1">'数据-取费表'!B39</f>
        <v>1.4999999999999999E-2</v>
      </c>
      <c r="G11" s="1849"/>
      <c r="H11" s="1298"/>
      <c r="I11" s="1823" t="s">
        <v>1604</v>
      </c>
      <c r="J11" s="1177"/>
      <c r="K11" s="747"/>
      <c r="L11" s="358"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5" t="e">
        <f ca="1">ROUND(C29*F13,0)</f>
        <v>#N/A</v>
      </c>
      <c r="D13" s="1330" t="s">
        <v>1416</v>
      </c>
      <c r="E13" s="1330" t="s">
        <v>1417</v>
      </c>
      <c r="F13" s="1331" t="e">
        <f ca="1">INDIRECT("'数据-取费表'!y"&amp;$G$1)</f>
        <v>#N/A</v>
      </c>
      <c r="G13" s="1849"/>
      <c r="H13" s="1328">
        <v>2</v>
      </c>
      <c r="I13" s="1329" t="s">
        <v>1415</v>
      </c>
      <c r="J13" s="1289" t="e">
        <f ca="1">ROUND(J14*J15,0)</f>
        <v>#N/A</v>
      </c>
      <c r="K13" s="1336" t="s">
        <v>1416</v>
      </c>
      <c r="L13" s="1850"/>
      <c r="M13" s="1851"/>
    </row>
    <row r="14" spans="1:37" ht="18" customHeight="1">
      <c r="A14" s="1200" t="s">
        <v>1034</v>
      </c>
      <c r="B14" s="347" t="s">
        <v>1418</v>
      </c>
      <c r="C14" s="363" t="e">
        <f ca="1">ROUND(INDIRECT("'数据-取费表'!l"&amp;$G$1)*F43+'数据-取费表'!L14*INDIRECT("'数据-取费表'!S"&amp;$G$1),0)</f>
        <v>#N/A</v>
      </c>
      <c r="D14" s="1798" t="s">
        <v>1419</v>
      </c>
      <c r="E14" s="1792"/>
      <c r="F14" s="364"/>
      <c r="G14" s="1849"/>
      <c r="H14" s="1200" t="s">
        <v>1035</v>
      </c>
      <c r="I14" s="347" t="s">
        <v>1420</v>
      </c>
      <c r="J14" s="24" t="e">
        <f ca="1">C29</f>
        <v>#N/A</v>
      </c>
      <c r="K14" s="15"/>
      <c r="L14" s="981"/>
      <c r="M14" s="982"/>
    </row>
    <row r="15" spans="1:37" s="1856" customFormat="1" ht="18" customHeight="1" thickBot="1">
      <c r="A15" s="1200" t="s">
        <v>1036</v>
      </c>
      <c r="B15" s="347" t="s">
        <v>1421</v>
      </c>
      <c r="C15" s="24" t="e">
        <f ca="1">ROUND(C14*F15,0)</f>
        <v>#N/A</v>
      </c>
      <c r="D15" s="365" t="s">
        <v>1422</v>
      </c>
      <c r="E15" s="365" t="s">
        <v>1423</v>
      </c>
      <c r="F15" s="366">
        <f>'数据-取费表'!B33</f>
        <v>0.05</v>
      </c>
      <c r="G15" s="1852"/>
      <c r="H15" s="1338" t="s">
        <v>1039</v>
      </c>
      <c r="I15" s="1339" t="s">
        <v>1417</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1424</v>
      </c>
      <c r="C16" s="24" t="e">
        <f ca="1">ROUND(INDIRECT("'数据-取费表'!l"&amp;$G$1)*F43*F16,0)</f>
        <v>#N/A</v>
      </c>
      <c r="D16" s="347" t="s">
        <v>1422</v>
      </c>
      <c r="E16" s="347" t="s">
        <v>1423</v>
      </c>
      <c r="F16" s="367" t="e">
        <f ca="1">IF(INDIRECT("'数据-取费表'!c"&amp;$G$1)="住宅",'数据-取费表'!B34,0)</f>
        <v>#N/A</v>
      </c>
      <c r="G16" s="1849"/>
      <c r="H16" s="1328" t="s">
        <v>1030</v>
      </c>
      <c r="I16" s="1329" t="s">
        <v>1425</v>
      </c>
      <c r="J16" s="355" t="e">
        <f ca="1">ROUND(J17+J22+J23+J24,0)</f>
        <v>#N/A</v>
      </c>
      <c r="K16" s="1336" t="s">
        <v>1426</v>
      </c>
      <c r="L16" s="1337"/>
      <c r="M16" s="1293"/>
    </row>
    <row r="17" spans="1:37" s="1856" customFormat="1" ht="18" customHeight="1">
      <c r="A17" s="1200" t="s">
        <v>1390</v>
      </c>
      <c r="B17" s="347" t="s">
        <v>1427</v>
      </c>
      <c r="C17" s="24" t="e">
        <f ca="1">ROUND(F17*(F43+INDIRECT("'数据-取费表'!S"&amp;$G$1)),0)</f>
        <v>#N/A</v>
      </c>
      <c r="D17" s="347" t="s">
        <v>1428</v>
      </c>
      <c r="E17" s="347" t="s">
        <v>1429</v>
      </c>
      <c r="F17" s="26">
        <f>'数据-取费表'!B35</f>
        <v>200</v>
      </c>
      <c r="G17" s="1852"/>
      <c r="H17" s="1200" t="s">
        <v>1035</v>
      </c>
      <c r="I17" s="347" t="s">
        <v>1430</v>
      </c>
      <c r="J17" s="24" t="e">
        <f ca="1">ROUND(IF(项目基本情况!B11="自然人",J5*M17,J18+J19+J20),0)</f>
        <v>#N/A</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1433</v>
      </c>
      <c r="C18" s="24" t="e">
        <f ca="1">ROUND(C14*F18,0)</f>
        <v>#N/A</v>
      </c>
      <c r="D18" s="347" t="s">
        <v>1422</v>
      </c>
      <c r="E18" s="347" t="s">
        <v>1423</v>
      </c>
      <c r="F18" s="367">
        <f>'数据-取费表'!B36</f>
        <v>1.4999999999999999E-2</v>
      </c>
      <c r="G18" s="1852"/>
      <c r="H18" s="1200" t="s">
        <v>1034</v>
      </c>
      <c r="I18" s="347" t="s">
        <v>1434</v>
      </c>
      <c r="J18" s="24" t="e">
        <f ca="1">ROUND(J5*M18/(1+'数据-取费表'!C42),0)</f>
        <v>#N/A</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1436</v>
      </c>
      <c r="C19" s="24" t="e">
        <f ca="1">SUM(C14:C18)</f>
        <v>#N/A</v>
      </c>
      <c r="D19" s="140" t="s">
        <v>1437</v>
      </c>
      <c r="E19" s="1816"/>
      <c r="F19" s="26"/>
      <c r="G19" s="1849"/>
      <c r="H19" s="1200" t="s">
        <v>1036</v>
      </c>
      <c r="I19" s="347" t="s">
        <v>1438</v>
      </c>
      <c r="J19" s="24" t="e">
        <f ca="1">IF(K19="按租金收入计税",ROUND(J5*M19,0),ROUND(C29*M19*0.7,0))</f>
        <v>#N/A</v>
      </c>
      <c r="K19" s="1826" t="s">
        <v>1439</v>
      </c>
      <c r="L19" s="347" t="s">
        <v>1423</v>
      </c>
      <c r="M19" s="367">
        <f>IF(K19="按租金收入计税",'数据-取费表'!B51,'数据-取费表'!B50)</f>
        <v>1.2E-2</v>
      </c>
    </row>
    <row r="20" spans="1:37" s="1856" customFormat="1" ht="18" customHeight="1">
      <c r="A20" s="1200" t="s">
        <v>1039</v>
      </c>
      <c r="B20" s="347" t="s">
        <v>1440</v>
      </c>
      <c r="C20" s="24" t="e">
        <f ca="1">ROUND(C19*F20,0)</f>
        <v>#N/A</v>
      </c>
      <c r="D20" s="369" t="s">
        <v>1441</v>
      </c>
      <c r="E20" s="347" t="s">
        <v>1423</v>
      </c>
      <c r="F20" s="367">
        <f>'数据-取费表'!B37</f>
        <v>0.01</v>
      </c>
      <c r="G20" s="1852"/>
      <c r="H20" s="1200" t="s">
        <v>1389</v>
      </c>
      <c r="I20" s="164" t="s">
        <v>1442</v>
      </c>
      <c r="J20" s="25" t="e">
        <f ca="1">ROUND(M20*M21,0)</f>
        <v>#N/A</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1445</v>
      </c>
      <c r="C21" s="24" t="s">
        <v>1</v>
      </c>
      <c r="D21" s="369" t="s">
        <v>1446</v>
      </c>
      <c r="E21" s="347" t="s">
        <v>1447</v>
      </c>
      <c r="F21" s="367">
        <f>'数据-取费表'!B38</f>
        <v>0.01</v>
      </c>
      <c r="G21" s="1852"/>
      <c r="H21" s="372"/>
      <c r="I21" s="356"/>
      <c r="J21" s="29"/>
      <c r="K21" s="373"/>
      <c r="L21" s="347" t="s">
        <v>1448</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1449</v>
      </c>
      <c r="C22" s="24"/>
      <c r="D22" s="140" t="str">
        <f>IF(F23&lt;=1,"单利计息。","复利计息。")&amp;"建造成本、管理费用、销售费用产生的利息。"</f>
        <v>复利计息。建造成本、管理费用、销售费用产生的利息。</v>
      </c>
      <c r="E22" s="1816"/>
      <c r="F22" s="26"/>
      <c r="G22" s="1849"/>
      <c r="H22" s="1200" t="s">
        <v>1039</v>
      </c>
      <c r="I22" s="347" t="s">
        <v>1450</v>
      </c>
      <c r="J22" s="24" t="e">
        <f ca="1">ROUND(J14*M22,0)</f>
        <v>#N/A</v>
      </c>
      <c r="K22" s="1796" t="s">
        <v>1451</v>
      </c>
      <c r="L22" s="347" t="s">
        <v>1423</v>
      </c>
      <c r="M22" s="374" t="e">
        <f ca="1">INDIRECT("'数据-取费表'!Ak"&amp;$G$1)</f>
        <v>#N/A</v>
      </c>
    </row>
    <row r="23" spans="1:37" s="1856" customFormat="1" ht="18" customHeight="1">
      <c r="A23" s="1200"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2"/>
      <c r="H23" s="1200" t="s">
        <v>1075</v>
      </c>
      <c r="I23" s="347" t="s">
        <v>1454</v>
      </c>
      <c r="J23" s="24" t="e">
        <f ca="1">ROUND(J13*M23,0)</f>
        <v>#N/A</v>
      </c>
      <c r="K23" s="1796" t="s">
        <v>1455</v>
      </c>
      <c r="L23" s="347" t="s">
        <v>1456</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8" t="s">
        <v>1393</v>
      </c>
      <c r="I24" s="1339" t="s">
        <v>1440</v>
      </c>
      <c r="J24" s="1340" t="e">
        <f ca="1">ROUND(J5*M24,0)</f>
        <v>#N/A</v>
      </c>
      <c r="K24" s="1341" t="s">
        <v>1460</v>
      </c>
      <c r="L24" s="1339" t="s">
        <v>1456</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1461</v>
      </c>
      <c r="B25" s="347" t="s">
        <v>1462</v>
      </c>
      <c r="C25" s="24"/>
      <c r="D25" s="140" t="s">
        <v>1463</v>
      </c>
      <c r="E25" s="1816"/>
      <c r="F25" s="26"/>
      <c r="G25" s="1849"/>
      <c r="H25" s="1328" t="s">
        <v>1031</v>
      </c>
      <c r="I25" s="1343" t="s">
        <v>1464</v>
      </c>
      <c r="J25" s="355" t="e">
        <f ca="1">J5-J16</f>
        <v>#N/A</v>
      </c>
      <c r="K25" s="1344" t="s">
        <v>1465</v>
      </c>
      <c r="L25" s="1345"/>
      <c r="M25" s="1346"/>
    </row>
    <row r="26" spans="1:37" ht="18" customHeight="1">
      <c r="A26" s="1200" t="s">
        <v>1034</v>
      </c>
      <c r="B26" s="347" t="s">
        <v>1466</v>
      </c>
      <c r="C26" s="24" t="e">
        <f ca="1">ROUND((C19+C20)*F26,0)</f>
        <v>#N/A</v>
      </c>
      <c r="D26" s="369" t="s">
        <v>1467</v>
      </c>
      <c r="E26" s="358" t="s">
        <v>1468</v>
      </c>
      <c r="F26" s="357" t="e">
        <f ca="1">INDIRECT("'数据-取费表'!q"&amp;$G$1)</f>
        <v>#N/A</v>
      </c>
      <c r="G26" s="1849"/>
      <c r="H26" s="344" t="s">
        <v>1032</v>
      </c>
      <c r="I26" s="345" t="s">
        <v>1469</v>
      </c>
      <c r="J26" s="346" t="e">
        <f ca="1">IF(J5&lt;&gt;0,ROUND(J25*(1-((1+M28)/(1+M26))^M27)/(M26-M28),0),0)</f>
        <v>#N/A</v>
      </c>
      <c r="K26" s="370" t="s">
        <v>1470</v>
      </c>
      <c r="L26" s="347" t="s">
        <v>1471</v>
      </c>
      <c r="M26" s="357" t="e">
        <f ca="1">INDIRECT("'数据-取费表'!I"&amp;$G$1)</f>
        <v>#N/A</v>
      </c>
    </row>
    <row r="27" spans="1:37" ht="18" customHeight="1">
      <c r="A27" s="1200" t="s">
        <v>1036</v>
      </c>
      <c r="B27" s="347" t="s">
        <v>1472</v>
      </c>
      <c r="C27" s="24" t="e">
        <f ca="1">ROUND(F21*F26,4)</f>
        <v>#N/A</v>
      </c>
      <c r="D27" s="369" t="s">
        <v>1473</v>
      </c>
      <c r="E27" s="365"/>
      <c r="F27" s="366"/>
      <c r="G27" s="1849"/>
      <c r="H27" s="349"/>
      <c r="I27" s="350"/>
      <c r="J27" s="351"/>
      <c r="K27" s="378" t="s">
        <v>1474</v>
      </c>
      <c r="L27" s="347" t="s">
        <v>1475</v>
      </c>
      <c r="M27" s="379" t="e">
        <f ca="1">INDIRECT("'数据-取费表'!ag"&amp;$G$1)</f>
        <v>#N/A</v>
      </c>
    </row>
    <row r="28" spans="1:37" s="1856" customFormat="1" ht="18" customHeight="1">
      <c r="A28" s="1200"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t="e">
        <f ca="1">ROUND((C19+C20+C23+C26)/(1-F21-C24-C27-C28),0)</f>
        <v>#N/A</v>
      </c>
      <c r="D29" s="1341"/>
      <c r="E29" s="1339"/>
      <c r="F29" s="1342"/>
      <c r="G29" s="1852"/>
      <c r="H29" s="380" t="s">
        <v>1033</v>
      </c>
      <c r="I29" s="381" t="s">
        <v>1480</v>
      </c>
      <c r="J29" s="382" t="e">
        <f ca="1">ROUND(J26/(1+F40)^F41,0)</f>
        <v>#N/A</v>
      </c>
      <c r="K29" s="383" t="s">
        <v>1481</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5" t="e">
        <f ca="1">ROUND(C31+C36+C37+C38,0)</f>
        <v>#N/A</v>
      </c>
      <c r="D30" s="1336" t="s">
        <v>1426</v>
      </c>
      <c r="E30" s="1337"/>
      <c r="F30" s="1293"/>
      <c r="G30" s="1849"/>
      <c r="H30" s="744"/>
      <c r="I30" s="745"/>
      <c r="J30" s="746"/>
      <c r="K30" s="747"/>
      <c r="L30" s="748"/>
      <c r="M30" s="749"/>
    </row>
    <row r="31" spans="1:37" ht="18" customHeight="1">
      <c r="A31" s="1200" t="s">
        <v>1035</v>
      </c>
      <c r="B31" s="347" t="s">
        <v>1430</v>
      </c>
      <c r="C31" s="24" t="e">
        <f ca="1">ROUND(IF(项目基本情况!B11="自然人",C5*F31,C32+C33+C34),0)</f>
        <v>#N/A</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1434</v>
      </c>
      <c r="C32" s="24" t="e">
        <f ca="1">IF(项目基本情况!B11="自然人","——",ROUND(C5*F32/(1+'数据-取费表'!C42),0))</f>
        <v>#N/A</v>
      </c>
      <c r="D32" s="1796" t="s">
        <v>1435</v>
      </c>
      <c r="E32" s="347" t="s">
        <v>1423</v>
      </c>
      <c r="F32" s="377">
        <f>'数据-取费表'!B41</f>
        <v>5.6000000000000001E-2</v>
      </c>
      <c r="G32" s="1849"/>
      <c r="H32" s="744"/>
      <c r="I32" s="745"/>
      <c r="J32" s="746"/>
      <c r="K32" s="747"/>
      <c r="L32" s="748"/>
      <c r="M32" s="749"/>
    </row>
    <row r="33" spans="1:18" ht="18" customHeight="1">
      <c r="A33" s="1200" t="s">
        <v>1036</v>
      </c>
      <c r="B33" s="347" t="s">
        <v>1438</v>
      </c>
      <c r="C33" s="24" t="e">
        <f ca="1">IF(项目基本情况!B11="自然人","——",IF(D33="按租金收入计税",ROUND(C5*F33,0),IF(D33="按房产原值计税",ROUND(C29*F33*0.7,0),INDIRECT("'数据-取费表'!Aj"&amp;$G$1))))</f>
        <v>#N/A</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0" t="s">
        <v>1389</v>
      </c>
      <c r="B34" s="164" t="s">
        <v>1442</v>
      </c>
      <c r="C34" s="25" t="e">
        <f ca="1">IF(项目基本情况!B11="自然人","——",ROUND(F34*F35,))</f>
        <v>#N/A</v>
      </c>
      <c r="D34" s="370" t="s">
        <v>1443</v>
      </c>
      <c r="E34" s="347" t="s">
        <v>1444</v>
      </c>
      <c r="F34" s="371">
        <f>'数据-取费表'!B52</f>
        <v>3</v>
      </c>
      <c r="G34" s="1849"/>
      <c r="H34" s="744"/>
      <c r="I34" s="1858"/>
      <c r="J34" s="1859"/>
      <c r="K34" s="1861"/>
      <c r="L34" s="1862"/>
      <c r="M34" s="1862"/>
    </row>
    <row r="35" spans="1:18" ht="18" customHeight="1">
      <c r="A35" s="1352"/>
      <c r="B35" s="1350"/>
      <c r="C35" s="29"/>
      <c r="D35" s="373"/>
      <c r="E35" s="347" t="s">
        <v>1448</v>
      </c>
      <c r="F35" s="348" t="e">
        <f ca="1">INDIRECT("'数据-取费表'!r"&amp;$G$1)</f>
        <v>#N/A</v>
      </c>
      <c r="G35" s="1849"/>
      <c r="H35" s="744"/>
      <c r="I35" s="1858"/>
      <c r="J35" s="1859"/>
      <c r="K35" s="1860"/>
      <c r="L35" s="1857"/>
      <c r="M35" s="1857"/>
    </row>
    <row r="36" spans="1:18" ht="18" customHeight="1">
      <c r="A36" s="1351" t="s">
        <v>1039</v>
      </c>
      <c r="B36" s="347" t="s">
        <v>1450</v>
      </c>
      <c r="C36" s="24" t="e">
        <f ca="1">ROUND(C29*F36,0)</f>
        <v>#N/A</v>
      </c>
      <c r="D36" s="1796" t="s">
        <v>1483</v>
      </c>
      <c r="E36" s="347" t="s">
        <v>1423</v>
      </c>
      <c r="F36" s="374" t="e">
        <f ca="1">INDIRECT("'数据-取费表'!Ak"&amp;$G$1)</f>
        <v>#N/A</v>
      </c>
      <c r="G36" s="1849"/>
      <c r="H36" s="1857"/>
      <c r="I36" s="1858"/>
      <c r="J36" s="1859"/>
      <c r="K36" s="750"/>
      <c r="L36" s="1857"/>
      <c r="M36" s="1857"/>
    </row>
    <row r="37" spans="1:18" ht="18" customHeight="1">
      <c r="A37" s="1200" t="s">
        <v>1075</v>
      </c>
      <c r="B37" s="347" t="s">
        <v>1454</v>
      </c>
      <c r="C37" s="24" t="e">
        <f ca="1">ROUND(C13*F37,0)</f>
        <v>#N/A</v>
      </c>
      <c r="D37" s="1796" t="s">
        <v>1455</v>
      </c>
      <c r="E37" s="347" t="s">
        <v>1456</v>
      </c>
      <c r="F37" s="376" t="e">
        <f ca="1">INDIRECT("'数据-取费表'!Al"&amp;$G$1)</f>
        <v>#N/A</v>
      </c>
      <c r="G37" s="1849"/>
      <c r="H37" s="1857"/>
      <c r="I37" s="1858"/>
      <c r="J37" s="1859"/>
      <c r="K37" s="750"/>
      <c r="L37" s="1857"/>
      <c r="M37" s="1857"/>
    </row>
    <row r="38" spans="1:18" ht="18" customHeight="1" thickBot="1">
      <c r="A38" s="1338" t="s">
        <v>1393</v>
      </c>
      <c r="B38" s="1339" t="s">
        <v>1440</v>
      </c>
      <c r="C38" s="1340" t="e">
        <f ca="1">ROUND(C5*F38,1)</f>
        <v>#N/A</v>
      </c>
      <c r="D38" s="1341" t="s">
        <v>1460</v>
      </c>
      <c r="E38" s="1339" t="s">
        <v>1456</v>
      </c>
      <c r="F38" s="1335" t="e">
        <f ca="1">INDIRECT("'数据-取费表'!Am"&amp;$G$1)</f>
        <v>#N/A</v>
      </c>
      <c r="G38" s="1849"/>
      <c r="H38" s="1857"/>
      <c r="I38" s="1858"/>
      <c r="J38" s="1859"/>
      <c r="K38" s="1863"/>
      <c r="L38" s="1857"/>
      <c r="M38" s="1857"/>
    </row>
    <row r="39" spans="1:18" ht="24.6" customHeight="1" thickTop="1">
      <c r="A39" s="1328" t="s">
        <v>1031</v>
      </c>
      <c r="B39" s="1343" t="s">
        <v>1484</v>
      </c>
      <c r="C39" s="355" t="e">
        <f ca="1">C5-C30</f>
        <v>#N/A</v>
      </c>
      <c r="D39" s="1344" t="s">
        <v>1485</v>
      </c>
      <c r="E39" s="1345"/>
      <c r="F39" s="1346"/>
      <c r="G39" s="1849"/>
      <c r="H39" s="1857"/>
      <c r="I39" s="1858"/>
      <c r="J39" s="1859"/>
      <c r="K39" s="1863"/>
      <c r="L39" s="1857"/>
      <c r="M39" s="1857"/>
    </row>
    <row r="40" spans="1:18" ht="18" customHeight="1">
      <c r="A40" s="344" t="s">
        <v>1032</v>
      </c>
      <c r="B40" s="345" t="s">
        <v>1486</v>
      </c>
      <c r="C40" s="346" t="e">
        <f ca="1">ROUND(C39*(1-((1+F42)/(1+F40))^F41)/(F40-F42),0)</f>
        <v>#N/A</v>
      </c>
      <c r="D40" s="370" t="s">
        <v>1470</v>
      </c>
      <c r="E40" s="347" t="s">
        <v>1471</v>
      </c>
      <c r="F40" s="357" t="e">
        <f ca="1">INDIRECT("'数据-取费表'!I"&amp;$G$1)</f>
        <v>#N/A</v>
      </c>
      <c r="G40" s="1849"/>
      <c r="H40" s="1837"/>
      <c r="I40" s="1858"/>
      <c r="J40" s="1859"/>
      <c r="K40" s="1863"/>
      <c r="L40" s="1837"/>
      <c r="M40" s="1837"/>
    </row>
    <row r="41" spans="1:18" ht="18" customHeight="1">
      <c r="A41" s="349"/>
      <c r="B41" s="350"/>
      <c r="C41" s="351"/>
      <c r="D41" s="378" t="s">
        <v>1487</v>
      </c>
      <c r="E41" s="347" t="s">
        <v>1475</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1478</v>
      </c>
      <c r="F42" s="357" t="e">
        <f ca="1">INDIRECT("'数据-取费表'!v"&amp;$G$1)</f>
        <v>#N/A</v>
      </c>
      <c r="G42" s="1849"/>
      <c r="H42" s="731"/>
      <c r="I42" s="1858"/>
      <c r="J42" s="1859"/>
      <c r="K42" s="750"/>
      <c r="L42" s="731"/>
      <c r="M42" s="731"/>
    </row>
    <row r="43" spans="1:18" ht="18" customHeight="1" thickBot="1">
      <c r="A43" s="380" t="s">
        <v>1033</v>
      </c>
      <c r="B43" s="381" t="s">
        <v>1488</v>
      </c>
      <c r="C43" s="382" t="e">
        <f ca="1">ROUND(C40/F43,0)</f>
        <v>#N/A</v>
      </c>
      <c r="D43" s="383" t="s">
        <v>1489</v>
      </c>
      <c r="E43" s="384" t="s">
        <v>1490</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#N/A</v>
      </c>
      <c r="D45" s="1938" t="s">
        <v>1605</v>
      </c>
      <c r="E45" s="1864"/>
      <c r="F45" s="1864"/>
      <c r="O45" s="1867" t="s">
        <v>1520</v>
      </c>
      <c r="P45" s="1837"/>
      <c r="Q45" s="1837"/>
      <c r="R45" s="1837"/>
    </row>
    <row r="46" spans="1:18" s="1840" customFormat="1" ht="13.5" thickBot="1">
      <c r="A46" s="1868" t="s">
        <v>1521</v>
      </c>
      <c r="C46" s="1869" t="e">
        <f ca="1">ROUND(C45/10000,0)</f>
        <v>#N/A</v>
      </c>
      <c r="D46" s="1870" t="str">
        <f>C2</f>
        <v>万元</v>
      </c>
      <c r="I46" s="1871" t="s">
        <v>1522</v>
      </c>
      <c r="J46" s="1872"/>
      <c r="K46" s="1873"/>
      <c r="L46" s="1874" t="e">
        <f ca="1">IF(M47="住宅",0,IF(L48&gt;J51,L60,J60))</f>
        <v>#N/A</v>
      </c>
      <c r="O46" s="1875" t="s">
        <v>1523</v>
      </c>
      <c r="P46" s="1876" t="s">
        <v>1524</v>
      </c>
      <c r="Q46" s="1877" t="s">
        <v>1525</v>
      </c>
      <c r="R46" s="1877" t="s">
        <v>1526</v>
      </c>
    </row>
    <row r="47" spans="1:18" s="1840" customFormat="1" ht="13.5" thickBot="1">
      <c r="A47" s="1164" t="s">
        <v>1396</v>
      </c>
      <c r="B47" s="1196" t="s">
        <v>1397</v>
      </c>
      <c r="C47" s="1196" t="s">
        <v>1398</v>
      </c>
      <c r="D47" s="1196" t="s">
        <v>1399</v>
      </c>
      <c r="E47" s="1278" t="s">
        <v>1400</v>
      </c>
      <c r="F47" s="1279"/>
      <c r="G47" s="791"/>
      <c r="I47" s="1878" t="s">
        <v>1527</v>
      </c>
      <c r="J47" s="1879" t="s">
        <v>3082</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28.5" thickBot="1">
      <c r="A48" s="1359" t="s">
        <v>1135</v>
      </c>
      <c r="B48" s="345" t="s">
        <v>1401</v>
      </c>
      <c r="C48" s="1815" t="e">
        <f ca="1">C49+C53+C55</f>
        <v>#N/A</v>
      </c>
      <c r="D48" s="1361"/>
      <c r="E48" s="1362"/>
      <c r="F48" s="1180"/>
      <c r="G48" s="791"/>
      <c r="H48" s="792"/>
      <c r="I48" s="1885" t="s">
        <v>1531</v>
      </c>
      <c r="J48" s="1886" t="s">
        <v>3113</v>
      </c>
      <c r="K48" s="1887" t="s">
        <v>1532</v>
      </c>
      <c r="L48" s="1888" t="e">
        <f ca="1">INDIRECT("'数据-取费表'!f"&amp;$G$1)</f>
        <v>#N/A</v>
      </c>
      <c r="O48" s="1882" t="s">
        <v>1041</v>
      </c>
      <c r="P48" s="1883" t="s">
        <v>1533</v>
      </c>
      <c r="Q48" s="1884" t="e">
        <f ca="1">J60</f>
        <v>#N/A</v>
      </c>
      <c r="R48" s="1884" t="s">
        <v>1534</v>
      </c>
    </row>
    <row r="49" spans="1:18" s="1840" customFormat="1" ht="13.5" thickBot="1">
      <c r="A49" s="1193" t="s">
        <v>1136</v>
      </c>
      <c r="B49" s="1827" t="s">
        <v>1491</v>
      </c>
      <c r="C49" s="1363" t="e">
        <f ca="1">ROUND(F49*F51*F50*(1-F52),0)</f>
        <v>#N/A</v>
      </c>
      <c r="D49" s="1275" t="s">
        <v>1404</v>
      </c>
      <c r="E49" s="1828" t="s">
        <v>1492</v>
      </c>
      <c r="F49" s="1280"/>
      <c r="G49" s="1889"/>
      <c r="H49" s="792"/>
      <c r="I49" s="1885" t="s">
        <v>1535</v>
      </c>
      <c r="J49" s="1890">
        <v>2010</v>
      </c>
      <c r="K49" s="1887" t="s">
        <v>1536</v>
      </c>
      <c r="L49" s="1891"/>
      <c r="O49" s="1892" t="s">
        <v>1042</v>
      </c>
      <c r="P49" s="1883" t="s">
        <v>1537</v>
      </c>
      <c r="Q49" s="1884" t="e">
        <f ca="1">C29</f>
        <v>#N/A</v>
      </c>
      <c r="R49" s="1884" t="s">
        <v>1530</v>
      </c>
    </row>
    <row r="50" spans="1:18" s="1840" customFormat="1" ht="13.5" thickBot="1">
      <c r="A50" s="1194"/>
      <c r="B50" s="1197"/>
      <c r="C50" s="1198"/>
      <c r="D50" s="1171"/>
      <c r="E50" s="1276" t="s">
        <v>1406</v>
      </c>
      <c r="F50" s="1277" t="e">
        <f ca="1">F7</f>
        <v>#N/A</v>
      </c>
      <c r="H50" s="792"/>
      <c r="I50" s="1885" t="s">
        <v>1538</v>
      </c>
      <c r="J50" s="1893">
        <f>SUMPRODUCT((I63:I65=J47)*(J62:L62=J48)*(J63:L65))</f>
        <v>60</v>
      </c>
      <c r="K50" s="1887" t="s">
        <v>1539</v>
      </c>
      <c r="L50" s="1891"/>
      <c r="M50" s="1894"/>
      <c r="O50" s="1892" t="s">
        <v>1043</v>
      </c>
      <c r="P50" s="1883" t="s">
        <v>1540</v>
      </c>
      <c r="Q50" s="1895" t="e">
        <f ca="1">J58</f>
        <v>#N/A</v>
      </c>
      <c r="R50" s="1884"/>
    </row>
    <row r="51" spans="1:18" s="1840" customFormat="1" ht="13.5" thickBot="1">
      <c r="A51" s="1195"/>
      <c r="B51" s="1197"/>
      <c r="C51" s="1198"/>
      <c r="D51" s="1171"/>
      <c r="E51" s="1199" t="s">
        <v>1407</v>
      </c>
      <c r="F51" s="348" t="e">
        <f ca="1">F8</f>
        <v>#N/A</v>
      </c>
      <c r="I51" s="1896" t="s">
        <v>1541</v>
      </c>
      <c r="J51" s="1897">
        <f>IF(J49="",J50,J49+J50-YEAR('数据-取费表'!B2))</f>
        <v>52</v>
      </c>
      <c r="K51" s="1898" t="s">
        <v>1542</v>
      </c>
      <c r="L51" s="1899" t="e">
        <f ca="1">ROUND(-PV(INDIRECT("'数据-取费表'!h"&amp;$G$1),L48,(C39-C13*C76),0),0)</f>
        <v>#N/A</v>
      </c>
      <c r="M51" s="1900"/>
      <c r="O51" s="1892" t="s">
        <v>1044</v>
      </c>
      <c r="P51" s="1883" t="s">
        <v>1543</v>
      </c>
      <c r="Q51" s="1895">
        <f>J52</f>
        <v>0</v>
      </c>
      <c r="R51" s="1884"/>
    </row>
    <row r="52" spans="1:18" s="1840" customFormat="1" ht="13.5" thickBot="1">
      <c r="A52" s="1195"/>
      <c r="B52" s="1197"/>
      <c r="C52" s="1198"/>
      <c r="D52" s="1171"/>
      <c r="E52" s="1199" t="s">
        <v>1408</v>
      </c>
      <c r="F52" s="1274"/>
      <c r="I52" s="1901" t="s">
        <v>1544</v>
      </c>
      <c r="J52" s="1902"/>
      <c r="K52" s="1901" t="s">
        <v>1545</v>
      </c>
      <c r="L52" s="1902"/>
      <c r="O52" s="1892" t="s">
        <v>1045</v>
      </c>
      <c r="P52" s="1883" t="s">
        <v>1546</v>
      </c>
      <c r="Q52" s="1884" t="e">
        <f ca="1">J53</f>
        <v>#N/A</v>
      </c>
      <c r="R52" s="1884" t="s">
        <v>1547</v>
      </c>
    </row>
    <row r="53" spans="1:18" s="1840" customFormat="1" ht="30.75" customHeight="1" thickBot="1">
      <c r="A53" s="1360" t="s">
        <v>1137</v>
      </c>
      <c r="B53" s="369" t="s">
        <v>1409</v>
      </c>
      <c r="C53" s="361">
        <f ca="1">ROUND(IF(F53="押一",F49*F51*F50/12*F11,IF(F53="押二",F49*F51*F50/12*2*F11,IF(F53="押三",F49*F51*F50/12*3*F11,C54*F11))),0)</f>
        <v>0</v>
      </c>
      <c r="D53" s="1822" t="s">
        <v>1410</v>
      </c>
      <c r="E53" s="358" t="s">
        <v>1411</v>
      </c>
      <c r="F53" s="1365"/>
      <c r="I53" s="1903" t="s">
        <v>1548</v>
      </c>
      <c r="J53" s="1904" t="e">
        <f ca="1">IF(M47="住宅",J51,IF(D1="——",MIN(J51,L48),IF(D1="在建（套用方法）",MIN(J51,L48-'数据-取费表'!B24),IF(D1="土地（套用方法）",MIN(J51,L48-'数据-取费表'!B20)))))</f>
        <v>#N/A</v>
      </c>
      <c r="K53" s="3245" t="s">
        <v>1549</v>
      </c>
      <c r="L53" s="3246"/>
      <c r="O53" s="1882" t="s">
        <v>1046</v>
      </c>
      <c r="P53" s="1883" t="s">
        <v>1550</v>
      </c>
      <c r="Q53" s="1884" t="e">
        <f ca="1">Q47+Q48</f>
        <v>#N/A</v>
      </c>
      <c r="R53" s="1884" t="s">
        <v>1047</v>
      </c>
    </row>
    <row r="54" spans="1:18" s="1840" customFormat="1" ht="13.5" thickBot="1">
      <c r="A54" s="1193"/>
      <c r="B54" s="1939" t="s">
        <v>1604</v>
      </c>
      <c r="C54" s="1177"/>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5" thickBot="1">
      <c r="A55" s="1332" t="s">
        <v>1075</v>
      </c>
      <c r="B55" s="1825" t="s">
        <v>1414</v>
      </c>
      <c r="C55" s="1333"/>
      <c r="D55" s="1822"/>
      <c r="E55" s="1830"/>
      <c r="F55" s="1905"/>
      <c r="I55" s="1908" t="s">
        <v>1552</v>
      </c>
      <c r="J55" s="1909" t="e">
        <f ca="1">ROUND(IF(J47="钢混",J57/J50,1-(1-2%)*(J50-J57)/J50),3)</f>
        <v>#N/A</v>
      </c>
      <c r="K55" s="1910" t="s">
        <v>1553</v>
      </c>
      <c r="L55" s="1911"/>
      <c r="O55" s="1875" t="s">
        <v>1523</v>
      </c>
      <c r="P55" s="1876" t="s">
        <v>1524</v>
      </c>
      <c r="Q55" s="1877" t="s">
        <v>1525</v>
      </c>
      <c r="R55" s="1877" t="s">
        <v>1526</v>
      </c>
    </row>
    <row r="56" spans="1:18" s="1840" customFormat="1" ht="36" customHeight="1" thickTop="1" thickBot="1">
      <c r="A56" s="1175">
        <v>2</v>
      </c>
      <c r="B56" s="1176" t="s">
        <v>1415</v>
      </c>
      <c r="C56" s="276" t="e">
        <f ca="1">C13</f>
        <v>#N/A</v>
      </c>
      <c r="D56" s="1912"/>
      <c r="E56" s="1913"/>
      <c r="F56" s="1905"/>
      <c r="I56" s="1914" t="s">
        <v>1555</v>
      </c>
      <c r="J56" s="1915" t="s">
        <v>3038</v>
      </c>
      <c r="K56" s="1885" t="s">
        <v>1556</v>
      </c>
      <c r="L56" s="1888" t="e">
        <f ca="1">IF(L48&lt;J51,"——",L48-J51)</f>
        <v>#N/A</v>
      </c>
      <c r="O56" s="1882" t="s">
        <v>1040</v>
      </c>
      <c r="P56" s="1883" t="s">
        <v>1529</v>
      </c>
      <c r="Q56" s="1884" t="e">
        <f ca="1">C40+J29</f>
        <v>#N/A</v>
      </c>
      <c r="R56" s="1884" t="s">
        <v>1530</v>
      </c>
    </row>
    <row r="57" spans="1:18" s="1840" customFormat="1" ht="24.75" thickBot="1">
      <c r="A57" s="1916"/>
      <c r="B57" s="1168" t="s">
        <v>1479</v>
      </c>
      <c r="C57" s="282" t="e">
        <f ca="1">C29</f>
        <v>#N/A</v>
      </c>
      <c r="D57" s="1917"/>
      <c r="E57" s="1918"/>
      <c r="F57" s="1919"/>
      <c r="I57" s="1920" t="s">
        <v>1557</v>
      </c>
      <c r="J57" s="1921" t="e">
        <f ca="1">IF(OR(M47="住宅",J51&lt;L48,J56="是"),"——",J51-L48)</f>
        <v>#N/A</v>
      </c>
      <c r="K57" s="1885" t="s">
        <v>1606</v>
      </c>
      <c r="L57" s="1888" t="e">
        <f ca="1">IF(L48&lt;J51,"——",IF(L55="比较法",L49,IF(L55="基准地价",L50,L51)))</f>
        <v>#N/A</v>
      </c>
      <c r="O57" s="1882" t="s">
        <v>1041</v>
      </c>
      <c r="P57" s="1883" t="s">
        <v>1607</v>
      </c>
      <c r="Q57" s="1884" t="e">
        <f ca="1">L60</f>
        <v>#N/A</v>
      </c>
      <c r="R57" s="1884" t="s">
        <v>1608</v>
      </c>
    </row>
    <row r="58" spans="1:18" s="1840" customFormat="1" ht="24.75" thickBot="1">
      <c r="A58" s="360" t="s">
        <v>1030</v>
      </c>
      <c r="B58" s="1176" t="s">
        <v>1425</v>
      </c>
      <c r="C58" s="361" t="e">
        <f ca="1">ROUND(C59+C64+C65+C66,0)</f>
        <v>#N/A</v>
      </c>
      <c r="D58" s="1178" t="s">
        <v>1426</v>
      </c>
      <c r="E58" s="1179"/>
      <c r="F58" s="1180"/>
      <c r="I58" s="1920" t="s">
        <v>1561</v>
      </c>
      <c r="J58" s="1922" t="e">
        <f ca="1">IF(J55&lt;0.4,0.4,J55)</f>
        <v>#N/A</v>
      </c>
      <c r="K58" s="1898" t="s">
        <v>1609</v>
      </c>
      <c r="L58" s="1888" t="e">
        <f ca="1">ROUND(POWER(1+L52,L47-L48)*(POWER(1+L52,L48)-1)/(POWER(1+L52,L47)-1),4)</f>
        <v>#N/A</v>
      </c>
      <c r="O58" s="1892" t="s">
        <v>1042</v>
      </c>
      <c r="P58" s="1883" t="s">
        <v>1563</v>
      </c>
      <c r="Q58" s="1884">
        <f>IF(L55="比较法",L49,IF(L55="基准地价",L50,0))</f>
        <v>0</v>
      </c>
      <c r="R58" s="1884" t="s">
        <v>1530</v>
      </c>
    </row>
    <row r="59" spans="1:18" s="1840" customFormat="1" ht="24.75" thickBot="1">
      <c r="A59" s="1200" t="s">
        <v>1035</v>
      </c>
      <c r="B59" s="1168" t="s">
        <v>1430</v>
      </c>
      <c r="C59" s="24" t="e">
        <f ca="1">ROUND(IF(项目基本情况!B11="自然人",C48*F59,C60+C61+C62),0)</f>
        <v>#N/A</v>
      </c>
      <c r="D59" s="1181" t="s">
        <v>1431</v>
      </c>
      <c r="E59" s="1182" t="s">
        <v>1432</v>
      </c>
      <c r="F59" s="368"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2" t="s">
        <v>1043</v>
      </c>
      <c r="P59" s="1883" t="s">
        <v>1565</v>
      </c>
      <c r="Q59" s="1895">
        <f>L52</f>
        <v>0</v>
      </c>
      <c r="R59" s="1884"/>
    </row>
    <row r="60" spans="1:18" s="1840" customFormat="1" ht="16.5" thickBot="1">
      <c r="A60" s="1200" t="s">
        <v>1034</v>
      </c>
      <c r="B60" s="1168" t="s">
        <v>1434</v>
      </c>
      <c r="C60" s="24" t="e">
        <f ca="1">IF(项目基本情况!B11="自然人","——",ROUND(C48*F60/(1+'数据-取费表'!C42),0))</f>
        <v>#N/A</v>
      </c>
      <c r="D60" s="1182" t="s">
        <v>1435</v>
      </c>
      <c r="E60" s="1168" t="s">
        <v>1423</v>
      </c>
      <c r="F60" s="377">
        <f t="shared" ref="F60:F66" si="0">F32</f>
        <v>5.6000000000000001E-2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5" thickBot="1">
      <c r="A61" s="1200" t="s">
        <v>1493</v>
      </c>
      <c r="B61" s="1168" t="s">
        <v>1494</v>
      </c>
      <c r="C61" s="24" t="e">
        <f ca="1">IF(项目基本情况!B11="自然人","——",IF(D61="按租金收入计税",ROUND(C48*F61,0),IF(D61="按房产原值计税",ROUND(C57*F61*0.7,0),INDIRECT("'数据-取费表'!Aj"&amp;$G$1))))</f>
        <v>#N/A</v>
      </c>
      <c r="D61" s="1826" t="s">
        <v>1439</v>
      </c>
      <c r="E61" s="1168" t="s">
        <v>1495</v>
      </c>
      <c r="F61" s="367">
        <f t="shared" si="0"/>
        <v>1.2E-2</v>
      </c>
      <c r="I61" s="1926"/>
      <c r="J61" s="1926"/>
      <c r="K61" s="1926"/>
      <c r="L61" s="1926"/>
      <c r="O61" s="1892" t="s">
        <v>1045</v>
      </c>
      <c r="P61" s="1883" t="str">
        <f>K59</f>
        <v>建筑物剩余耐用年限下的土地年期修正系数Kn</v>
      </c>
      <c r="Q61" s="1884" t="e">
        <f ca="1">L59</f>
        <v>#N/A</v>
      </c>
      <c r="R61" s="1884" t="s">
        <v>1570</v>
      </c>
    </row>
    <row r="62" spans="1:18" s="1840" customFormat="1" ht="13.5" thickBot="1">
      <c r="A62" s="1200" t="s">
        <v>1496</v>
      </c>
      <c r="B62" s="1167" t="s">
        <v>1497</v>
      </c>
      <c r="C62" s="25" t="e">
        <f ca="1">IF(项目基本情况!B11="自然人","——",ROUND(F62*F63,0))</f>
        <v>#N/A</v>
      </c>
      <c r="D62" s="1183" t="s">
        <v>1498</v>
      </c>
      <c r="E62" s="1168" t="s">
        <v>1499</v>
      </c>
      <c r="F62" s="371">
        <f t="shared" si="0"/>
        <v>3</v>
      </c>
      <c r="I62" s="1927" t="s">
        <v>1571</v>
      </c>
      <c r="J62" s="1928" t="s">
        <v>1572</v>
      </c>
      <c r="K62" s="1928" t="s">
        <v>1573</v>
      </c>
      <c r="L62" s="1928" t="s">
        <v>1574</v>
      </c>
      <c r="M62" s="1929" t="s">
        <v>1575</v>
      </c>
      <c r="O62" s="1882" t="s">
        <v>1046</v>
      </c>
      <c r="P62" s="1883" t="s">
        <v>1576</v>
      </c>
      <c r="Q62" s="1884" t="e">
        <f ca="1">Q56+Q57</f>
        <v>#N/A</v>
      </c>
      <c r="R62" s="1884" t="s">
        <v>1047</v>
      </c>
    </row>
    <row r="63" spans="1:18" s="1840" customFormat="1" ht="13.5" thickBot="1">
      <c r="A63" s="372"/>
      <c r="B63" s="1174"/>
      <c r="C63" s="29"/>
      <c r="D63" s="1184"/>
      <c r="E63" s="1168" t="s">
        <v>1500</v>
      </c>
      <c r="F63" s="348" t="e">
        <f t="shared" ca="1" si="0"/>
        <v>#N/A</v>
      </c>
      <c r="I63" s="1927" t="s">
        <v>1577</v>
      </c>
      <c r="J63" s="1928">
        <v>70</v>
      </c>
      <c r="K63" s="1928">
        <v>50</v>
      </c>
      <c r="L63" s="1928">
        <v>80</v>
      </c>
      <c r="M63" s="1930">
        <v>0.02</v>
      </c>
      <c r="O63" s="1867" t="s">
        <v>1578</v>
      </c>
      <c r="P63" s="1837"/>
      <c r="Q63" s="1837"/>
      <c r="R63" s="1837"/>
    </row>
    <row r="64" spans="1:18" s="1840" customFormat="1" ht="13.5" thickBot="1">
      <c r="A64" s="1200" t="s">
        <v>1501</v>
      </c>
      <c r="B64" s="1168" t="s">
        <v>1502</v>
      </c>
      <c r="C64" s="24" t="e">
        <f ca="1">ROUND(C57*F64,0)</f>
        <v>#N/A</v>
      </c>
      <c r="D64" s="1182" t="s">
        <v>1503</v>
      </c>
      <c r="E64" s="1168" t="s">
        <v>1495</v>
      </c>
      <c r="F64" s="374" t="e">
        <f t="shared" ca="1" si="0"/>
        <v>#N/A</v>
      </c>
      <c r="I64" s="1927" t="s">
        <v>1579</v>
      </c>
      <c r="J64" s="1928">
        <v>50</v>
      </c>
      <c r="K64" s="1928">
        <v>35</v>
      </c>
      <c r="L64" s="1928">
        <v>60</v>
      </c>
      <c r="M64" s="1929">
        <v>0</v>
      </c>
      <c r="O64" s="1875" t="s">
        <v>1523</v>
      </c>
      <c r="P64" s="1876" t="s">
        <v>1524</v>
      </c>
      <c r="Q64" s="1877" t="s">
        <v>1525</v>
      </c>
      <c r="R64" s="1877" t="s">
        <v>1526</v>
      </c>
    </row>
    <row r="65" spans="1:18" s="1840" customFormat="1" ht="13.5" thickBot="1">
      <c r="A65" s="1200" t="s">
        <v>1504</v>
      </c>
      <c r="B65" s="1168" t="s">
        <v>1454</v>
      </c>
      <c r="C65" s="24" t="e">
        <f ca="1">ROUND(C56*F65,0)</f>
        <v>#N/A</v>
      </c>
      <c r="D65" s="1182" t="s">
        <v>1455</v>
      </c>
      <c r="E65" s="1168" t="s">
        <v>1456</v>
      </c>
      <c r="F65" s="376" t="e">
        <f t="shared" ca="1" si="0"/>
        <v>#N/A</v>
      </c>
      <c r="I65" s="1927" t="s">
        <v>1580</v>
      </c>
      <c r="J65" s="1928">
        <v>40</v>
      </c>
      <c r="K65" s="1928">
        <v>30</v>
      </c>
      <c r="L65" s="1928">
        <v>50</v>
      </c>
      <c r="M65" s="1930">
        <v>0.02</v>
      </c>
      <c r="O65" s="1882" t="s">
        <v>1040</v>
      </c>
      <c r="P65" s="1883" t="s">
        <v>1581</v>
      </c>
      <c r="Q65" s="1884" t="e">
        <f ca="1">C40+J29</f>
        <v>#N/A</v>
      </c>
      <c r="R65" s="1884" t="s">
        <v>1530</v>
      </c>
    </row>
    <row r="66" spans="1:18" s="1840" customFormat="1" ht="16.5" thickBot="1">
      <c r="A66" s="1200" t="s">
        <v>1505</v>
      </c>
      <c r="B66" s="1168" t="s">
        <v>1440</v>
      </c>
      <c r="C66" s="24" t="e">
        <f ca="1">ROUND(C48*F66,0)</f>
        <v>#N/A</v>
      </c>
      <c r="D66" s="1182" t="s">
        <v>1506</v>
      </c>
      <c r="E66" s="1168" t="s">
        <v>1423</v>
      </c>
      <c r="F66" s="357" t="e">
        <f t="shared" ca="1" si="0"/>
        <v>#N/A</v>
      </c>
      <c r="O66" s="1882" t="s">
        <v>1041</v>
      </c>
      <c r="P66" s="1883" t="s">
        <v>1559</v>
      </c>
      <c r="Q66" s="1884" t="e">
        <f ca="1">L60</f>
        <v>#N/A</v>
      </c>
      <c r="R66" s="1884" t="s">
        <v>1582</v>
      </c>
    </row>
    <row r="67" spans="1:18" s="1840" customFormat="1" ht="16.5" thickBot="1">
      <c r="A67" s="1175" t="s">
        <v>1031</v>
      </c>
      <c r="B67" s="1185" t="s">
        <v>1464</v>
      </c>
      <c r="C67" s="361" t="e">
        <f ca="1">C48-C58</f>
        <v>#N/A</v>
      </c>
      <c r="D67" s="1181" t="s">
        <v>1465</v>
      </c>
      <c r="E67" s="1186"/>
      <c r="F67" s="1187"/>
      <c r="O67" s="1892" t="s">
        <v>1042</v>
      </c>
      <c r="P67" s="1883" t="s">
        <v>1563</v>
      </c>
      <c r="Q67" s="1931" t="e">
        <f ca="1">L51</f>
        <v>#N/A</v>
      </c>
      <c r="R67" s="1884" t="s">
        <v>1583</v>
      </c>
    </row>
    <row r="68" spans="1:18" s="1840" customFormat="1" ht="16.5" thickBot="1">
      <c r="A68" s="1165" t="s">
        <v>1032</v>
      </c>
      <c r="B68" s="1166" t="s">
        <v>1486</v>
      </c>
      <c r="C68" s="346" t="e">
        <f ca="1">ROUND(C67*(1-((1+F70)/(1+F68))^F69)/(F68-F70),0)</f>
        <v>#N/A</v>
      </c>
      <c r="D68" s="1183" t="s">
        <v>1470</v>
      </c>
      <c r="E68" s="1168" t="s">
        <v>1471</v>
      </c>
      <c r="F68" s="357" t="e">
        <f ca="1">F40</f>
        <v>#N/A</v>
      </c>
      <c r="O68" s="1892" t="s">
        <v>1043</v>
      </c>
      <c r="P68" s="1932" t="s">
        <v>1584</v>
      </c>
      <c r="Q68" s="1884" t="e">
        <f ca="1">ROUND(Q69-Q70*Q71,0)</f>
        <v>#N/A</v>
      </c>
      <c r="R68" s="1884" t="s">
        <v>1051</v>
      </c>
    </row>
    <row r="69" spans="1:18" s="1840" customFormat="1" ht="13.5" thickBot="1">
      <c r="A69" s="1169"/>
      <c r="B69" s="1170"/>
      <c r="C69" s="351"/>
      <c r="D69" s="1188" t="s">
        <v>1474</v>
      </c>
      <c r="E69" s="1168" t="s">
        <v>1475</v>
      </c>
      <c r="F69" s="379" t="e">
        <f ca="1">F41</f>
        <v>#N/A</v>
      </c>
      <c r="O69" s="1892" t="s">
        <v>1048</v>
      </c>
      <c r="P69" s="1932" t="s">
        <v>1585</v>
      </c>
      <c r="Q69" s="1884" t="e">
        <f ca="1">C39</f>
        <v>#N/A</v>
      </c>
      <c r="R69" s="1884" t="s">
        <v>1530</v>
      </c>
    </row>
    <row r="70" spans="1:18" s="1840" customFormat="1" ht="13.5" thickBot="1">
      <c r="A70" s="1172"/>
      <c r="B70" s="1173"/>
      <c r="C70" s="355"/>
      <c r="D70" s="1184"/>
      <c r="E70" s="1168" t="s">
        <v>1478</v>
      </c>
      <c r="F70" s="1274" t="e">
        <f ca="1">F42</f>
        <v>#N/A</v>
      </c>
      <c r="O70" s="1892" t="s">
        <v>1049</v>
      </c>
      <c r="P70" s="1932" t="s">
        <v>1586</v>
      </c>
      <c r="Q70" s="1884" t="e">
        <f ca="1">C13</f>
        <v>#N/A</v>
      </c>
      <c r="R70" s="1884" t="s">
        <v>1530</v>
      </c>
    </row>
    <row r="71" spans="1:18" s="1840" customFormat="1" ht="13.5" thickBot="1">
      <c r="A71" s="1189" t="s">
        <v>1033</v>
      </c>
      <c r="B71" s="1190" t="s">
        <v>1488</v>
      </c>
      <c r="C71" s="382" t="e">
        <f ca="1">ROUND(C68/F71,0)</f>
        <v>#N/A</v>
      </c>
      <c r="D71" s="1191" t="s">
        <v>1489</v>
      </c>
      <c r="E71" s="1192" t="s">
        <v>1490</v>
      </c>
      <c r="F71" s="385" t="e">
        <f ca="1">F43</f>
        <v>#N/A</v>
      </c>
      <c r="O71" s="1892" t="s">
        <v>1050</v>
      </c>
      <c r="P71" s="1932" t="s">
        <v>1587</v>
      </c>
      <c r="Q71" s="1895" t="e">
        <f ca="1">C76</f>
        <v>#N/A</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#N/A</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#N/A</v>
      </c>
      <c r="R74" s="1884" t="s">
        <v>1570</v>
      </c>
    </row>
    <row r="75" spans="1:18" ht="13.5" thickBot="1">
      <c r="A75" s="1840"/>
      <c r="B75" s="386" t="s">
        <v>1507</v>
      </c>
      <c r="C75" s="387" t="e">
        <f ca="1">ROUND(C13*C76,0)</f>
        <v>#N/A</v>
      </c>
      <c r="D75" s="1840"/>
      <c r="E75" s="1840"/>
      <c r="F75" s="1840"/>
      <c r="K75" s="1866"/>
      <c r="L75" s="1840"/>
      <c r="O75" s="1882" t="s">
        <v>1046</v>
      </c>
      <c r="P75" s="1883" t="s">
        <v>1550</v>
      </c>
      <c r="Q75" s="1884" t="e">
        <f ca="1">Q65+Q66</f>
        <v>#N/A</v>
      </c>
      <c r="R75" s="1884" t="s">
        <v>1047</v>
      </c>
    </row>
    <row r="76" spans="1:18">
      <c r="B76" s="388" t="s">
        <v>1508</v>
      </c>
      <c r="C76" s="389" t="e">
        <f ca="1">INDIRECT("'数据-取费表'!j"&amp;$G$1)</f>
        <v>#N/A</v>
      </c>
      <c r="I76" s="1840"/>
      <c r="J76" s="1840"/>
      <c r="K76" s="1866"/>
      <c r="L76" s="1840"/>
    </row>
    <row r="77" spans="1:18">
      <c r="B77" s="390" t="s">
        <v>1509</v>
      </c>
      <c r="C77" s="391"/>
      <c r="I77" s="1840"/>
      <c r="J77" s="1840"/>
      <c r="K77" s="1866"/>
      <c r="L77" s="1840"/>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6" sqref="D3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2515</v>
      </c>
      <c r="B1" s="2557"/>
      <c r="C1" s="2557"/>
      <c r="D1" s="2557"/>
      <c r="E1" s="2558"/>
    </row>
    <row r="2" spans="1:6" ht="15.75">
      <c r="A2" s="2559" t="s">
        <v>2316</v>
      </c>
      <c r="B2" s="2560">
        <f ca="1">SUMIF(B6:B13,"&lt;&gt;#ref!",B6:B13)</f>
        <v>7651</v>
      </c>
      <c r="C2" s="2561" t="s">
        <v>2508</v>
      </c>
      <c r="D2" s="2562" t="s">
        <v>2509</v>
      </c>
      <c r="E2" s="2563">
        <f>SUM(E6:E13)</f>
        <v>2661.3600000000006</v>
      </c>
    </row>
    <row r="3" spans="1:6" ht="15.75">
      <c r="A3" s="2559" t="s">
        <v>1395</v>
      </c>
      <c r="B3" s="2560">
        <f ca="1">ROUND(B2*10000/E2,0)</f>
        <v>28748</v>
      </c>
      <c r="C3" s="2561" t="s">
        <v>2516</v>
      </c>
      <c r="D3" s="2564"/>
      <c r="E3" s="2565"/>
    </row>
    <row r="4" spans="1:6" ht="15.75">
      <c r="A4" s="2566"/>
      <c r="B4" s="2564"/>
      <c r="C4" s="2564"/>
      <c r="D4" s="2564"/>
      <c r="E4" s="2565"/>
    </row>
    <row r="5" spans="1:6" ht="15">
      <c r="A5" s="2567" t="s">
        <v>2510</v>
      </c>
      <c r="B5" s="3247" t="s">
        <v>2511</v>
      </c>
      <c r="C5" s="3247"/>
      <c r="D5" s="2568"/>
      <c r="E5" s="2569" t="s">
        <v>2512</v>
      </c>
      <c r="F5" s="2570" t="s">
        <v>2513</v>
      </c>
    </row>
    <row r="6" spans="1:6">
      <c r="A6" s="2571" t="str">
        <f>'数据-取费表'!AN6</f>
        <v>收益法-已出租</v>
      </c>
      <c r="B6" s="2570">
        <f ca="1">IF(F6="是",'数据-取费表'!AO6,0)</f>
        <v>6429</v>
      </c>
      <c r="C6" s="2561" t="s">
        <v>2508</v>
      </c>
      <c r="D6" s="2564"/>
      <c r="E6" s="2572">
        <f>IF(OR(A6=0,F6="否"),0,'数据-取费表'!K6+'数据-取费表'!S6)</f>
        <v>2255.8900000000003</v>
      </c>
      <c r="F6" s="2573" t="s">
        <v>2514</v>
      </c>
    </row>
    <row r="7" spans="1:6">
      <c r="A7" s="2571" t="str">
        <f>'数据-取费表'!AN7</f>
        <v>收益法-未出租</v>
      </c>
      <c r="B7" s="2570">
        <f ca="1">IF(F7="是",'数据-取费表'!AO7,0)</f>
        <v>1222</v>
      </c>
      <c r="C7" s="2561" t="s">
        <v>2508</v>
      </c>
      <c r="D7" s="2564"/>
      <c r="E7" s="2572">
        <f>IF(OR(A7=0,F7="否"),0,'数据-取费表'!K7+'数据-取费表'!S7)</f>
        <v>405.47</v>
      </c>
      <c r="F7" s="2573" t="s">
        <v>2514</v>
      </c>
    </row>
    <row r="8" spans="1:6">
      <c r="A8" s="2571">
        <f>'数据-取费表'!AN8</f>
        <v>0</v>
      </c>
      <c r="B8" s="2570" t="e">
        <f ca="1">IF(F8="是",'数据-取费表'!AO8,0)</f>
        <v>#REF!</v>
      </c>
      <c r="C8" s="2561" t="s">
        <v>2508</v>
      </c>
      <c r="D8" s="2564"/>
      <c r="E8" s="2572">
        <f>IF(OR(A8=0,F8="否"),0,'数据-取费表'!K8+'数据-取费表'!S8)</f>
        <v>0</v>
      </c>
      <c r="F8" s="2573" t="s">
        <v>2514</v>
      </c>
    </row>
    <row r="9" spans="1:6">
      <c r="A9" s="2571">
        <f>'数据-取费表'!AN9</f>
        <v>0</v>
      </c>
      <c r="B9" s="2570" t="e">
        <f ca="1">IF(F9="是",'数据-取费表'!AO9,0)</f>
        <v>#REF!</v>
      </c>
      <c r="C9" s="2561" t="s">
        <v>2508</v>
      </c>
      <c r="D9" s="2564"/>
      <c r="E9" s="2572">
        <f>IF(OR(A9=0,F9="否"),0,'数据-取费表'!K9+'数据-取费表'!S9)</f>
        <v>0</v>
      </c>
      <c r="F9" s="2573" t="s">
        <v>2514</v>
      </c>
    </row>
    <row r="10" spans="1:6">
      <c r="A10" s="2571">
        <f>'数据-取费表'!AN10</f>
        <v>0</v>
      </c>
      <c r="B10" s="2570" t="e">
        <f ca="1">IF(F10="是",'数据-取费表'!AO10,0)</f>
        <v>#REF!</v>
      </c>
      <c r="C10" s="2561" t="s">
        <v>2508</v>
      </c>
      <c r="D10" s="2564"/>
      <c r="E10" s="2572">
        <f>IF(OR(A10=0,F10="否"),0,'数据-取费表'!K10+'数据-取费表'!S10)</f>
        <v>0</v>
      </c>
      <c r="F10" s="2573" t="s">
        <v>2514</v>
      </c>
    </row>
    <row r="11" spans="1:6">
      <c r="A11" s="2571">
        <f>'数据-取费表'!AN11</f>
        <v>0</v>
      </c>
      <c r="B11" s="2570" t="e">
        <f ca="1">IF(F11="是",'数据-取费表'!AO11,0)</f>
        <v>#REF!</v>
      </c>
      <c r="C11" s="2561" t="s">
        <v>2508</v>
      </c>
      <c r="D11" s="2564"/>
      <c r="E11" s="2572">
        <f>IF(OR(A11=0,F11="否"),0,'数据-取费表'!K11+'数据-取费表'!S11)</f>
        <v>0</v>
      </c>
      <c r="F11" s="2573" t="s">
        <v>2514</v>
      </c>
    </row>
    <row r="12" spans="1:6">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8" t="s">
        <v>1076</v>
      </c>
      <c r="B1" s="3249"/>
      <c r="C1" s="3250"/>
      <c r="D1" s="3251">
        <f>SUM(I10,I15,I20,I21,I23)</f>
        <v>0</v>
      </c>
      <c r="E1" s="3251"/>
      <c r="F1" s="3251"/>
      <c r="G1" s="3251"/>
      <c r="H1" s="3251"/>
      <c r="I1" s="3252"/>
    </row>
    <row r="2" spans="1:9">
      <c r="A2" s="3253" t="s">
        <v>1077</v>
      </c>
      <c r="B2" s="3254" t="s">
        <v>1078</v>
      </c>
      <c r="C2" s="3254"/>
      <c r="D2" s="1300" t="s">
        <v>1079</v>
      </c>
      <c r="E2" s="1300" t="s">
        <v>1080</v>
      </c>
      <c r="F2" s="1300" t="s">
        <v>1081</v>
      </c>
      <c r="G2" s="1300" t="s">
        <v>1082</v>
      </c>
      <c r="H2" s="1300" t="s">
        <v>1083</v>
      </c>
      <c r="I2" s="1301" t="s">
        <v>1084</v>
      </c>
    </row>
    <row r="3" spans="1:9">
      <c r="A3" s="3253"/>
      <c r="B3" s="3254" t="s">
        <v>1085</v>
      </c>
      <c r="C3" s="3254"/>
      <c r="D3" s="1302"/>
      <c r="E3" s="1300"/>
      <c r="F3" s="1303"/>
      <c r="G3" s="1303"/>
      <c r="H3" s="1304"/>
      <c r="I3" s="1305">
        <f>ROUND(D3*E3*F3*G3*H3/10000,0)</f>
        <v>0</v>
      </c>
    </row>
    <row r="4" spans="1:9">
      <c r="A4" s="3253"/>
      <c r="B4" s="3254" t="s">
        <v>1086</v>
      </c>
      <c r="C4" s="3254"/>
      <c r="D4" s="1302"/>
      <c r="E4" s="1300"/>
      <c r="F4" s="1303"/>
      <c r="G4" s="1303"/>
      <c r="H4" s="1304"/>
      <c r="I4" s="1305">
        <f t="shared" ref="I4:I9" si="0">ROUND(D4*E4*F4*G4*H4/10000,0)</f>
        <v>0</v>
      </c>
    </row>
    <row r="5" spans="1:9">
      <c r="A5" s="3253"/>
      <c r="B5" s="3254" t="s">
        <v>1087</v>
      </c>
      <c r="C5" s="3254"/>
      <c r="D5" s="1302"/>
      <c r="E5" s="1300"/>
      <c r="F5" s="1303"/>
      <c r="G5" s="1303"/>
      <c r="H5" s="1304"/>
      <c r="I5" s="1305">
        <f t="shared" si="0"/>
        <v>0</v>
      </c>
    </row>
    <row r="6" spans="1:9">
      <c r="A6" s="3253"/>
      <c r="B6" s="3254" t="s">
        <v>1088</v>
      </c>
      <c r="C6" s="3254"/>
      <c r="D6" s="1302"/>
      <c r="E6" s="1300"/>
      <c r="F6" s="1303"/>
      <c r="G6" s="1303"/>
      <c r="H6" s="1304"/>
      <c r="I6" s="1305">
        <f t="shared" si="0"/>
        <v>0</v>
      </c>
    </row>
    <row r="7" spans="1:9">
      <c r="A7" s="3253"/>
      <c r="B7" s="3254" t="s">
        <v>1089</v>
      </c>
      <c r="C7" s="3254"/>
      <c r="D7" s="1302"/>
      <c r="E7" s="1300"/>
      <c r="F7" s="1303"/>
      <c r="G7" s="1303"/>
      <c r="H7" s="1304"/>
      <c r="I7" s="1305">
        <f t="shared" si="0"/>
        <v>0</v>
      </c>
    </row>
    <row r="8" spans="1:9">
      <c r="A8" s="3253"/>
      <c r="B8" s="3254" t="s">
        <v>1090</v>
      </c>
      <c r="C8" s="3254"/>
      <c r="D8" s="1302"/>
      <c r="E8" s="1300"/>
      <c r="F8" s="1303"/>
      <c r="G8" s="1303"/>
      <c r="H8" s="1304"/>
      <c r="I8" s="1305">
        <f t="shared" si="0"/>
        <v>0</v>
      </c>
    </row>
    <row r="9" spans="1:9">
      <c r="A9" s="3253"/>
      <c r="B9" s="3254" t="s">
        <v>1091</v>
      </c>
      <c r="C9" s="3254"/>
      <c r="D9" s="1302"/>
      <c r="E9" s="1300"/>
      <c r="F9" s="1303"/>
      <c r="G9" s="1303"/>
      <c r="H9" s="1304"/>
      <c r="I9" s="1305">
        <f t="shared" si="0"/>
        <v>0</v>
      </c>
    </row>
    <row r="10" spans="1:9">
      <c r="A10" s="3253"/>
      <c r="B10" s="3255" t="s">
        <v>1092</v>
      </c>
      <c r="C10" s="3255"/>
      <c r="D10" s="1306"/>
      <c r="E10" s="1306" t="e">
        <f>ROUND(D1*10000/D10/H9,0)</f>
        <v>#DIV/0!</v>
      </c>
      <c r="F10" s="1307"/>
      <c r="G10" s="1307"/>
      <c r="H10" s="1308"/>
      <c r="I10" s="1309">
        <f>SUM(I3:I9)</f>
        <v>0</v>
      </c>
    </row>
    <row r="11" spans="1:9" ht="14.25">
      <c r="A11" s="3253" t="s">
        <v>1093</v>
      </c>
      <c r="B11" s="3254" t="s">
        <v>1094</v>
      </c>
      <c r="C11" s="3254"/>
      <c r="D11" s="1302" t="s">
        <v>1095</v>
      </c>
      <c r="E11" s="1302" t="s">
        <v>1096</v>
      </c>
      <c r="F11" s="1303" t="s">
        <v>1097</v>
      </c>
      <c r="G11" s="1303" t="s">
        <v>1083</v>
      </c>
      <c r="H11" s="1310" t="s">
        <v>1098</v>
      </c>
      <c r="I11" s="1301" t="s">
        <v>1084</v>
      </c>
    </row>
    <row r="12" spans="1:9">
      <c r="A12" s="3253"/>
      <c r="B12" s="3254" t="s">
        <v>1099</v>
      </c>
      <c r="C12" s="3254"/>
      <c r="D12" s="1302"/>
      <c r="E12" s="1302"/>
      <c r="F12" s="1303"/>
      <c r="G12" s="1304"/>
      <c r="H12" s="1311"/>
      <c r="I12" s="1301">
        <f>ROUND(D12*E12*F12*G12/10000,0)</f>
        <v>0</v>
      </c>
    </row>
    <row r="13" spans="1:9">
      <c r="A13" s="3253"/>
      <c r="B13" s="3254" t="s">
        <v>1100</v>
      </c>
      <c r="C13" s="3254"/>
      <c r="D13" s="1302"/>
      <c r="E13" s="1302"/>
      <c r="F13" s="1303"/>
      <c r="G13" s="1304"/>
      <c r="H13" s="1311"/>
      <c r="I13" s="1301">
        <f>ROUND(D13*E13*F13*G13/10000,0)</f>
        <v>0</v>
      </c>
    </row>
    <row r="14" spans="1:9">
      <c r="A14" s="3253"/>
      <c r="B14" s="3254" t="s">
        <v>1101</v>
      </c>
      <c r="C14" s="3254"/>
      <c r="D14" s="1302"/>
      <c r="E14" s="1302"/>
      <c r="F14" s="1303"/>
      <c r="G14" s="1304"/>
      <c r="H14" s="1311"/>
      <c r="I14" s="1301">
        <f>ROUND(D14*E14*F14*G14/10000,0)</f>
        <v>0</v>
      </c>
    </row>
    <row r="15" spans="1:9">
      <c r="A15" s="3253"/>
      <c r="B15" s="3255" t="s">
        <v>1092</v>
      </c>
      <c r="C15" s="3255"/>
      <c r="D15" s="1306"/>
      <c r="E15" s="1306">
        <f>SUM(E12:E14)</f>
        <v>0</v>
      </c>
      <c r="F15" s="1307"/>
      <c r="G15" s="1304"/>
      <c r="H15" s="1311"/>
      <c r="I15" s="1312">
        <f>SUM(I12:I14)</f>
        <v>0</v>
      </c>
    </row>
    <row r="16" spans="1:9" ht="24">
      <c r="A16" s="3253" t="s">
        <v>1102</v>
      </c>
      <c r="B16" s="3254" t="s">
        <v>1103</v>
      </c>
      <c r="C16" s="3254"/>
      <c r="D16" s="1302" t="s">
        <v>1079</v>
      </c>
      <c r="E16" s="1313" t="s">
        <v>1104</v>
      </c>
      <c r="F16" s="1303" t="s">
        <v>1105</v>
      </c>
      <c r="G16" s="1304" t="s">
        <v>1083</v>
      </c>
      <c r="H16" s="1310" t="s">
        <v>1098</v>
      </c>
      <c r="I16" s="1301" t="s">
        <v>1084</v>
      </c>
    </row>
    <row r="17" spans="1:9" ht="14.25">
      <c r="A17" s="3253"/>
      <c r="B17" s="3254" t="s">
        <v>1106</v>
      </c>
      <c r="C17" s="3254"/>
      <c r="D17" s="1302"/>
      <c r="E17" s="1302"/>
      <c r="F17" s="1303"/>
      <c r="G17" s="1304"/>
      <c r="H17" s="1314"/>
      <c r="I17" s="1315">
        <f>ROUND(D17*E17*F17*G17/10000,0)</f>
        <v>0</v>
      </c>
    </row>
    <row r="18" spans="1:9" ht="14.25">
      <c r="A18" s="3253"/>
      <c r="B18" s="3254" t="s">
        <v>1107</v>
      </c>
      <c r="C18" s="3254"/>
      <c r="D18" s="1302"/>
      <c r="E18" s="1302"/>
      <c r="F18" s="1303"/>
      <c r="G18" s="1304"/>
      <c r="H18" s="1314"/>
      <c r="I18" s="1315">
        <f>ROUND(D18*E18*F18*G18/10000,0)</f>
        <v>0</v>
      </c>
    </row>
    <row r="19" spans="1:9" ht="14.25">
      <c r="A19" s="3253"/>
      <c r="B19" s="3254" t="s">
        <v>1108</v>
      </c>
      <c r="C19" s="3254"/>
      <c r="D19" s="1302"/>
      <c r="E19" s="1302"/>
      <c r="F19" s="1303"/>
      <c r="G19" s="1304"/>
      <c r="H19" s="1314"/>
      <c r="I19" s="1315">
        <f>ROUND(D19*E19*F19*G19/10000,0)</f>
        <v>0</v>
      </c>
    </row>
    <row r="20" spans="1:9">
      <c r="A20" s="3253"/>
      <c r="B20" s="3255" t="s">
        <v>1092</v>
      </c>
      <c r="C20" s="3255"/>
      <c r="D20" s="1306">
        <f>SUM(D17:D19)</f>
        <v>0</v>
      </c>
      <c r="E20" s="1306"/>
      <c r="F20" s="1307"/>
      <c r="G20" s="1304"/>
      <c r="H20" s="1311"/>
      <c r="I20" s="1312">
        <f>SUM(I17:I19)</f>
        <v>0</v>
      </c>
    </row>
    <row r="21" spans="1:9">
      <c r="A21" s="3253" t="s">
        <v>1109</v>
      </c>
      <c r="B21" s="3257"/>
      <c r="C21" s="3257"/>
      <c r="D21" s="3257"/>
      <c r="E21" s="3257"/>
      <c r="F21" s="3257"/>
      <c r="G21" s="3257"/>
      <c r="H21" s="1764">
        <v>0.1</v>
      </c>
      <c r="I21" s="1309">
        <f>ROUND(I10*H21,0)</f>
        <v>0</v>
      </c>
    </row>
    <row r="22" spans="1:9" ht="14.25">
      <c r="A22" s="3258" t="s">
        <v>1110</v>
      </c>
      <c r="B22" s="3259"/>
      <c r="C22" s="3260"/>
      <c r="D22" s="1316" t="s">
        <v>1111</v>
      </c>
      <c r="E22" s="1316" t="s">
        <v>1112</v>
      </c>
      <c r="F22" s="1317" t="s">
        <v>1113</v>
      </c>
      <c r="G22" s="1317" t="s">
        <v>1114</v>
      </c>
      <c r="H22" s="1310" t="s">
        <v>1115</v>
      </c>
      <c r="I22" s="1301" t="s">
        <v>1116</v>
      </c>
    </row>
    <row r="23" spans="1:9" ht="14.25" thickBot="1">
      <c r="A23" s="3261"/>
      <c r="B23" s="3262"/>
      <c r="C23" s="3263"/>
      <c r="D23" s="1318"/>
      <c r="E23" s="1318"/>
      <c r="F23" s="1318"/>
      <c r="G23" s="1319"/>
      <c r="H23" s="1320"/>
      <c r="I23" s="1321">
        <f>ROUND(E23*D23*F23*(1-G23)/10000,0)</f>
        <v>0</v>
      </c>
    </row>
    <row r="26" spans="1:9">
      <c r="A26" s="1322" t="s">
        <v>1117</v>
      </c>
      <c r="B26" s="1322"/>
      <c r="C26" s="1322"/>
      <c r="D26" s="1322"/>
      <c r="E26" s="3264">
        <f>C27-C30-C31-C32</f>
        <v>0</v>
      </c>
      <c r="F26" s="3264"/>
      <c r="G26" s="3264"/>
      <c r="H26" s="1736" t="s">
        <v>1340</v>
      </c>
    </row>
    <row r="27" spans="1:9">
      <c r="A27" s="1323">
        <v>1</v>
      </c>
      <c r="B27" s="1324" t="s">
        <v>1118</v>
      </c>
      <c r="C27" s="1324">
        <f>C28+C29</f>
        <v>0</v>
      </c>
      <c r="D27" s="1324"/>
      <c r="E27" s="3265"/>
      <c r="F27" s="3265"/>
      <c r="G27" s="3265"/>
    </row>
    <row r="28" spans="1:9">
      <c r="A28" s="1325" t="s">
        <v>1119</v>
      </c>
      <c r="B28" s="1324" t="s">
        <v>1120</v>
      </c>
      <c r="C28" s="1324"/>
      <c r="D28" s="1324"/>
      <c r="E28" s="3265"/>
      <c r="F28" s="3265"/>
      <c r="G28" s="3265"/>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56"/>
      <c r="F32" s="3256"/>
      <c r="G32" s="3256"/>
    </row>
    <row r="33" spans="1:7" hidden="1">
      <c r="A33" s="3266" t="s">
        <v>1129</v>
      </c>
      <c r="B33" s="3267"/>
      <c r="C33" s="3267"/>
      <c r="D33" s="3268"/>
      <c r="E33" s="3264"/>
      <c r="F33" s="3264"/>
      <c r="G33" s="3264"/>
    </row>
    <row r="34" spans="1:7" hidden="1">
      <c r="A34" s="1327">
        <v>1</v>
      </c>
      <c r="B34" s="1324" t="s">
        <v>1130</v>
      </c>
      <c r="C34" s="1324"/>
      <c r="D34" s="1324"/>
      <c r="E34" s="3265"/>
      <c r="F34" s="3265"/>
      <c r="G34" s="3265"/>
    </row>
    <row r="35" spans="1:7" hidden="1">
      <c r="A35" s="1327">
        <v>2</v>
      </c>
      <c r="B35" s="1324" t="s">
        <v>1131</v>
      </c>
      <c r="C35" s="1324"/>
      <c r="D35" s="1324"/>
      <c r="E35" s="3265"/>
      <c r="F35" s="3265"/>
      <c r="G35" s="3265"/>
    </row>
    <row r="36" spans="1:7" hidden="1">
      <c r="A36" s="1327">
        <v>3</v>
      </c>
      <c r="B36" s="1324" t="s">
        <v>1132</v>
      </c>
      <c r="C36" s="1324"/>
      <c r="D36" s="1324"/>
      <c r="E36" s="3265"/>
      <c r="F36" s="3265"/>
      <c r="G36" s="3265"/>
    </row>
    <row r="37" spans="1:7" hidden="1">
      <c r="A37" s="1327">
        <v>4</v>
      </c>
      <c r="B37" s="1324" t="s">
        <v>1133</v>
      </c>
      <c r="C37" s="1324"/>
      <c r="D37" s="1324"/>
      <c r="E37" s="3265"/>
      <c r="F37" s="3265"/>
      <c r="G37" s="3265"/>
    </row>
    <row r="38" spans="1:7" hidden="1">
      <c r="A38" s="3266" t="s">
        <v>1134</v>
      </c>
      <c r="B38" s="3267"/>
      <c r="C38" s="3267"/>
      <c r="D38" s="3268"/>
      <c r="E38" s="3264"/>
      <c r="F38" s="3264"/>
      <c r="G38" s="32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7" t="s">
        <v>2518</v>
      </c>
      <c r="C1" s="1633" t="s">
        <v>2519</v>
      </c>
      <c r="D1" s="1620"/>
      <c r="E1" s="2578"/>
      <c r="F1" s="2579" t="s">
        <v>2520</v>
      </c>
      <c r="G1" s="1630" t="s">
        <v>2521</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2523</v>
      </c>
      <c r="D3" s="399">
        <f>IF(D1="",'数据-汇总表'!E3,SUMIF('数据-汇总表'!$C19:$C33,D1,'数据-汇总表'!$E19:$E33))</f>
        <v>2661.36</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1" t="s">
        <v>2524</v>
      </c>
      <c r="B4" s="402"/>
      <c r="C4" s="3211" t="s">
        <v>2525</v>
      </c>
      <c r="D4" s="3212"/>
      <c r="E4" s="3213" t="s">
        <v>2526</v>
      </c>
      <c r="F4" s="3214"/>
      <c r="G4" s="3211" t="s">
        <v>2527</v>
      </c>
      <c r="H4" s="3212"/>
      <c r="I4" s="3211" t="s">
        <v>2528</v>
      </c>
      <c r="J4" s="3212"/>
      <c r="K4" s="2591" t="s">
        <v>2529</v>
      </c>
      <c r="L4" s="1129"/>
      <c r="M4" s="1130"/>
      <c r="N4" s="1130"/>
      <c r="O4" s="1130"/>
      <c r="P4" s="3215" t="s">
        <v>2530</v>
      </c>
      <c r="Q4" s="3216"/>
      <c r="R4" s="3198" t="s">
        <v>2526</v>
      </c>
      <c r="S4" s="3199"/>
      <c r="T4" s="3198" t="s">
        <v>2527</v>
      </c>
      <c r="U4" s="3199"/>
      <c r="V4" s="3195" t="s">
        <v>2528</v>
      </c>
      <c r="W4" s="3195"/>
      <c r="X4" s="1811"/>
      <c r="Y4" s="3198" t="s">
        <v>2530</v>
      </c>
      <c r="Z4" s="3199"/>
      <c r="AA4" s="3192" t="s">
        <v>2526</v>
      </c>
      <c r="AB4" s="3192" t="s">
        <v>2527</v>
      </c>
      <c r="AC4" s="3192" t="s">
        <v>2528</v>
      </c>
    </row>
    <row r="5" spans="1:29" ht="15">
      <c r="A5" s="404"/>
      <c r="B5" s="405"/>
      <c r="C5" s="3270" t="s">
        <v>2531</v>
      </c>
      <c r="D5" s="3205"/>
      <c r="E5" s="3269" t="s">
        <v>2532</v>
      </c>
      <c r="F5" s="3203"/>
      <c r="G5" s="3270" t="s">
        <v>2533</v>
      </c>
      <c r="H5" s="3205"/>
      <c r="I5" s="3270" t="s">
        <v>2534</v>
      </c>
      <c r="J5" s="3205"/>
      <c r="K5" s="2592"/>
      <c r="L5" s="1129"/>
      <c r="M5" s="1130"/>
      <c r="N5" s="1130"/>
      <c r="O5" s="1130"/>
      <c r="P5" s="3217"/>
      <c r="Q5" s="3218"/>
      <c r="R5" s="3200"/>
      <c r="S5" s="3201"/>
      <c r="T5" s="3200"/>
      <c r="U5" s="3201"/>
      <c r="V5" s="3195"/>
      <c r="W5" s="3195"/>
      <c r="X5" s="1811"/>
      <c r="Y5" s="3200"/>
      <c r="Z5" s="3201"/>
      <c r="AA5" s="3193"/>
      <c r="AB5" s="3193"/>
      <c r="AC5" s="3193"/>
    </row>
    <row r="6" spans="1:29" ht="15.75" thickBot="1">
      <c r="A6" s="406"/>
      <c r="B6" s="407"/>
      <c r="C6" s="3206" t="s">
        <v>2535</v>
      </c>
      <c r="D6" s="3207"/>
      <c r="E6" s="3208" t="s">
        <v>2535</v>
      </c>
      <c r="F6" s="3209"/>
      <c r="G6" s="3206" t="s">
        <v>2535</v>
      </c>
      <c r="H6" s="3207"/>
      <c r="I6" s="3206" t="s">
        <v>2535</v>
      </c>
      <c r="J6" s="3207"/>
      <c r="K6" s="2592" t="s">
        <v>2536</v>
      </c>
      <c r="L6" s="1129"/>
      <c r="M6" s="1130"/>
      <c r="N6" s="1130"/>
      <c r="O6" s="1130"/>
      <c r="P6" s="3219"/>
      <c r="Q6" s="3220"/>
      <c r="R6" s="3200"/>
      <c r="S6" s="3201"/>
      <c r="T6" s="3221"/>
      <c r="U6" s="3222"/>
      <c r="V6" s="3195"/>
      <c r="W6" s="3195"/>
      <c r="X6" s="1811"/>
      <c r="Y6" s="3221"/>
      <c r="Z6" s="3222"/>
      <c r="AA6" s="3194"/>
      <c r="AB6" s="3194"/>
      <c r="AC6" s="3194"/>
    </row>
    <row r="7" spans="1:29" s="117" customFormat="1" ht="15.75" thickBot="1">
      <c r="A7" s="408" t="s">
        <v>2537</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196" t="s">
        <v>2538</v>
      </c>
      <c r="Q7" s="3223"/>
      <c r="R7" s="769" t="s">
        <v>23</v>
      </c>
      <c r="S7" s="770">
        <f t="shared" ref="S7:S15" si="0">F7</f>
        <v>0</v>
      </c>
      <c r="T7" s="769" t="s">
        <v>23</v>
      </c>
      <c r="U7" s="770">
        <f t="shared" ref="U7:U15" si="1">H7</f>
        <v>0</v>
      </c>
      <c r="V7" s="769" t="s">
        <v>23</v>
      </c>
      <c r="W7" s="770">
        <f t="shared" ref="W7:W15" si="2">J7</f>
        <v>0</v>
      </c>
      <c r="X7" s="771"/>
      <c r="Y7" s="3196" t="s">
        <v>2538</v>
      </c>
      <c r="Z7" s="3197"/>
      <c r="AA7" s="772" t="e">
        <f>D7/F7</f>
        <v>#DIV/0!</v>
      </c>
      <c r="AB7" s="772" t="e">
        <f>D7/H7</f>
        <v>#DIV/0!</v>
      </c>
      <c r="AC7" s="772" t="e">
        <f>D7/J7</f>
        <v>#DIV/0!</v>
      </c>
    </row>
    <row r="8" spans="1:29" s="117" customFormat="1" ht="15.75" thickBot="1">
      <c r="A8" s="408" t="s">
        <v>2539</v>
      </c>
      <c r="B8" s="409"/>
      <c r="C8" s="414" t="s">
        <v>2540</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196" t="s">
        <v>2541</v>
      </c>
      <c r="Q8" s="3197"/>
      <c r="R8" s="769" t="s">
        <v>23</v>
      </c>
      <c r="S8" s="770">
        <f t="shared" si="0"/>
        <v>0</v>
      </c>
      <c r="T8" s="769" t="s">
        <v>23</v>
      </c>
      <c r="U8" s="770">
        <f t="shared" si="1"/>
        <v>0</v>
      </c>
      <c r="V8" s="769" t="s">
        <v>23</v>
      </c>
      <c r="W8" s="770">
        <f t="shared" si="2"/>
        <v>0</v>
      </c>
      <c r="X8" s="771"/>
      <c r="Y8" s="3196" t="s">
        <v>2541</v>
      </c>
      <c r="Z8" s="3197"/>
      <c r="AA8" s="772" t="e">
        <f t="shared" ref="AA8:AA19" si="3">D8/F8</f>
        <v>#DIV/0!</v>
      </c>
      <c r="AB8" s="772" t="e">
        <f t="shared" ref="AB8:AB19" si="4">D8/H8</f>
        <v>#DIV/0!</v>
      </c>
      <c r="AC8" s="772"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10" t="s">
        <v>2544</v>
      </c>
      <c r="Q9" s="1793" t="str">
        <f t="shared" ref="Q9:Q15" si="6">B9</f>
        <v>用途</v>
      </c>
      <c r="R9" s="769" t="s">
        <v>17</v>
      </c>
      <c r="S9" s="770">
        <f t="shared" si="0"/>
        <v>100</v>
      </c>
      <c r="T9" s="769" t="s">
        <v>17</v>
      </c>
      <c r="U9" s="770">
        <f t="shared" si="1"/>
        <v>100</v>
      </c>
      <c r="V9" s="769" t="s">
        <v>17</v>
      </c>
      <c r="W9" s="770">
        <f t="shared" si="2"/>
        <v>100</v>
      </c>
      <c r="X9" s="771"/>
      <c r="Y9" s="3069"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0"/>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0"/>
      <c r="Q11" s="1793" t="str">
        <f t="shared" si="6"/>
        <v>容积率</v>
      </c>
      <c r="R11" s="769" t="s">
        <v>21</v>
      </c>
      <c r="S11" s="770" t="e">
        <f t="shared" si="0"/>
        <v>#N/A</v>
      </c>
      <c r="T11" s="769" t="s">
        <v>21</v>
      </c>
      <c r="U11" s="770" t="e">
        <f t="shared" si="1"/>
        <v>#N/A</v>
      </c>
      <c r="V11" s="769" t="s">
        <v>21</v>
      </c>
      <c r="W11" s="770" t="e">
        <f t="shared" si="2"/>
        <v>#N/A</v>
      </c>
      <c r="X11" s="771"/>
      <c r="Y11" s="3069"/>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10"/>
      <c r="Q12" s="1793">
        <f t="shared" si="6"/>
        <v>111</v>
      </c>
      <c r="R12" s="769" t="s">
        <v>21</v>
      </c>
      <c r="S12" s="770">
        <f t="shared" si="0"/>
        <v>100</v>
      </c>
      <c r="T12" s="769" t="s">
        <v>21</v>
      </c>
      <c r="U12" s="770">
        <f t="shared" si="1"/>
        <v>100</v>
      </c>
      <c r="V12" s="769" t="s">
        <v>21</v>
      </c>
      <c r="W12" s="770">
        <f t="shared" si="2"/>
        <v>100</v>
      </c>
      <c r="X12" s="771"/>
      <c r="Y12" s="3069"/>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10"/>
      <c r="Q13" s="1793">
        <f t="shared" si="6"/>
        <v>111</v>
      </c>
      <c r="R13" s="769" t="s">
        <v>21</v>
      </c>
      <c r="S13" s="770">
        <f t="shared" si="0"/>
        <v>100</v>
      </c>
      <c r="T13" s="769" t="s">
        <v>21</v>
      </c>
      <c r="U13" s="770">
        <f t="shared" si="1"/>
        <v>100</v>
      </c>
      <c r="V13" s="769" t="s">
        <v>21</v>
      </c>
      <c r="W13" s="770">
        <f t="shared" si="2"/>
        <v>100</v>
      </c>
      <c r="X13" s="771"/>
      <c r="Y13" s="3069"/>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10"/>
      <c r="Q14" s="1793">
        <f t="shared" si="6"/>
        <v>111</v>
      </c>
      <c r="R14" s="769" t="s">
        <v>21</v>
      </c>
      <c r="S14" s="770">
        <f t="shared" si="0"/>
        <v>100</v>
      </c>
      <c r="T14" s="769" t="s">
        <v>21</v>
      </c>
      <c r="U14" s="770">
        <f t="shared" si="1"/>
        <v>100</v>
      </c>
      <c r="V14" s="769" t="s">
        <v>21</v>
      </c>
      <c r="W14" s="770">
        <f t="shared" si="2"/>
        <v>100</v>
      </c>
      <c r="X14" s="771"/>
      <c r="Y14" s="3069"/>
      <c r="Z14" s="55">
        <f t="shared" si="7"/>
        <v>111</v>
      </c>
      <c r="AA14" s="772">
        <f t="shared" si="3"/>
        <v>1</v>
      </c>
      <c r="AB14" s="772">
        <f t="shared" si="4"/>
        <v>1</v>
      </c>
      <c r="AC14" s="772">
        <f t="shared" si="5"/>
        <v>1</v>
      </c>
    </row>
    <row r="15" spans="1:29" ht="15">
      <c r="A15" s="440" t="s">
        <v>2548</v>
      </c>
      <c r="B15" s="69" t="s">
        <v>2085</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24" t="s">
        <v>2549</v>
      </c>
      <c r="Q15" s="1808" t="str">
        <f t="shared" si="6"/>
        <v>居住社区成熟度</v>
      </c>
      <c r="R15" s="773" t="s">
        <v>21</v>
      </c>
      <c r="S15" s="774">
        <f t="shared" si="0"/>
        <v>100</v>
      </c>
      <c r="T15" s="773" t="s">
        <v>21</v>
      </c>
      <c r="U15" s="774">
        <f t="shared" si="1"/>
        <v>100</v>
      </c>
      <c r="V15" s="773" t="s">
        <v>21</v>
      </c>
      <c r="W15" s="774">
        <f t="shared" si="2"/>
        <v>100</v>
      </c>
      <c r="X15" s="1811"/>
      <c r="Y15" s="3226" t="s">
        <v>2549</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25"/>
      <c r="Q16" s="1808"/>
      <c r="R16" s="773"/>
      <c r="S16" s="774"/>
      <c r="T16" s="773"/>
      <c r="U16" s="774"/>
      <c r="V16" s="773"/>
      <c r="W16" s="774"/>
      <c r="X16" s="1811"/>
      <c r="Y16" s="3227"/>
      <c r="Z16" s="1812"/>
      <c r="AA16" s="1809">
        <v>1</v>
      </c>
      <c r="AB16" s="1809">
        <v>1</v>
      </c>
      <c r="AC16" s="1809">
        <v>1</v>
      </c>
    </row>
    <row r="17" spans="1:29" ht="128.25">
      <c r="A17" s="428"/>
      <c r="B17" s="451" t="s">
        <v>2091</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25"/>
      <c r="Q17" s="1808" t="str">
        <f>B17</f>
        <v>交通便捷度</v>
      </c>
      <c r="R17" s="773" t="s">
        <v>21</v>
      </c>
      <c r="S17" s="774">
        <f>F17</f>
        <v>100</v>
      </c>
      <c r="T17" s="773" t="s">
        <v>21</v>
      </c>
      <c r="U17" s="774">
        <f>H17</f>
        <v>100</v>
      </c>
      <c r="V17" s="773" t="s">
        <v>21</v>
      </c>
      <c r="W17" s="774">
        <f>J17</f>
        <v>100</v>
      </c>
      <c r="X17" s="1811"/>
      <c r="Y17" s="3227"/>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25"/>
      <c r="Q18" s="1808"/>
      <c r="R18" s="773"/>
      <c r="S18" s="774"/>
      <c r="T18" s="773"/>
      <c r="U18" s="774"/>
      <c r="V18" s="773"/>
      <c r="W18" s="774"/>
      <c r="X18" s="1811"/>
      <c r="Y18" s="3227"/>
      <c r="Z18" s="1812"/>
      <c r="AA18" s="1809">
        <v>1</v>
      </c>
      <c r="AB18" s="1809">
        <v>1</v>
      </c>
      <c r="AC18" s="1809">
        <v>1</v>
      </c>
    </row>
    <row r="19" spans="1:29" ht="114">
      <c r="A19" s="428"/>
      <c r="B19" s="451" t="s">
        <v>2090</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25"/>
      <c r="Q19" s="1808" t="str">
        <f>B19</f>
        <v>公共配套设施</v>
      </c>
      <c r="R19" s="773" t="s">
        <v>21</v>
      </c>
      <c r="S19" s="774">
        <f>F19</f>
        <v>100</v>
      </c>
      <c r="T19" s="773" t="s">
        <v>21</v>
      </c>
      <c r="U19" s="774">
        <f>H19</f>
        <v>100</v>
      </c>
      <c r="V19" s="773" t="s">
        <v>21</v>
      </c>
      <c r="W19" s="774">
        <f>J19</f>
        <v>100</v>
      </c>
      <c r="X19" s="1811"/>
      <c r="Y19" s="3227"/>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25"/>
      <c r="Q20" s="1808"/>
      <c r="R20" s="773"/>
      <c r="S20" s="774"/>
      <c r="T20" s="773"/>
      <c r="U20" s="774"/>
      <c r="V20" s="773"/>
      <c r="W20" s="774"/>
      <c r="X20" s="1811"/>
      <c r="Y20" s="3227"/>
      <c r="Z20" s="1812"/>
      <c r="AA20" s="1809">
        <v>1</v>
      </c>
      <c r="AB20" s="1809">
        <v>1</v>
      </c>
      <c r="AC20" s="1809">
        <v>1</v>
      </c>
    </row>
    <row r="21" spans="1:29" ht="15">
      <c r="A21" s="428"/>
      <c r="B21" s="1383" t="s">
        <v>2092</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25"/>
      <c r="Q21" s="1808" t="str">
        <f>B21</f>
        <v>基础设施水平</v>
      </c>
      <c r="R21" s="773" t="s">
        <v>17</v>
      </c>
      <c r="S21" s="774">
        <f>F21</f>
        <v>100</v>
      </c>
      <c r="T21" s="773" t="s">
        <v>17</v>
      </c>
      <c r="U21" s="774">
        <f>H21</f>
        <v>100</v>
      </c>
      <c r="V21" s="773" t="s">
        <v>17</v>
      </c>
      <c r="W21" s="774">
        <f>J21</f>
        <v>100</v>
      </c>
      <c r="X21" s="1811"/>
      <c r="Y21" s="3227"/>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8"/>
      <c r="G22" s="2606"/>
      <c r="H22" s="448"/>
      <c r="I22" s="447"/>
      <c r="J22" s="448"/>
      <c r="K22" s="2607"/>
      <c r="L22" s="1139"/>
      <c r="M22" s="1130"/>
      <c r="N22" s="1130"/>
      <c r="O22" s="1130"/>
      <c r="P22" s="3225"/>
      <c r="Q22" s="1808"/>
      <c r="R22" s="773"/>
      <c r="S22" s="774"/>
      <c r="T22" s="773"/>
      <c r="U22" s="774"/>
      <c r="V22" s="773"/>
      <c r="W22" s="774"/>
      <c r="X22" s="1811"/>
      <c r="Y22" s="3227"/>
      <c r="Z22" s="1812"/>
      <c r="AA22" s="1809">
        <v>1</v>
      </c>
      <c r="AB22" s="1809">
        <v>1</v>
      </c>
      <c r="AC22" s="1809">
        <v>1</v>
      </c>
    </row>
    <row r="23" spans="1:29" ht="42.75">
      <c r="A23" s="428"/>
      <c r="B23" s="451" t="s">
        <v>2094</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25"/>
      <c r="Q23" s="1808" t="str">
        <f>B23</f>
        <v>自然及人文环境</v>
      </c>
      <c r="R23" s="773" t="s">
        <v>21</v>
      </c>
      <c r="S23" s="774">
        <f>F23</f>
        <v>100</v>
      </c>
      <c r="T23" s="773" t="s">
        <v>21</v>
      </c>
      <c r="U23" s="774">
        <f>H23</f>
        <v>100</v>
      </c>
      <c r="V23" s="773" t="s">
        <v>21</v>
      </c>
      <c r="W23" s="774">
        <f>J23</f>
        <v>100</v>
      </c>
      <c r="X23" s="1811"/>
      <c r="Y23" s="3227"/>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25"/>
      <c r="Q24" s="1808"/>
      <c r="R24" s="773"/>
      <c r="S24" s="774"/>
      <c r="T24" s="773"/>
      <c r="U24" s="774"/>
      <c r="V24" s="773"/>
      <c r="W24" s="774"/>
      <c r="X24" s="1811"/>
      <c r="Y24" s="3227"/>
      <c r="Z24" s="1812"/>
      <c r="AA24" s="1809">
        <v>1</v>
      </c>
      <c r="AB24" s="1809">
        <v>1</v>
      </c>
      <c r="AC24" s="1809">
        <v>1</v>
      </c>
    </row>
    <row r="25" spans="1:29" ht="15">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25"/>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7"/>
      <c r="Z25" s="1812" t="str">
        <f>Q25</f>
        <v>楼层-1</v>
      </c>
      <c r="AA25" s="1809">
        <f t="shared" ref="AA25:AA46" si="15">D25/F25</f>
        <v>1</v>
      </c>
      <c r="AB25" s="1809">
        <f t="shared" ref="AB25:AB46" si="16">D25/H25</f>
        <v>1</v>
      </c>
      <c r="AC25" s="1809">
        <f t="shared" ref="AC25:AC46" si="17">D25/J25</f>
        <v>1</v>
      </c>
    </row>
    <row r="26" spans="1:29" ht="15">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25"/>
      <c r="Q26" s="1808" t="str">
        <f t="shared" si="11"/>
        <v>朝向</v>
      </c>
      <c r="R26" s="773" t="s">
        <v>21</v>
      </c>
      <c r="S26" s="774">
        <f t="shared" si="12"/>
        <v>100</v>
      </c>
      <c r="T26" s="773" t="s">
        <v>21</v>
      </c>
      <c r="U26" s="774">
        <f t="shared" si="13"/>
        <v>100</v>
      </c>
      <c r="V26" s="773" t="s">
        <v>21</v>
      </c>
      <c r="W26" s="774">
        <f t="shared" si="14"/>
        <v>100</v>
      </c>
      <c r="X26" s="1811"/>
      <c r="Y26" s="3227"/>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25"/>
      <c r="Q27" s="1793">
        <f t="shared" si="11"/>
        <v>111</v>
      </c>
      <c r="R27" s="769" t="s">
        <v>21</v>
      </c>
      <c r="S27" s="770">
        <f t="shared" si="12"/>
        <v>100</v>
      </c>
      <c r="T27" s="769" t="s">
        <v>21</v>
      </c>
      <c r="U27" s="770">
        <f t="shared" si="13"/>
        <v>100</v>
      </c>
      <c r="V27" s="769" t="s">
        <v>21</v>
      </c>
      <c r="W27" s="770">
        <f t="shared" si="14"/>
        <v>100</v>
      </c>
      <c r="X27" s="771"/>
      <c r="Y27" s="3227"/>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25"/>
      <c r="Q28" s="1808">
        <f t="shared" si="11"/>
        <v>111</v>
      </c>
      <c r="R28" s="773" t="s">
        <v>21</v>
      </c>
      <c r="S28" s="774">
        <f t="shared" si="12"/>
        <v>100</v>
      </c>
      <c r="T28" s="773" t="s">
        <v>21</v>
      </c>
      <c r="U28" s="774">
        <f t="shared" si="13"/>
        <v>100</v>
      </c>
      <c r="V28" s="773" t="s">
        <v>21</v>
      </c>
      <c r="W28" s="774">
        <f t="shared" si="14"/>
        <v>100</v>
      </c>
      <c r="X28" s="1811"/>
      <c r="Y28" s="3227"/>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25"/>
      <c r="Q29" s="1808">
        <f t="shared" si="11"/>
        <v>111</v>
      </c>
      <c r="R29" s="773" t="s">
        <v>21</v>
      </c>
      <c r="S29" s="774">
        <f t="shared" si="12"/>
        <v>100</v>
      </c>
      <c r="T29" s="773" t="s">
        <v>21</v>
      </c>
      <c r="U29" s="774">
        <f t="shared" si="13"/>
        <v>100</v>
      </c>
      <c r="V29" s="773" t="s">
        <v>21</v>
      </c>
      <c r="W29" s="774">
        <f t="shared" si="14"/>
        <v>100</v>
      </c>
      <c r="X29" s="1811"/>
      <c r="Y29" s="3227"/>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25"/>
      <c r="Q30" s="1808">
        <f t="shared" si="11"/>
        <v>111</v>
      </c>
      <c r="R30" s="773" t="s">
        <v>21</v>
      </c>
      <c r="S30" s="774">
        <f t="shared" si="12"/>
        <v>100</v>
      </c>
      <c r="T30" s="773" t="s">
        <v>21</v>
      </c>
      <c r="U30" s="774">
        <f t="shared" si="13"/>
        <v>100</v>
      </c>
      <c r="V30" s="773" t="s">
        <v>21</v>
      </c>
      <c r="W30" s="774">
        <f t="shared" si="14"/>
        <v>100</v>
      </c>
      <c r="X30" s="1811"/>
      <c r="Y30" s="3227"/>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25"/>
      <c r="Q31" s="1808">
        <f t="shared" si="11"/>
        <v>111</v>
      </c>
      <c r="R31" s="773" t="s">
        <v>21</v>
      </c>
      <c r="S31" s="774">
        <f t="shared" si="12"/>
        <v>100</v>
      </c>
      <c r="T31" s="773" t="s">
        <v>21</v>
      </c>
      <c r="U31" s="774">
        <f t="shared" si="13"/>
        <v>100</v>
      </c>
      <c r="V31" s="773" t="s">
        <v>21</v>
      </c>
      <c r="W31" s="774">
        <f t="shared" si="14"/>
        <v>100</v>
      </c>
      <c r="X31" s="1811"/>
      <c r="Y31" s="3227"/>
      <c r="Z31" s="1812">
        <f t="shared" si="18"/>
        <v>111</v>
      </c>
      <c r="AA31" s="1809">
        <f t="shared" si="15"/>
        <v>1</v>
      </c>
      <c r="AB31" s="1809">
        <f t="shared" si="16"/>
        <v>1</v>
      </c>
      <c r="AC31" s="1809">
        <f t="shared" si="17"/>
        <v>1</v>
      </c>
    </row>
    <row r="32" spans="1:29" ht="15">
      <c r="A32" s="440" t="s">
        <v>2552</v>
      </c>
      <c r="B32" s="71" t="s">
        <v>2553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28" t="s">
        <v>2554</v>
      </c>
      <c r="Q32" s="1808" t="str">
        <f t="shared" si="11"/>
        <v>建筑类型</v>
      </c>
      <c r="R32" s="773" t="s">
        <v>21</v>
      </c>
      <c r="S32" s="774">
        <f t="shared" si="12"/>
        <v>100</v>
      </c>
      <c r="T32" s="773" t="s">
        <v>21</v>
      </c>
      <c r="U32" s="774">
        <f t="shared" si="13"/>
        <v>100</v>
      </c>
      <c r="V32" s="773" t="s">
        <v>21</v>
      </c>
      <c r="W32" s="774">
        <f t="shared" si="14"/>
        <v>100</v>
      </c>
      <c r="X32" s="1811"/>
      <c r="Y32" s="3231" t="s">
        <v>2554</v>
      </c>
      <c r="Z32" s="1812" t="str">
        <f t="shared" si="18"/>
        <v>建筑类型</v>
      </c>
      <c r="AA32" s="1809">
        <f t="shared" si="15"/>
        <v>1</v>
      </c>
      <c r="AB32" s="1809">
        <f t="shared" si="16"/>
        <v>1</v>
      </c>
      <c r="AC32" s="1809">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29"/>
      <c r="Q33" s="775" t="str">
        <f t="shared" si="11"/>
        <v>项目建筑规模</v>
      </c>
      <c r="R33" s="776" t="s">
        <v>21</v>
      </c>
      <c r="S33" s="777" t="e">
        <f t="shared" si="12"/>
        <v>#N/A</v>
      </c>
      <c r="T33" s="776" t="s">
        <v>21</v>
      </c>
      <c r="U33" s="777" t="e">
        <f t="shared" si="13"/>
        <v>#N/A</v>
      </c>
      <c r="V33" s="776" t="s">
        <v>21</v>
      </c>
      <c r="W33" s="777" t="e">
        <f t="shared" si="14"/>
        <v>#N/A</v>
      </c>
      <c r="X33" s="778"/>
      <c r="Y33" s="3231"/>
      <c r="Z33" s="779" t="str">
        <f t="shared" si="18"/>
        <v>项目建筑规模</v>
      </c>
      <c r="AA33" s="1809" t="e">
        <f t="shared" si="15"/>
        <v>#N/A</v>
      </c>
      <c r="AB33" s="1809" t="e">
        <f t="shared" si="16"/>
        <v>#N/A</v>
      </c>
      <c r="AC33" s="1809" t="e">
        <f t="shared" si="17"/>
        <v>#N/A</v>
      </c>
    </row>
    <row r="34" spans="1:29" ht="15">
      <c r="A34" s="472"/>
      <c r="B34" s="422" t="s">
        <v>2556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29"/>
      <c r="Q34" s="1808" t="str">
        <f t="shared" si="11"/>
        <v>建筑结构</v>
      </c>
      <c r="R34" s="773" t="s">
        <v>21</v>
      </c>
      <c r="S34" s="774">
        <f t="shared" si="12"/>
        <v>100</v>
      </c>
      <c r="T34" s="773" t="s">
        <v>21</v>
      </c>
      <c r="U34" s="774">
        <f t="shared" si="13"/>
        <v>100</v>
      </c>
      <c r="V34" s="773" t="s">
        <v>21</v>
      </c>
      <c r="W34" s="774">
        <f t="shared" si="14"/>
        <v>100</v>
      </c>
      <c r="X34" s="1811"/>
      <c r="Y34" s="3231"/>
      <c r="Z34" s="1812" t="str">
        <f t="shared" si="18"/>
        <v>建筑结构</v>
      </c>
      <c r="AA34" s="1809">
        <f t="shared" si="15"/>
        <v>1</v>
      </c>
      <c r="AB34" s="1809">
        <f t="shared" si="16"/>
        <v>1</v>
      </c>
      <c r="AC34" s="1809">
        <f t="shared" si="17"/>
        <v>1</v>
      </c>
    </row>
    <row r="35" spans="1:29" ht="15">
      <c r="A35" s="472"/>
      <c r="B35" s="422" t="s">
        <v>2557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29"/>
      <c r="Q35" s="1808" t="str">
        <f t="shared" si="11"/>
        <v>建筑品质</v>
      </c>
      <c r="R35" s="773" t="s">
        <v>21</v>
      </c>
      <c r="S35" s="774">
        <f t="shared" si="12"/>
        <v>100</v>
      </c>
      <c r="T35" s="773" t="s">
        <v>21</v>
      </c>
      <c r="U35" s="774">
        <f t="shared" si="13"/>
        <v>100</v>
      </c>
      <c r="V35" s="773" t="s">
        <v>21</v>
      </c>
      <c r="W35" s="774">
        <f t="shared" si="14"/>
        <v>100</v>
      </c>
      <c r="X35" s="1811"/>
      <c r="Y35" s="3231"/>
      <c r="Z35" s="1812" t="str">
        <f t="shared" si="18"/>
        <v>建筑品质</v>
      </c>
      <c r="AA35" s="1809">
        <f t="shared" si="15"/>
        <v>1</v>
      </c>
      <c r="AB35" s="1809">
        <f t="shared" si="16"/>
        <v>1</v>
      </c>
      <c r="AC35" s="1809">
        <f t="shared" si="17"/>
        <v>1</v>
      </c>
    </row>
    <row r="36" spans="1:29" ht="15">
      <c r="A36" s="472"/>
      <c r="B36" s="422" t="s">
        <v>2558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29"/>
      <c r="Q36" s="1808" t="str">
        <f t="shared" si="11"/>
        <v>公共部分装修</v>
      </c>
      <c r="R36" s="773" t="s">
        <v>21</v>
      </c>
      <c r="S36" s="774">
        <f t="shared" si="12"/>
        <v>100</v>
      </c>
      <c r="T36" s="773" t="s">
        <v>21</v>
      </c>
      <c r="U36" s="774">
        <f t="shared" si="13"/>
        <v>100</v>
      </c>
      <c r="V36" s="773" t="s">
        <v>21</v>
      </c>
      <c r="W36" s="774">
        <f t="shared" si="14"/>
        <v>100</v>
      </c>
      <c r="X36" s="1811"/>
      <c r="Y36" s="3231"/>
      <c r="Z36" s="1812" t="str">
        <f t="shared" si="18"/>
        <v>公共部分装修</v>
      </c>
      <c r="AA36" s="1809">
        <f t="shared" si="15"/>
        <v>1</v>
      </c>
      <c r="AB36" s="1809">
        <f t="shared" si="16"/>
        <v>1</v>
      </c>
      <c r="AC36" s="1809">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29"/>
      <c r="Q37" s="1793" t="str">
        <f t="shared" si="11"/>
        <v>成新度</v>
      </c>
      <c r="R37" s="769" t="s">
        <v>21</v>
      </c>
      <c r="S37" s="770" t="e">
        <f t="shared" si="12"/>
        <v>#N/A</v>
      </c>
      <c r="T37" s="769" t="s">
        <v>21</v>
      </c>
      <c r="U37" s="770" t="e">
        <f t="shared" si="13"/>
        <v>#N/A</v>
      </c>
      <c r="V37" s="769" t="s">
        <v>21</v>
      </c>
      <c r="W37" s="770" t="e">
        <f t="shared" si="14"/>
        <v>#N/A</v>
      </c>
      <c r="X37" s="771"/>
      <c r="Y37" s="3231"/>
      <c r="Z37" s="55" t="str">
        <f t="shared" si="18"/>
        <v>成新度</v>
      </c>
      <c r="AA37" s="772" t="e">
        <f t="shared" si="15"/>
        <v>#N/A</v>
      </c>
      <c r="AB37" s="772" t="e">
        <f t="shared" si="16"/>
        <v>#N/A</v>
      </c>
      <c r="AC37" s="772" t="e">
        <f t="shared" si="17"/>
        <v>#N/A</v>
      </c>
    </row>
    <row r="38" spans="1:29" ht="15">
      <c r="A38" s="472"/>
      <c r="B38" s="422" t="s">
        <v>2560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29" t="s">
        <v>2554</v>
      </c>
      <c r="Q38" s="1808" t="str">
        <f t="shared" si="11"/>
        <v>物业管理</v>
      </c>
      <c r="R38" s="773" t="s">
        <v>21</v>
      </c>
      <c r="S38" s="774">
        <f t="shared" si="12"/>
        <v>100</v>
      </c>
      <c r="T38" s="773" t="s">
        <v>21</v>
      </c>
      <c r="U38" s="774">
        <f t="shared" si="13"/>
        <v>100</v>
      </c>
      <c r="V38" s="773" t="s">
        <v>21</v>
      </c>
      <c r="W38" s="774">
        <f t="shared" si="14"/>
        <v>100</v>
      </c>
      <c r="X38" s="1811"/>
      <c r="Y38" s="3231" t="s">
        <v>2554</v>
      </c>
      <c r="Z38" s="1812" t="str">
        <f t="shared" si="18"/>
        <v>物业管理</v>
      </c>
      <c r="AA38" s="1809">
        <f t="shared" si="15"/>
        <v>1</v>
      </c>
      <c r="AB38" s="1809">
        <f t="shared" si="16"/>
        <v>1</v>
      </c>
      <c r="AC38" s="1809">
        <f t="shared" si="17"/>
        <v>1</v>
      </c>
    </row>
    <row r="39" spans="1:29" ht="15">
      <c r="A39" s="472"/>
      <c r="B39" s="422" t="s">
        <v>2561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29"/>
      <c r="Q39" s="1808" t="str">
        <f t="shared" si="11"/>
        <v>市政基础设施</v>
      </c>
      <c r="R39" s="773" t="s">
        <v>21</v>
      </c>
      <c r="S39" s="774">
        <f t="shared" si="12"/>
        <v>100</v>
      </c>
      <c r="T39" s="773" t="s">
        <v>21</v>
      </c>
      <c r="U39" s="774">
        <f t="shared" si="13"/>
        <v>100</v>
      </c>
      <c r="V39" s="773" t="s">
        <v>21</v>
      </c>
      <c r="W39" s="774">
        <f t="shared" si="14"/>
        <v>100</v>
      </c>
      <c r="X39" s="1811"/>
      <c r="Y39" s="3231"/>
      <c r="Z39" s="1812" t="str">
        <f t="shared" si="18"/>
        <v>市政基础设施</v>
      </c>
      <c r="AA39" s="1809">
        <f t="shared" si="15"/>
        <v>1</v>
      </c>
      <c r="AB39" s="1809">
        <f t="shared" si="16"/>
        <v>1</v>
      </c>
      <c r="AC39" s="1809">
        <f t="shared" si="17"/>
        <v>1</v>
      </c>
    </row>
    <row r="40" spans="1:29" ht="15">
      <c r="A40" s="472"/>
      <c r="B40" s="422" t="s">
        <v>2562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29"/>
      <c r="Q40" s="1808" t="str">
        <f t="shared" si="11"/>
        <v>房型</v>
      </c>
      <c r="R40" s="773" t="s">
        <v>21</v>
      </c>
      <c r="S40" s="774">
        <f t="shared" si="12"/>
        <v>100</v>
      </c>
      <c r="T40" s="773" t="s">
        <v>21</v>
      </c>
      <c r="U40" s="774">
        <f t="shared" si="13"/>
        <v>100</v>
      </c>
      <c r="V40" s="773" t="s">
        <v>21</v>
      </c>
      <c r="W40" s="774">
        <f t="shared" si="14"/>
        <v>100</v>
      </c>
      <c r="X40" s="1811"/>
      <c r="Y40" s="3231"/>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29"/>
      <c r="Q41" s="775" t="str">
        <f t="shared" si="11"/>
        <v>单套/主力户型建筑面积</v>
      </c>
      <c r="R41" s="776" t="s">
        <v>21</v>
      </c>
      <c r="S41" s="777">
        <f t="shared" si="12"/>
        <v>100</v>
      </c>
      <c r="T41" s="776" t="s">
        <v>21</v>
      </c>
      <c r="U41" s="777">
        <f t="shared" si="13"/>
        <v>100</v>
      </c>
      <c r="V41" s="776" t="s">
        <v>21</v>
      </c>
      <c r="W41" s="777">
        <f t="shared" si="14"/>
        <v>100</v>
      </c>
      <c r="X41" s="778"/>
      <c r="Y41" s="3231"/>
      <c r="Z41" s="779" t="str">
        <f t="shared" si="18"/>
        <v>单套/主力户型建筑面积</v>
      </c>
      <c r="AA41" s="1809">
        <f t="shared" si="15"/>
        <v>1</v>
      </c>
      <c r="AB41" s="1809">
        <f t="shared" si="16"/>
        <v>1</v>
      </c>
      <c r="AC41" s="1809">
        <f t="shared" si="17"/>
        <v>1</v>
      </c>
    </row>
    <row r="42" spans="1:29" ht="15">
      <c r="A42" s="472"/>
      <c r="B42" s="422" t="s">
        <v>2564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29"/>
      <c r="Q42" s="1808" t="str">
        <f t="shared" si="11"/>
        <v>内部装修</v>
      </c>
      <c r="R42" s="773" t="s">
        <v>21</v>
      </c>
      <c r="S42" s="774">
        <f t="shared" si="12"/>
        <v>100</v>
      </c>
      <c r="T42" s="773" t="s">
        <v>21</v>
      </c>
      <c r="U42" s="774">
        <f t="shared" si="13"/>
        <v>100</v>
      </c>
      <c r="V42" s="773" t="s">
        <v>21</v>
      </c>
      <c r="W42" s="774">
        <f t="shared" si="14"/>
        <v>100</v>
      </c>
      <c r="X42" s="1811"/>
      <c r="Y42" s="3231"/>
      <c r="Z42" s="1812" t="str">
        <f t="shared" si="18"/>
        <v>内部装修</v>
      </c>
      <c r="AA42" s="1809">
        <f t="shared" si="15"/>
        <v>1</v>
      </c>
      <c r="AB42" s="1809">
        <f t="shared" si="16"/>
        <v>1</v>
      </c>
      <c r="AC42" s="1809">
        <f t="shared" si="17"/>
        <v>1</v>
      </c>
    </row>
    <row r="43" spans="1:29" ht="15">
      <c r="A43" s="472"/>
      <c r="B43" s="422" t="s">
        <v>2565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29"/>
      <c r="Q43" s="1808" t="str">
        <f t="shared" si="11"/>
        <v>内部装修维护情况</v>
      </c>
      <c r="R43" s="773" t="s">
        <v>21</v>
      </c>
      <c r="S43" s="774">
        <f t="shared" si="12"/>
        <v>100</v>
      </c>
      <c r="T43" s="773" t="s">
        <v>21</v>
      </c>
      <c r="U43" s="774">
        <f t="shared" si="13"/>
        <v>100</v>
      </c>
      <c r="V43" s="773" t="s">
        <v>21</v>
      </c>
      <c r="W43" s="774">
        <f t="shared" si="14"/>
        <v>100</v>
      </c>
      <c r="X43" s="1811"/>
      <c r="Y43" s="3231"/>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29"/>
      <c r="Q44" s="1793">
        <f t="shared" si="11"/>
        <v>111</v>
      </c>
      <c r="R44" s="769" t="s">
        <v>21</v>
      </c>
      <c r="S44" s="770">
        <f t="shared" si="12"/>
        <v>100</v>
      </c>
      <c r="T44" s="769" t="s">
        <v>21</v>
      </c>
      <c r="U44" s="770">
        <f t="shared" si="13"/>
        <v>100</v>
      </c>
      <c r="V44" s="769" t="s">
        <v>21</v>
      </c>
      <c r="W44" s="770">
        <f t="shared" si="14"/>
        <v>100</v>
      </c>
      <c r="X44" s="771"/>
      <c r="Y44" s="3231"/>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29"/>
      <c r="Q45" s="1808">
        <f t="shared" si="11"/>
        <v>111</v>
      </c>
      <c r="R45" s="773" t="s">
        <v>21</v>
      </c>
      <c r="S45" s="774">
        <f t="shared" si="12"/>
        <v>100</v>
      </c>
      <c r="T45" s="773" t="s">
        <v>21</v>
      </c>
      <c r="U45" s="774">
        <f t="shared" si="13"/>
        <v>100</v>
      </c>
      <c r="V45" s="773" t="s">
        <v>21</v>
      </c>
      <c r="W45" s="774">
        <f t="shared" si="14"/>
        <v>100</v>
      </c>
      <c r="X45" s="1811"/>
      <c r="Y45" s="3231"/>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30"/>
      <c r="Q46" s="1808">
        <f t="shared" si="11"/>
        <v>111</v>
      </c>
      <c r="R46" s="773" t="s">
        <v>20</v>
      </c>
      <c r="S46" s="774">
        <f t="shared" si="12"/>
        <v>100</v>
      </c>
      <c r="T46" s="773" t="s">
        <v>20</v>
      </c>
      <c r="U46" s="774">
        <f t="shared" si="13"/>
        <v>100</v>
      </c>
      <c r="V46" s="773" t="s">
        <v>20</v>
      </c>
      <c r="W46" s="774">
        <f t="shared" si="14"/>
        <v>100</v>
      </c>
      <c r="X46" s="1811"/>
      <c r="Y46" s="3232"/>
      <c r="Z46" s="1812">
        <f t="shared" si="18"/>
        <v>111</v>
      </c>
      <c r="AA46" s="1809">
        <f t="shared" si="15"/>
        <v>1</v>
      </c>
      <c r="AB46" s="1809">
        <f t="shared" si="16"/>
        <v>1</v>
      </c>
      <c r="AC46" s="1809">
        <f t="shared" si="17"/>
        <v>1</v>
      </c>
    </row>
    <row r="47" spans="1:29" ht="15">
      <c r="A47" s="479" t="s">
        <v>2566</v>
      </c>
      <c r="B47" s="480"/>
      <c r="C47" s="1406" t="s">
        <v>19</v>
      </c>
      <c r="D47" s="1407"/>
      <c r="E47" s="1408"/>
      <c r="F47" s="1409"/>
      <c r="G47" s="1410"/>
      <c r="H47" s="1411"/>
      <c r="I47" s="1408"/>
      <c r="J47" s="1411"/>
      <c r="K47" s="2616"/>
      <c r="L47" s="1142"/>
      <c r="M47" s="1143"/>
      <c r="N47" s="1130"/>
      <c r="O47" s="1143"/>
      <c r="P47" s="3233" t="str">
        <f>A47</f>
        <v>成交单价（元/平方米）</v>
      </c>
      <c r="Q47" s="3233"/>
      <c r="R47" s="3234">
        <f>E47</f>
        <v>0</v>
      </c>
      <c r="S47" s="3234"/>
      <c r="T47" s="3234">
        <f>G47</f>
        <v>0</v>
      </c>
      <c r="U47" s="3234"/>
      <c r="V47" s="3234">
        <f>I47</f>
        <v>0</v>
      </c>
      <c r="W47" s="3234"/>
      <c r="X47" s="758"/>
      <c r="Y47" s="780"/>
      <c r="Z47" s="758"/>
      <c r="AA47" s="758"/>
      <c r="AB47" s="758"/>
      <c r="AC47" s="758"/>
    </row>
    <row r="48" spans="1:29" ht="15.75" thickBot="1">
      <c r="A48" s="486" t="s">
        <v>2567</v>
      </c>
      <c r="B48" s="487"/>
      <c r="C48" s="1412" t="e">
        <f>R49</f>
        <v>#DIV/0!</v>
      </c>
      <c r="D48" s="1413"/>
      <c r="E48" s="1414" t="e">
        <f>R48</f>
        <v>#DIV/0!</v>
      </c>
      <c r="F48" s="1414"/>
      <c r="G48" s="1412" t="e">
        <f>T48</f>
        <v>#DIV/0!</v>
      </c>
      <c r="H48" s="1413"/>
      <c r="I48" s="1414" t="e">
        <f>V48</f>
        <v>#DIV/0!</v>
      </c>
      <c r="J48" s="1413"/>
      <c r="K48" s="2617"/>
      <c r="L48" s="1142"/>
      <c r="M48" s="1143"/>
      <c r="N48" s="1143"/>
      <c r="O48" s="1143"/>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8"/>
      <c r="Y48" s="758"/>
      <c r="Z48" s="758"/>
      <c r="AA48" s="758"/>
      <c r="AB48" s="758"/>
      <c r="AC48" s="758"/>
    </row>
    <row r="49" spans="1:29" ht="15.75" thickBot="1">
      <c r="A49" s="492" t="s">
        <v>2568</v>
      </c>
      <c r="B49" s="493"/>
      <c r="C49" s="1415" t="e">
        <f>R49</f>
        <v>#DIV/0!</v>
      </c>
      <c r="D49" s="1416"/>
      <c r="E49" s="1416"/>
      <c r="F49" s="1416"/>
      <c r="G49" s="1416"/>
      <c r="H49" s="1416"/>
      <c r="I49" s="1416"/>
      <c r="J49" s="1416"/>
      <c r="K49" s="2618"/>
      <c r="L49" s="1142"/>
      <c r="M49" s="1143"/>
      <c r="N49" s="1143"/>
      <c r="O49" s="1143"/>
      <c r="P49" s="3235" t="str">
        <f>A49</f>
        <v>估价对象XX用房的比较价值（楼面单价，元/平方米）</v>
      </c>
      <c r="Q49" s="3236"/>
      <c r="R49" s="3237" t="e">
        <f>IF(F1="售价",ROUND(AVERAGE(R48:V48),0),ROUND(AVERAGE(R48:V48),1))</f>
        <v>#DIV/0!</v>
      </c>
      <c r="S49" s="3237"/>
      <c r="T49" s="3237"/>
      <c r="U49" s="3237"/>
      <c r="V49" s="3237"/>
      <c r="W49" s="3237"/>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5"/>
      <c r="L56" s="1106"/>
      <c r="M56" s="1143"/>
      <c r="N56" s="1143"/>
      <c r="O56" s="1143"/>
    </row>
    <row r="57" spans="1:29" ht="21.75" thickBot="1">
      <c r="A57" s="762" t="s">
        <v>2572</v>
      </c>
      <c r="B57" s="758"/>
      <c r="C57" s="763"/>
      <c r="D57" s="763"/>
      <c r="E57" s="763"/>
      <c r="F57" s="764"/>
      <c r="G57" s="764"/>
      <c r="H57" s="763"/>
      <c r="I57" s="763"/>
      <c r="J57" s="763"/>
      <c r="K57" s="1159"/>
      <c r="L57" s="1160"/>
      <c r="M57" s="1158"/>
      <c r="N57" s="1158"/>
      <c r="O57" s="1158"/>
      <c r="P57" s="2621"/>
      <c r="Q57" s="504"/>
    </row>
    <row r="58" spans="1:29" s="508" customFormat="1" ht="15">
      <c r="A58" s="505" t="s">
        <v>2573</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2575</v>
      </c>
      <c r="B61" s="510"/>
      <c r="C61" s="522" t="s">
        <v>2576</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2092</v>
      </c>
      <c r="C82" s="539" t="s">
        <v>2593</v>
      </c>
      <c r="D82" s="539" t="s">
        <v>2594</v>
      </c>
      <c r="E82" s="539" t="s">
        <v>2595</v>
      </c>
      <c r="F82" s="539" t="s">
        <v>2596</v>
      </c>
      <c r="G82" s="539" t="s">
        <v>2597</v>
      </c>
      <c r="H82" s="539"/>
      <c r="I82" s="539"/>
      <c r="J82" s="539"/>
      <c r="K82" s="539"/>
      <c r="L82" s="539"/>
      <c r="M82" s="1381"/>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2599</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2600</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2552</v>
      </c>
      <c r="B100" s="528" t="s">
        <v>2601</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2604</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2605</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2606</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2607</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2608</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2611</v>
      </c>
    </row>
    <row r="137" spans="1:17" ht="15">
      <c r="B137" s="2633" t="s">
        <v>2612</v>
      </c>
      <c r="C137" s="2634"/>
      <c r="D137" s="2634"/>
      <c r="E137" s="2634"/>
      <c r="F137" s="2634"/>
      <c r="G137" s="2635"/>
      <c r="H137" s="2636"/>
      <c r="I137" s="2637" t="s">
        <v>2613</v>
      </c>
      <c r="J137" s="2634"/>
      <c r="K137" s="2638"/>
    </row>
    <row r="138" spans="1:17" ht="15">
      <c r="B138" s="2639"/>
      <c r="C138" s="146" t="s">
        <v>2614</v>
      </c>
      <c r="D138" s="146" t="s">
        <v>2615</v>
      </c>
      <c r="E138" s="2640" t="s">
        <v>2616</v>
      </c>
      <c r="F138" s="2641" t="s">
        <v>2617</v>
      </c>
      <c r="G138" s="146" t="s">
        <v>2615</v>
      </c>
      <c r="H138" s="147" t="s">
        <v>2616</v>
      </c>
      <c r="I138" s="2642"/>
      <c r="J138" s="146" t="s">
        <v>2618</v>
      </c>
      <c r="K138" s="147" t="s">
        <v>2619</v>
      </c>
    </row>
    <row r="139" spans="1:17" ht="15">
      <c r="B139" s="1084">
        <v>6</v>
      </c>
      <c r="C139" s="1085">
        <v>96</v>
      </c>
      <c r="D139" s="2643" t="s">
        <v>2620</v>
      </c>
      <c r="E139" s="1086">
        <v>100</v>
      </c>
      <c r="F139" s="1087">
        <v>102.5</v>
      </c>
      <c r="G139" s="2643" t="s">
        <v>2620</v>
      </c>
      <c r="H139" s="1088">
        <v>105</v>
      </c>
      <c r="I139" s="2644" t="s">
        <v>2621</v>
      </c>
      <c r="J139" s="1085">
        <v>20</v>
      </c>
      <c r="K139" s="1089">
        <f>C145/(J139-2)</f>
        <v>4.0555555555555553E-3</v>
      </c>
    </row>
    <row r="140" spans="1:17" ht="15">
      <c r="B140" s="1090">
        <v>5</v>
      </c>
      <c r="C140" s="1091">
        <v>100</v>
      </c>
      <c r="D140" s="1091"/>
      <c r="E140" s="1092"/>
      <c r="F140" s="1093">
        <v>102</v>
      </c>
      <c r="G140" s="1091"/>
      <c r="H140" s="1094"/>
      <c r="I140" s="2645" t="s">
        <v>2622</v>
      </c>
      <c r="J140" s="315">
        <f>ROUNDUP((J139-1)/2,0)</f>
        <v>10</v>
      </c>
      <c r="K140" s="1095">
        <v>100</v>
      </c>
    </row>
    <row r="141" spans="1:17" ht="15">
      <c r="B141" s="1090">
        <v>4</v>
      </c>
      <c r="C141" s="1091">
        <v>102</v>
      </c>
      <c r="D141" s="1091"/>
      <c r="E141" s="1092"/>
      <c r="F141" s="1093">
        <v>101.5</v>
      </c>
      <c r="G141" s="1091"/>
      <c r="H141" s="1094"/>
      <c r="I141" s="2645" t="s">
        <v>2623</v>
      </c>
      <c r="J141" s="315">
        <v>1</v>
      </c>
      <c r="K141" s="1096">
        <f>ROUND(100+(J141-J140)*K139*100,1)</f>
        <v>96.4</v>
      </c>
    </row>
    <row r="142" spans="1:17" ht="15">
      <c r="B142" s="1090">
        <v>3</v>
      </c>
      <c r="C142" s="1091">
        <v>103</v>
      </c>
      <c r="D142" s="1091"/>
      <c r="E142" s="1092"/>
      <c r="F142" s="1093">
        <v>101</v>
      </c>
      <c r="G142" s="1091"/>
      <c r="H142" s="1094"/>
      <c r="I142" s="2645" t="s">
        <v>2624</v>
      </c>
      <c r="J142" s="315">
        <f>J139</f>
        <v>20</v>
      </c>
      <c r="K142" s="1097">
        <v>95</v>
      </c>
    </row>
    <row r="143" spans="1:17" ht="15">
      <c r="B143" s="1090">
        <v>2</v>
      </c>
      <c r="C143" s="1091">
        <v>100</v>
      </c>
      <c r="D143" s="1091"/>
      <c r="E143" s="1092"/>
      <c r="F143" s="1093">
        <v>100.5</v>
      </c>
      <c r="G143" s="1091"/>
      <c r="H143" s="1094"/>
      <c r="I143" s="2645" t="s">
        <v>2625</v>
      </c>
      <c r="J143" s="1091">
        <v>15</v>
      </c>
      <c r="K143" s="1096">
        <f>ROUND(100+(J143-J140)*K139*100,1)</f>
        <v>102</v>
      </c>
    </row>
    <row r="144" spans="1:17" ht="15">
      <c r="B144" s="1090">
        <v>1</v>
      </c>
      <c r="C144" s="1091">
        <v>98</v>
      </c>
      <c r="D144" s="2646" t="s">
        <v>2626</v>
      </c>
      <c r="E144" s="1092">
        <v>102</v>
      </c>
      <c r="F144" s="1098">
        <v>100</v>
      </c>
      <c r="G144" s="2646" t="s">
        <v>2626</v>
      </c>
      <c r="H144" s="1094">
        <v>105</v>
      </c>
      <c r="I144" s="2645" t="s">
        <v>2625</v>
      </c>
      <c r="J144" s="1091">
        <v>18</v>
      </c>
      <c r="K144" s="1096">
        <f>ROUND(100+(J144-J140)*K139*100,1)</f>
        <v>103.2</v>
      </c>
    </row>
    <row r="145" spans="2:11" ht="15.75" thickBot="1">
      <c r="B145" s="2647" t="s">
        <v>2627</v>
      </c>
      <c r="C145" s="1099">
        <f>ROUND(MAX(C139:C144)/MIN(C139:C144)-1,3)</f>
        <v>7.2999999999999995E-2</v>
      </c>
      <c r="D145" s="1100"/>
      <c r="E145" s="1100"/>
      <c r="F145" s="2648" t="s">
        <v>2628</v>
      </c>
      <c r="G145" s="2649"/>
      <c r="H145" s="2650"/>
      <c r="I145" s="2651" t="s">
        <v>2625</v>
      </c>
      <c r="J145" s="1101">
        <v>8</v>
      </c>
      <c r="K145" s="1102">
        <f>ROUND(100+(J145-J140)*K139*100,1)</f>
        <v>99.2</v>
      </c>
    </row>
    <row r="147" spans="2:11">
      <c r="B147" s="2632" t="s">
        <v>2629</v>
      </c>
    </row>
    <row r="148" spans="2:11">
      <c r="B148" s="2632"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4" t="s">
        <v>2675</v>
      </c>
      <c r="C1" s="1619" t="s">
        <v>2519</v>
      </c>
      <c r="D1" s="1620"/>
      <c r="E1" s="1629"/>
      <c r="F1" s="2579"/>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IF(C2="——",ROUND(C50*D3/10000,0),ROUND(C50*D3/10000,0)-D2)</f>
        <v>#DIV/0!</v>
      </c>
      <c r="C2" s="2581"/>
      <c r="D2" s="1364"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2633</v>
      </c>
      <c r="D3" s="399">
        <f>IF(D1="",'数据-汇总表'!E3,SUMIF('数据-汇总表'!$C19:$C33,D1,'数据-汇总表'!$E19:$E33))</f>
        <v>2661.36</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2634</v>
      </c>
      <c r="B4" s="402"/>
      <c r="C4" s="3211" t="s">
        <v>2635</v>
      </c>
      <c r="D4" s="3212"/>
      <c r="E4" s="3213" t="s">
        <v>2636</v>
      </c>
      <c r="F4" s="3214"/>
      <c r="G4" s="3211" t="s">
        <v>2637</v>
      </c>
      <c r="H4" s="3212"/>
      <c r="I4" s="3211" t="s">
        <v>2638</v>
      </c>
      <c r="J4" s="3212"/>
      <c r="K4" s="610" t="s">
        <v>2639</v>
      </c>
      <c r="L4" s="1129"/>
      <c r="M4" s="1130"/>
      <c r="N4" s="1130"/>
      <c r="O4" s="1130"/>
      <c r="P4" s="3277" t="s">
        <v>2640</v>
      </c>
      <c r="Q4" s="3278"/>
      <c r="R4" s="3272" t="s">
        <v>2636</v>
      </c>
      <c r="S4" s="3273"/>
      <c r="T4" s="3272" t="s">
        <v>2637</v>
      </c>
      <c r="U4" s="3273"/>
      <c r="V4" s="3281" t="s">
        <v>2638</v>
      </c>
      <c r="W4" s="3281"/>
      <c r="X4" s="2665"/>
      <c r="Y4" s="3272" t="s">
        <v>2640</v>
      </c>
      <c r="Z4" s="3273"/>
      <c r="AA4" s="3271" t="s">
        <v>2636</v>
      </c>
      <c r="AB4" s="3271" t="s">
        <v>2637</v>
      </c>
      <c r="AC4" s="3274" t="s">
        <v>2638</v>
      </c>
    </row>
    <row r="5" spans="1:29" ht="15">
      <c r="A5" s="404"/>
      <c r="B5" s="405"/>
      <c r="C5" s="3270" t="s">
        <v>2531</v>
      </c>
      <c r="D5" s="3205"/>
      <c r="E5" s="3269" t="s">
        <v>2532</v>
      </c>
      <c r="F5" s="3203"/>
      <c r="G5" s="3270" t="s">
        <v>2533</v>
      </c>
      <c r="H5" s="3205"/>
      <c r="I5" s="3270" t="s">
        <v>2534</v>
      </c>
      <c r="J5" s="3205"/>
      <c r="K5" s="610"/>
      <c r="L5" s="1129"/>
      <c r="M5" s="1130"/>
      <c r="N5" s="1130"/>
      <c r="O5" s="1130"/>
      <c r="P5" s="3279"/>
      <c r="Q5" s="3218"/>
      <c r="R5" s="3200"/>
      <c r="S5" s="3201"/>
      <c r="T5" s="3200"/>
      <c r="U5" s="3201"/>
      <c r="V5" s="3195"/>
      <c r="W5" s="3195"/>
      <c r="X5" s="1811"/>
      <c r="Y5" s="3200"/>
      <c r="Z5" s="3201"/>
      <c r="AA5" s="3193"/>
      <c r="AB5" s="3193"/>
      <c r="AC5" s="3275"/>
    </row>
    <row r="6" spans="1:29" ht="15.75" thickBot="1">
      <c r="A6" s="406"/>
      <c r="B6" s="407"/>
      <c r="C6" s="3206" t="s">
        <v>2535</v>
      </c>
      <c r="D6" s="3207"/>
      <c r="E6" s="3208" t="s">
        <v>2535</v>
      </c>
      <c r="F6" s="3209"/>
      <c r="G6" s="3206" t="s">
        <v>2535</v>
      </c>
      <c r="H6" s="3207"/>
      <c r="I6" s="3206" t="s">
        <v>2535</v>
      </c>
      <c r="J6" s="3207"/>
      <c r="K6" s="610" t="s">
        <v>2536</v>
      </c>
      <c r="L6" s="1129"/>
      <c r="M6" s="1130"/>
      <c r="N6" s="1130"/>
      <c r="O6" s="1130"/>
      <c r="P6" s="3280"/>
      <c r="Q6" s="3220"/>
      <c r="R6" s="3200"/>
      <c r="S6" s="3201"/>
      <c r="T6" s="3221"/>
      <c r="U6" s="3222"/>
      <c r="V6" s="3195"/>
      <c r="W6" s="3195"/>
      <c r="X6" s="1811"/>
      <c r="Y6" s="3221"/>
      <c r="Z6" s="3222"/>
      <c r="AA6" s="3194"/>
      <c r="AB6" s="3194"/>
      <c r="AC6" s="3276"/>
    </row>
    <row r="7" spans="1:29" s="117" customFormat="1" ht="15.75" thickBot="1">
      <c r="A7" s="408" t="s">
        <v>2537</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2" t="s">
        <v>2538</v>
      </c>
      <c r="Q7" s="3223"/>
      <c r="R7" s="769" t="s">
        <v>17</v>
      </c>
      <c r="S7" s="770">
        <f t="shared" ref="S7:S15" si="0">F7</f>
        <v>0</v>
      </c>
      <c r="T7" s="769" t="s">
        <v>17</v>
      </c>
      <c r="U7" s="770">
        <f t="shared" ref="U7:U15" si="1">H7</f>
        <v>0</v>
      </c>
      <c r="V7" s="769" t="s">
        <v>17</v>
      </c>
      <c r="W7" s="770">
        <f t="shared" ref="W7:W15" si="2">J7</f>
        <v>0</v>
      </c>
      <c r="X7" s="771"/>
      <c r="Y7" s="3196" t="s">
        <v>2538</v>
      </c>
      <c r="Z7" s="3197"/>
      <c r="AA7" s="772" t="e">
        <f>D7/F7</f>
        <v>#DIV/0!</v>
      </c>
      <c r="AB7" s="772" t="e">
        <f>D7/H7</f>
        <v>#DIV/0!</v>
      </c>
      <c r="AC7" s="2666"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2" t="s">
        <v>2541</v>
      </c>
      <c r="Q8" s="3197"/>
      <c r="R8" s="769" t="s">
        <v>17</v>
      </c>
      <c r="S8" s="770">
        <f t="shared" si="0"/>
        <v>0</v>
      </c>
      <c r="T8" s="769" t="s">
        <v>17</v>
      </c>
      <c r="U8" s="770">
        <f t="shared" si="1"/>
        <v>0</v>
      </c>
      <c r="V8" s="769" t="s">
        <v>17</v>
      </c>
      <c r="W8" s="770">
        <f t="shared" si="2"/>
        <v>0</v>
      </c>
      <c r="X8" s="771"/>
      <c r="Y8" s="3196" t="s">
        <v>2541</v>
      </c>
      <c r="Z8" s="3197"/>
      <c r="AA8" s="772" t="e">
        <f t="shared" ref="AA8:AA47" si="3">D8/F8</f>
        <v>#DIV/0!</v>
      </c>
      <c r="AB8" s="772" t="e">
        <f t="shared" ref="AB8:AB47" si="4">D8/H8</f>
        <v>#DIV/0!</v>
      </c>
      <c r="AC8" s="2666"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0" t="s">
        <v>2544</v>
      </c>
      <c r="Q9" s="1793" t="str">
        <f t="shared" ref="Q9:Q15" si="6">B9</f>
        <v>用途</v>
      </c>
      <c r="R9" s="769" t="s">
        <v>17</v>
      </c>
      <c r="S9" s="770">
        <f t="shared" si="0"/>
        <v>100</v>
      </c>
      <c r="T9" s="769" t="s">
        <v>17</v>
      </c>
      <c r="U9" s="770">
        <f t="shared" si="1"/>
        <v>100</v>
      </c>
      <c r="V9" s="769" t="s">
        <v>17</v>
      </c>
      <c r="W9" s="770">
        <f t="shared" si="2"/>
        <v>100</v>
      </c>
      <c r="X9" s="771"/>
      <c r="Y9" s="3069" t="s">
        <v>2545</v>
      </c>
      <c r="Z9" s="55" t="str">
        <f t="shared" ref="Z9:Z15" si="7">Q9</f>
        <v>用途</v>
      </c>
      <c r="AA9" s="772">
        <f t="shared" si="3"/>
        <v>1</v>
      </c>
      <c r="AB9" s="772">
        <f t="shared" si="4"/>
        <v>1</v>
      </c>
      <c r="AC9" s="2666">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0"/>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2666">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0"/>
      <c r="Q11" s="1793"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10"/>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10"/>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10"/>
      <c r="Q14" s="1793">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2666">
        <f t="shared" si="5"/>
        <v>1</v>
      </c>
    </row>
    <row r="15" spans="1:29" ht="15">
      <c r="A15" s="440" t="s">
        <v>2548</v>
      </c>
      <c r="B15" s="629" t="s">
        <v>2676</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24" t="s">
        <v>2549</v>
      </c>
      <c r="Q15" s="1808" t="str">
        <f t="shared" si="6"/>
        <v>办公集聚程度</v>
      </c>
      <c r="R15" s="773" t="s">
        <v>17</v>
      </c>
      <c r="S15" s="774">
        <f t="shared" si="0"/>
        <v>100</v>
      </c>
      <c r="T15" s="773" t="s">
        <v>17</v>
      </c>
      <c r="U15" s="774">
        <f t="shared" si="1"/>
        <v>100</v>
      </c>
      <c r="V15" s="773" t="s">
        <v>17</v>
      </c>
      <c r="W15" s="774">
        <f t="shared" si="2"/>
        <v>100</v>
      </c>
      <c r="X15" s="1811"/>
      <c r="Y15" s="3226" t="s">
        <v>2549</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39"/>
      <c r="M16" s="1130"/>
      <c r="N16" s="1130"/>
      <c r="O16" s="1130"/>
      <c r="P16" s="3225"/>
      <c r="Q16" s="1808"/>
      <c r="R16" s="773"/>
      <c r="S16" s="774"/>
      <c r="T16" s="773"/>
      <c r="U16" s="774"/>
      <c r="V16" s="773"/>
      <c r="W16" s="774"/>
      <c r="X16" s="1811"/>
      <c r="Y16" s="3227"/>
      <c r="Z16" s="1812"/>
      <c r="AA16" s="1809">
        <v>1</v>
      </c>
      <c r="AB16" s="1809">
        <v>1</v>
      </c>
      <c r="AC16" s="2669">
        <v>1</v>
      </c>
    </row>
    <row r="17" spans="1:29" ht="114">
      <c r="A17" s="428"/>
      <c r="B17" s="631" t="s">
        <v>2091</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25"/>
      <c r="Q17" s="1808" t="str">
        <f>B17</f>
        <v>交通便捷度</v>
      </c>
      <c r="R17" s="773" t="s">
        <v>17</v>
      </c>
      <c r="S17" s="774">
        <f>F17</f>
        <v>100</v>
      </c>
      <c r="T17" s="773" t="s">
        <v>17</v>
      </c>
      <c r="U17" s="774">
        <f>H17</f>
        <v>100</v>
      </c>
      <c r="V17" s="773" t="s">
        <v>17</v>
      </c>
      <c r="W17" s="774">
        <f>J17</f>
        <v>100</v>
      </c>
      <c r="X17" s="1811"/>
      <c r="Y17" s="3227"/>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39"/>
      <c r="M18" s="1130"/>
      <c r="N18" s="1130"/>
      <c r="O18" s="1130"/>
      <c r="P18" s="3225"/>
      <c r="Q18" s="1808"/>
      <c r="R18" s="773"/>
      <c r="S18" s="774"/>
      <c r="T18" s="773"/>
      <c r="U18" s="774"/>
      <c r="V18" s="773"/>
      <c r="W18" s="774"/>
      <c r="X18" s="1811"/>
      <c r="Y18" s="3227"/>
      <c r="Z18" s="1812"/>
      <c r="AA18" s="1809">
        <v>1</v>
      </c>
      <c r="AB18" s="1809">
        <v>1</v>
      </c>
      <c r="AC18" s="2669">
        <v>1</v>
      </c>
    </row>
    <row r="19" spans="1:29" ht="99.75">
      <c r="A19" s="428"/>
      <c r="B19" s="631" t="s">
        <v>2677</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25"/>
      <c r="Q19" s="1808" t="str">
        <f>B19</f>
        <v>公共配套设施</v>
      </c>
      <c r="R19" s="773" t="s">
        <v>17</v>
      </c>
      <c r="S19" s="774">
        <f>F19</f>
        <v>100</v>
      </c>
      <c r="T19" s="773" t="s">
        <v>17</v>
      </c>
      <c r="U19" s="774">
        <f>H19</f>
        <v>100</v>
      </c>
      <c r="V19" s="773" t="s">
        <v>17</v>
      </c>
      <c r="W19" s="774">
        <f>J19</f>
        <v>100</v>
      </c>
      <c r="X19" s="1811"/>
      <c r="Y19" s="3227"/>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39"/>
      <c r="M20" s="1130"/>
      <c r="N20" s="1130"/>
      <c r="O20" s="1130"/>
      <c r="P20" s="3225"/>
      <c r="Q20" s="1808"/>
      <c r="R20" s="773"/>
      <c r="S20" s="774"/>
      <c r="T20" s="773"/>
      <c r="U20" s="774"/>
      <c r="V20" s="773"/>
      <c r="W20" s="774"/>
      <c r="X20" s="1811"/>
      <c r="Y20" s="3227"/>
      <c r="Z20" s="1812"/>
      <c r="AA20" s="1809">
        <v>1</v>
      </c>
      <c r="AB20" s="1809">
        <v>1</v>
      </c>
      <c r="AC20" s="2669">
        <v>1</v>
      </c>
    </row>
    <row r="21" spans="1:29" ht="15">
      <c r="A21" s="428"/>
      <c r="B21" s="633" t="s">
        <v>2678</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25"/>
      <c r="Q21" s="1808" t="str">
        <f>B21</f>
        <v>基础设施水平</v>
      </c>
      <c r="R21" s="773" t="s">
        <v>17</v>
      </c>
      <c r="S21" s="774">
        <f>F21</f>
        <v>100</v>
      </c>
      <c r="T21" s="773" t="s">
        <v>17</v>
      </c>
      <c r="U21" s="774">
        <f>H21</f>
        <v>100</v>
      </c>
      <c r="V21" s="773" t="s">
        <v>17</v>
      </c>
      <c r="W21" s="774">
        <f>J21</f>
        <v>100</v>
      </c>
      <c r="X21" s="1811"/>
      <c r="Y21" s="3227"/>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2"/>
      <c r="L22" s="1139"/>
      <c r="M22" s="1130"/>
      <c r="N22" s="1130"/>
      <c r="O22" s="1130"/>
      <c r="P22" s="3225"/>
      <c r="Q22" s="1808"/>
      <c r="R22" s="773"/>
      <c r="S22" s="774"/>
      <c r="T22" s="773"/>
      <c r="U22" s="774"/>
      <c r="V22" s="773"/>
      <c r="W22" s="774"/>
      <c r="X22" s="1811"/>
      <c r="Y22" s="3227"/>
      <c r="Z22" s="1812"/>
      <c r="AA22" s="1809">
        <v>1</v>
      </c>
      <c r="AB22" s="1809">
        <v>1</v>
      </c>
      <c r="AC22" s="2669">
        <v>1</v>
      </c>
    </row>
    <row r="23" spans="1:29" ht="28.5">
      <c r="A23" s="428"/>
      <c r="B23" s="631" t="s">
        <v>2679</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25"/>
      <c r="Q23" s="1808" t="str">
        <f>B23</f>
        <v>环境质量</v>
      </c>
      <c r="R23" s="773" t="s">
        <v>17</v>
      </c>
      <c r="S23" s="774">
        <f>F23</f>
        <v>100</v>
      </c>
      <c r="T23" s="773" t="s">
        <v>17</v>
      </c>
      <c r="U23" s="774">
        <f>H23</f>
        <v>100</v>
      </c>
      <c r="V23" s="773" t="s">
        <v>17</v>
      </c>
      <c r="W23" s="774">
        <f>J23</f>
        <v>100</v>
      </c>
      <c r="X23" s="1811"/>
      <c r="Y23" s="3227"/>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39"/>
      <c r="M24" s="1130"/>
      <c r="N24" s="1130"/>
      <c r="O24" s="1130"/>
      <c r="P24" s="3225"/>
      <c r="Q24" s="1808"/>
      <c r="R24" s="773"/>
      <c r="S24" s="774"/>
      <c r="T24" s="773"/>
      <c r="U24" s="774"/>
      <c r="V24" s="773"/>
      <c r="W24" s="774"/>
      <c r="X24" s="1811"/>
      <c r="Y24" s="3227"/>
      <c r="Z24" s="1812"/>
      <c r="AA24" s="1809">
        <v>1</v>
      </c>
      <c r="AB24" s="1809">
        <v>1</v>
      </c>
      <c r="AC24" s="2669">
        <v>1</v>
      </c>
    </row>
    <row r="25" spans="1:29" ht="27">
      <c r="A25" s="404"/>
      <c r="B25" s="631" t="s">
        <v>2680</v>
      </c>
      <c r="C25" s="2610"/>
      <c r="D25" s="435">
        <v>100</v>
      </c>
      <c r="E25" s="434"/>
      <c r="F25" s="435">
        <f>SUMIF(87:87,E26,88:88)-SUMIF(87:87,C26,88:88)+100</f>
        <v>100</v>
      </c>
      <c r="G25" s="2610"/>
      <c r="H25" s="435">
        <f>SUMIF(87:87,G26,88:88)-SUMIF(87:87,C26,88:88)+100</f>
        <v>100</v>
      </c>
      <c r="I25" s="434"/>
      <c r="J25" s="435">
        <f>SUMIF(87:87,I26,88:88)-SUMIF(87:87,C26,88:88)+100</f>
        <v>100</v>
      </c>
      <c r="K25" s="614"/>
      <c r="L25" s="1139"/>
      <c r="M25" s="1130"/>
      <c r="N25" s="1130"/>
      <c r="O25" s="1130"/>
      <c r="P25" s="3225"/>
      <c r="Q25" s="1808" t="str">
        <f>B25</f>
        <v>毗邻道路的类型与等级</v>
      </c>
      <c r="R25" s="773" t="s">
        <v>17</v>
      </c>
      <c r="S25" s="774">
        <f>F25</f>
        <v>100</v>
      </c>
      <c r="T25" s="773" t="s">
        <v>17</v>
      </c>
      <c r="U25" s="774">
        <f>H25</f>
        <v>100</v>
      </c>
      <c r="V25" s="773" t="s">
        <v>17</v>
      </c>
      <c r="W25" s="774">
        <f>J25</f>
        <v>100</v>
      </c>
      <c r="X25" s="1811"/>
      <c r="Y25" s="3227"/>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39"/>
      <c r="M26" s="1130"/>
      <c r="N26" s="1130"/>
      <c r="O26" s="1130"/>
      <c r="P26" s="3225"/>
      <c r="Q26" s="1808"/>
      <c r="R26" s="773"/>
      <c r="S26" s="774"/>
      <c r="T26" s="773"/>
      <c r="U26" s="774"/>
      <c r="V26" s="773"/>
      <c r="W26" s="774"/>
      <c r="X26" s="1811"/>
      <c r="Y26" s="3227"/>
      <c r="Z26" s="1812"/>
      <c r="AA26" s="1809">
        <v>1</v>
      </c>
      <c r="AB26" s="1809">
        <v>1</v>
      </c>
      <c r="AC26" s="2669">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25"/>
      <c r="Q27" s="1808" t="str">
        <f t="shared" ref="Q27:Q47" si="11">B27</f>
        <v>楼层</v>
      </c>
      <c r="R27" s="773" t="s">
        <v>17</v>
      </c>
      <c r="S27" s="774">
        <f>F27</f>
        <v>100</v>
      </c>
      <c r="T27" s="773" t="s">
        <v>17</v>
      </c>
      <c r="U27" s="774">
        <f>H27</f>
        <v>100</v>
      </c>
      <c r="V27" s="773" t="s">
        <v>17</v>
      </c>
      <c r="W27" s="774">
        <f>J27</f>
        <v>100</v>
      </c>
      <c r="X27" s="1811"/>
      <c r="Y27" s="3227"/>
      <c r="Z27" s="1812" t="str">
        <f>Q27</f>
        <v>楼层</v>
      </c>
      <c r="AA27" s="1809">
        <f t="shared" si="3"/>
        <v>1</v>
      </c>
      <c r="AB27" s="1809">
        <f t="shared" si="4"/>
        <v>1</v>
      </c>
      <c r="AC27" s="2669">
        <f t="shared" si="5"/>
        <v>1</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25"/>
      <c r="Q28" s="1793" t="str">
        <f t="shared" si="11"/>
        <v>朝向</v>
      </c>
      <c r="R28" s="769" t="s">
        <v>17</v>
      </c>
      <c r="S28" s="770">
        <f>F28</f>
        <v>100</v>
      </c>
      <c r="T28" s="769" t="s">
        <v>17</v>
      </c>
      <c r="U28" s="770">
        <f>H28</f>
        <v>100</v>
      </c>
      <c r="V28" s="769" t="s">
        <v>17</v>
      </c>
      <c r="W28" s="770">
        <f>J28</f>
        <v>100</v>
      </c>
      <c r="X28" s="771"/>
      <c r="Y28" s="3227"/>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25"/>
      <c r="Q29" s="1808">
        <f t="shared" si="11"/>
        <v>111</v>
      </c>
      <c r="R29" s="773" t="s">
        <v>17</v>
      </c>
      <c r="S29" s="774">
        <f t="shared" ref="S29:S47" si="12">F29</f>
        <v>100</v>
      </c>
      <c r="T29" s="773" t="s">
        <v>17</v>
      </c>
      <c r="U29" s="774">
        <f t="shared" ref="U29:U47" si="13">H29</f>
        <v>100</v>
      </c>
      <c r="V29" s="773" t="s">
        <v>17</v>
      </c>
      <c r="W29" s="774">
        <f t="shared" ref="W29:W47" si="14">J29</f>
        <v>100</v>
      </c>
      <c r="X29" s="1811"/>
      <c r="Y29" s="3227"/>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25"/>
      <c r="Q30" s="1808">
        <f t="shared" si="11"/>
        <v>111</v>
      </c>
      <c r="R30" s="773" t="s">
        <v>17</v>
      </c>
      <c r="S30" s="774">
        <f t="shared" si="12"/>
        <v>100</v>
      </c>
      <c r="T30" s="773" t="s">
        <v>17</v>
      </c>
      <c r="U30" s="774">
        <f t="shared" si="13"/>
        <v>100</v>
      </c>
      <c r="V30" s="773" t="s">
        <v>17</v>
      </c>
      <c r="W30" s="774">
        <f t="shared" si="14"/>
        <v>100</v>
      </c>
      <c r="X30" s="1811"/>
      <c r="Y30" s="3227"/>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25"/>
      <c r="Q31" s="1808">
        <f t="shared" si="11"/>
        <v>111</v>
      </c>
      <c r="R31" s="773" t="s">
        <v>17</v>
      </c>
      <c r="S31" s="774">
        <f t="shared" si="12"/>
        <v>100</v>
      </c>
      <c r="T31" s="773" t="s">
        <v>17</v>
      </c>
      <c r="U31" s="774">
        <f t="shared" si="13"/>
        <v>100</v>
      </c>
      <c r="V31" s="773" t="s">
        <v>17</v>
      </c>
      <c r="W31" s="774">
        <f t="shared" si="14"/>
        <v>100</v>
      </c>
      <c r="X31" s="1811"/>
      <c r="Y31" s="3227"/>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25"/>
      <c r="Q32" s="1808">
        <f t="shared" si="11"/>
        <v>111</v>
      </c>
      <c r="R32" s="773" t="s">
        <v>17</v>
      </c>
      <c r="S32" s="774">
        <f t="shared" si="12"/>
        <v>100</v>
      </c>
      <c r="T32" s="773" t="s">
        <v>17</v>
      </c>
      <c r="U32" s="774">
        <f t="shared" si="13"/>
        <v>100</v>
      </c>
      <c r="V32" s="773" t="s">
        <v>17</v>
      </c>
      <c r="W32" s="774">
        <f t="shared" si="14"/>
        <v>100</v>
      </c>
      <c r="X32" s="1811"/>
      <c r="Y32" s="3227"/>
      <c r="Z32" s="1812">
        <f t="shared" si="15"/>
        <v>111</v>
      </c>
      <c r="AA32" s="1809">
        <f t="shared" si="3"/>
        <v>1</v>
      </c>
      <c r="AB32" s="1809">
        <f t="shared" si="4"/>
        <v>1</v>
      </c>
      <c r="AC32" s="2669">
        <f t="shared" si="5"/>
        <v>1</v>
      </c>
    </row>
    <row r="33" spans="1:29" ht="15">
      <c r="A33" s="440" t="s">
        <v>2552</v>
      </c>
      <c r="B33" s="71" t="s">
        <v>2682</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9"/>
      <c r="M33" s="1130"/>
      <c r="N33" s="1130"/>
      <c r="O33" s="1130"/>
      <c r="P33" s="3228" t="s">
        <v>2554</v>
      </c>
      <c r="Q33" s="1808" t="str">
        <f t="shared" si="11"/>
        <v>建筑类型</v>
      </c>
      <c r="R33" s="773" t="s">
        <v>17</v>
      </c>
      <c r="S33" s="774">
        <f t="shared" si="12"/>
        <v>100</v>
      </c>
      <c r="T33" s="773" t="s">
        <v>17</v>
      </c>
      <c r="U33" s="774">
        <f t="shared" si="13"/>
        <v>100</v>
      </c>
      <c r="V33" s="773" t="s">
        <v>17</v>
      </c>
      <c r="W33" s="774">
        <f t="shared" si="14"/>
        <v>100</v>
      </c>
      <c r="X33" s="1811"/>
      <c r="Y33" s="3231" t="s">
        <v>2554</v>
      </c>
      <c r="Z33" s="1812" t="str">
        <f t="shared" si="15"/>
        <v>建筑类型</v>
      </c>
      <c r="AA33" s="1809">
        <f t="shared" si="3"/>
        <v>1</v>
      </c>
      <c r="AB33" s="1809">
        <f t="shared" si="4"/>
        <v>1</v>
      </c>
      <c r="AC33" s="2669">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29"/>
      <c r="Q34" s="775" t="str">
        <f t="shared" si="11"/>
        <v>项目建筑规模</v>
      </c>
      <c r="R34" s="776" t="s">
        <v>17</v>
      </c>
      <c r="S34" s="777" t="e">
        <f t="shared" si="12"/>
        <v>#N/A</v>
      </c>
      <c r="T34" s="776" t="s">
        <v>17</v>
      </c>
      <c r="U34" s="777" t="e">
        <f t="shared" si="13"/>
        <v>#N/A</v>
      </c>
      <c r="V34" s="776" t="s">
        <v>17</v>
      </c>
      <c r="W34" s="777" t="e">
        <f t="shared" si="14"/>
        <v>#N/A</v>
      </c>
      <c r="X34" s="778"/>
      <c r="Y34" s="3231"/>
      <c r="Z34" s="779" t="str">
        <f t="shared" si="15"/>
        <v>项目建筑规模</v>
      </c>
      <c r="AA34" s="1809" t="e">
        <f t="shared" si="3"/>
        <v>#N/A</v>
      </c>
      <c r="AB34" s="1809" t="e">
        <f t="shared" si="4"/>
        <v>#N/A</v>
      </c>
      <c r="AC34" s="2669"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29"/>
      <c r="Q35" s="1808" t="str">
        <f t="shared" si="11"/>
        <v>建筑结构</v>
      </c>
      <c r="R35" s="773" t="s">
        <v>17</v>
      </c>
      <c r="S35" s="774">
        <f t="shared" si="12"/>
        <v>100</v>
      </c>
      <c r="T35" s="773" t="s">
        <v>17</v>
      </c>
      <c r="U35" s="774">
        <f t="shared" si="13"/>
        <v>100</v>
      </c>
      <c r="V35" s="773" t="s">
        <v>17</v>
      </c>
      <c r="W35" s="774">
        <f t="shared" si="14"/>
        <v>100</v>
      </c>
      <c r="X35" s="1811"/>
      <c r="Y35" s="3231"/>
      <c r="Z35" s="1812" t="str">
        <f t="shared" si="15"/>
        <v>建筑结构</v>
      </c>
      <c r="AA35" s="1809">
        <f t="shared" si="3"/>
        <v>1</v>
      </c>
      <c r="AB35" s="1809">
        <f t="shared" si="4"/>
        <v>1</v>
      </c>
      <c r="AC35" s="2669">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29"/>
      <c r="Q36" s="1808" t="str">
        <f t="shared" si="11"/>
        <v>公共部分装修</v>
      </c>
      <c r="R36" s="773" t="s">
        <v>17</v>
      </c>
      <c r="S36" s="774">
        <f t="shared" si="12"/>
        <v>100</v>
      </c>
      <c r="T36" s="773" t="s">
        <v>17</v>
      </c>
      <c r="U36" s="774">
        <f t="shared" si="13"/>
        <v>100</v>
      </c>
      <c r="V36" s="773" t="s">
        <v>17</v>
      </c>
      <c r="W36" s="774">
        <f t="shared" si="14"/>
        <v>100</v>
      </c>
      <c r="X36" s="1811"/>
      <c r="Y36" s="3231"/>
      <c r="Z36" s="1812" t="str">
        <f t="shared" si="15"/>
        <v>公共部分装修</v>
      </c>
      <c r="AA36" s="1809">
        <f t="shared" si="3"/>
        <v>1</v>
      </c>
      <c r="AB36" s="1809">
        <f t="shared" si="4"/>
        <v>1</v>
      </c>
      <c r="AC36" s="2669">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29"/>
      <c r="Q37" s="1808" t="str">
        <f t="shared" si="11"/>
        <v>成新度</v>
      </c>
      <c r="R37" s="773" t="s">
        <v>17</v>
      </c>
      <c r="S37" s="774" t="e">
        <f t="shared" si="12"/>
        <v>#N/A</v>
      </c>
      <c r="T37" s="773" t="s">
        <v>17</v>
      </c>
      <c r="U37" s="774" t="e">
        <f t="shared" si="13"/>
        <v>#N/A</v>
      </c>
      <c r="V37" s="773" t="s">
        <v>17</v>
      </c>
      <c r="W37" s="774" t="e">
        <f t="shared" si="14"/>
        <v>#N/A</v>
      </c>
      <c r="X37" s="1811"/>
      <c r="Y37" s="3231"/>
      <c r="Z37" s="1812" t="str">
        <f t="shared" si="15"/>
        <v>成新度</v>
      </c>
      <c r="AA37" s="1809" t="e">
        <f t="shared" si="3"/>
        <v>#N/A</v>
      </c>
      <c r="AB37" s="1809" t="e">
        <f t="shared" si="4"/>
        <v>#N/A</v>
      </c>
      <c r="AC37" s="2669"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29"/>
      <c r="Q38" s="1793" t="str">
        <f t="shared" si="11"/>
        <v>写字楼等级</v>
      </c>
      <c r="R38" s="769" t="s">
        <v>17</v>
      </c>
      <c r="S38" s="770">
        <f t="shared" si="12"/>
        <v>100</v>
      </c>
      <c r="T38" s="769" t="s">
        <v>17</v>
      </c>
      <c r="U38" s="770">
        <f t="shared" si="13"/>
        <v>100</v>
      </c>
      <c r="V38" s="769" t="s">
        <v>17</v>
      </c>
      <c r="W38" s="770">
        <f t="shared" si="14"/>
        <v>100</v>
      </c>
      <c r="X38" s="771"/>
      <c r="Y38" s="3231"/>
      <c r="Z38" s="55" t="str">
        <f t="shared" si="15"/>
        <v>写字楼等级</v>
      </c>
      <c r="AA38" s="772">
        <f t="shared" si="3"/>
        <v>1</v>
      </c>
      <c r="AB38" s="772">
        <f t="shared" si="4"/>
        <v>1</v>
      </c>
      <c r="AC38" s="2666">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29" t="s">
        <v>2554</v>
      </c>
      <c r="Q39" s="1808" t="str">
        <f t="shared" si="11"/>
        <v>物业管理</v>
      </c>
      <c r="R39" s="773" t="s">
        <v>17</v>
      </c>
      <c r="S39" s="774">
        <f t="shared" si="12"/>
        <v>100</v>
      </c>
      <c r="T39" s="773" t="s">
        <v>17</v>
      </c>
      <c r="U39" s="774">
        <f t="shared" si="13"/>
        <v>100</v>
      </c>
      <c r="V39" s="773" t="s">
        <v>17</v>
      </c>
      <c r="W39" s="774">
        <f t="shared" si="14"/>
        <v>100</v>
      </c>
      <c r="X39" s="1811"/>
      <c r="Y39" s="3231" t="s">
        <v>2554</v>
      </c>
      <c r="Z39" s="1812" t="str">
        <f t="shared" si="15"/>
        <v>物业管理</v>
      </c>
      <c r="AA39" s="1809">
        <f t="shared" si="3"/>
        <v>1</v>
      </c>
      <c r="AB39" s="1809">
        <f t="shared" si="4"/>
        <v>1</v>
      </c>
      <c r="AC39" s="2669">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29"/>
      <c r="Q40" s="1808" t="str">
        <f t="shared" si="11"/>
        <v>市政基础设施</v>
      </c>
      <c r="R40" s="773" t="s">
        <v>17</v>
      </c>
      <c r="S40" s="774">
        <f t="shared" si="12"/>
        <v>100</v>
      </c>
      <c r="T40" s="773" t="s">
        <v>17</v>
      </c>
      <c r="U40" s="774">
        <f t="shared" si="13"/>
        <v>100</v>
      </c>
      <c r="V40" s="773" t="s">
        <v>17</v>
      </c>
      <c r="W40" s="774">
        <f t="shared" si="14"/>
        <v>100</v>
      </c>
      <c r="X40" s="1811"/>
      <c r="Y40" s="3231"/>
      <c r="Z40" s="1812" t="str">
        <f t="shared" si="15"/>
        <v>市政基础设施</v>
      </c>
      <c r="AA40" s="1809">
        <f t="shared" si="3"/>
        <v>1</v>
      </c>
      <c r="AB40" s="1809">
        <f t="shared" si="4"/>
        <v>1</v>
      </c>
      <c r="AC40" s="2669">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29"/>
      <c r="Q41" s="1808" t="str">
        <f t="shared" si="11"/>
        <v>层高</v>
      </c>
      <c r="R41" s="773" t="s">
        <v>17</v>
      </c>
      <c r="S41" s="774">
        <f t="shared" si="12"/>
        <v>100</v>
      </c>
      <c r="T41" s="773" t="s">
        <v>17</v>
      </c>
      <c r="U41" s="774">
        <f t="shared" si="13"/>
        <v>100</v>
      </c>
      <c r="V41" s="773" t="s">
        <v>17</v>
      </c>
      <c r="W41" s="774">
        <f t="shared" si="14"/>
        <v>100</v>
      </c>
      <c r="X41" s="1811"/>
      <c r="Y41" s="3231"/>
      <c r="Z41" s="1812" t="str">
        <f t="shared" si="15"/>
        <v>层高</v>
      </c>
      <c r="AA41" s="1809">
        <f t="shared" si="3"/>
        <v>1</v>
      </c>
      <c r="AB41" s="1809">
        <f t="shared" si="4"/>
        <v>1</v>
      </c>
      <c r="AC41" s="2669">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9"/>
      <c r="Q42" s="775" t="str">
        <f t="shared" si="11"/>
        <v>单套建筑面积</v>
      </c>
      <c r="R42" s="776" t="s">
        <v>17</v>
      </c>
      <c r="S42" s="777">
        <f t="shared" si="12"/>
        <v>100</v>
      </c>
      <c r="T42" s="776" t="s">
        <v>17</v>
      </c>
      <c r="U42" s="777">
        <f t="shared" si="13"/>
        <v>100</v>
      </c>
      <c r="V42" s="776" t="s">
        <v>17</v>
      </c>
      <c r="W42" s="777">
        <f t="shared" si="14"/>
        <v>100</v>
      </c>
      <c r="X42" s="778"/>
      <c r="Y42" s="3231"/>
      <c r="Z42" s="779" t="str">
        <f t="shared" si="15"/>
        <v>单套建筑面积</v>
      </c>
      <c r="AA42" s="1809">
        <f t="shared" si="3"/>
        <v>1</v>
      </c>
      <c r="AB42" s="1809">
        <f t="shared" si="4"/>
        <v>1</v>
      </c>
      <c r="AC42" s="2669">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29"/>
      <c r="Q43" s="1808" t="str">
        <f t="shared" si="11"/>
        <v>内部装修</v>
      </c>
      <c r="R43" s="773" t="s">
        <v>17</v>
      </c>
      <c r="S43" s="774">
        <f t="shared" si="12"/>
        <v>100</v>
      </c>
      <c r="T43" s="773" t="s">
        <v>17</v>
      </c>
      <c r="U43" s="774">
        <f t="shared" si="13"/>
        <v>100</v>
      </c>
      <c r="V43" s="773" t="s">
        <v>17</v>
      </c>
      <c r="W43" s="774">
        <f t="shared" si="14"/>
        <v>100</v>
      </c>
      <c r="X43" s="1811"/>
      <c r="Y43" s="3231"/>
      <c r="Z43" s="1812" t="str">
        <f t="shared" si="15"/>
        <v>内部装修</v>
      </c>
      <c r="AA43" s="1809">
        <f t="shared" si="3"/>
        <v>1</v>
      </c>
      <c r="AB43" s="1809">
        <f t="shared" si="4"/>
        <v>1</v>
      </c>
      <c r="AC43" s="2669">
        <f t="shared" si="5"/>
        <v>1</v>
      </c>
    </row>
    <row r="44" spans="1:29" ht="15">
      <c r="A44" s="472"/>
      <c r="B44" s="422" t="s">
        <v>2565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9"/>
      <c r="M44" s="1130"/>
      <c r="N44" s="1130"/>
      <c r="O44" s="1130"/>
      <c r="P44" s="3229"/>
      <c r="Q44" s="1808" t="str">
        <f t="shared" si="11"/>
        <v>内部装修维护情况</v>
      </c>
      <c r="R44" s="773" t="s">
        <v>17</v>
      </c>
      <c r="S44" s="774">
        <f t="shared" si="12"/>
        <v>100</v>
      </c>
      <c r="T44" s="773" t="s">
        <v>17</v>
      </c>
      <c r="U44" s="774">
        <f t="shared" si="13"/>
        <v>100</v>
      </c>
      <c r="V44" s="773" t="s">
        <v>17</v>
      </c>
      <c r="W44" s="774">
        <f t="shared" si="14"/>
        <v>100</v>
      </c>
      <c r="X44" s="1811"/>
      <c r="Y44" s="3231"/>
      <c r="Z44" s="1812" t="str">
        <f t="shared" si="15"/>
        <v>内部装修维护情况</v>
      </c>
      <c r="AA44" s="1809">
        <f t="shared" si="3"/>
        <v>1</v>
      </c>
      <c r="AB44" s="1809">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9"/>
      <c r="Q45" s="1793">
        <f t="shared" si="11"/>
        <v>111</v>
      </c>
      <c r="R45" s="769" t="s">
        <v>17</v>
      </c>
      <c r="S45" s="770">
        <f t="shared" si="12"/>
        <v>100</v>
      </c>
      <c r="T45" s="769" t="s">
        <v>17</v>
      </c>
      <c r="U45" s="770">
        <f t="shared" si="13"/>
        <v>100</v>
      </c>
      <c r="V45" s="769" t="s">
        <v>17</v>
      </c>
      <c r="W45" s="770">
        <f t="shared" si="14"/>
        <v>100</v>
      </c>
      <c r="X45" s="771"/>
      <c r="Y45" s="3231"/>
      <c r="Z45" s="55">
        <f t="shared" si="15"/>
        <v>111</v>
      </c>
      <c r="AA45" s="772">
        <f t="shared" si="3"/>
        <v>1</v>
      </c>
      <c r="AB45" s="772">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9"/>
      <c r="Q46" s="1808">
        <f t="shared" si="11"/>
        <v>111</v>
      </c>
      <c r="R46" s="773" t="s">
        <v>17</v>
      </c>
      <c r="S46" s="774">
        <f t="shared" si="12"/>
        <v>100</v>
      </c>
      <c r="T46" s="773" t="s">
        <v>17</v>
      </c>
      <c r="U46" s="774">
        <f t="shared" si="13"/>
        <v>100</v>
      </c>
      <c r="V46" s="773" t="s">
        <v>17</v>
      </c>
      <c r="W46" s="774">
        <f t="shared" si="14"/>
        <v>100</v>
      </c>
      <c r="X46" s="1811"/>
      <c r="Y46" s="3231"/>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0"/>
      <c r="Q47" s="1808">
        <f t="shared" si="11"/>
        <v>111</v>
      </c>
      <c r="R47" s="773" t="s">
        <v>17</v>
      </c>
      <c r="S47" s="774">
        <f t="shared" si="12"/>
        <v>100</v>
      </c>
      <c r="T47" s="773" t="s">
        <v>17</v>
      </c>
      <c r="U47" s="774">
        <f t="shared" si="13"/>
        <v>100</v>
      </c>
      <c r="V47" s="773" t="s">
        <v>17</v>
      </c>
      <c r="W47" s="774">
        <f t="shared" si="14"/>
        <v>100</v>
      </c>
      <c r="X47" s="1811"/>
      <c r="Y47" s="3232"/>
      <c r="Z47" s="1812">
        <f t="shared" si="15"/>
        <v>111</v>
      </c>
      <c r="AA47" s="1809">
        <f t="shared" si="3"/>
        <v>1</v>
      </c>
      <c r="AB47" s="1809">
        <f t="shared" si="4"/>
        <v>1</v>
      </c>
      <c r="AC47" s="2669">
        <f t="shared" si="5"/>
        <v>1</v>
      </c>
    </row>
    <row r="48" spans="1:29" ht="15">
      <c r="A48" s="479" t="s">
        <v>2566</v>
      </c>
      <c r="B48" s="480"/>
      <c r="C48" s="1406" t="s">
        <v>1</v>
      </c>
      <c r="D48" s="1407"/>
      <c r="E48" s="1408"/>
      <c r="F48" s="1409"/>
      <c r="G48" s="1410"/>
      <c r="H48" s="1411"/>
      <c r="I48" s="1408"/>
      <c r="J48" s="485"/>
      <c r="K48" s="782"/>
      <c r="L48" s="1142"/>
      <c r="M48" s="1130"/>
      <c r="N48" s="1130"/>
      <c r="O48" s="1130"/>
      <c r="P48" s="3210" t="str">
        <f>A48</f>
        <v>成交单价（元/平方米）</v>
      </c>
      <c r="Q48" s="3233"/>
      <c r="R48" s="3234">
        <f>E48</f>
        <v>0</v>
      </c>
      <c r="S48" s="3234"/>
      <c r="T48" s="3234">
        <f>G48</f>
        <v>0</v>
      </c>
      <c r="U48" s="3234"/>
      <c r="V48" s="3234">
        <f>I48</f>
        <v>0</v>
      </c>
      <c r="W48" s="3234"/>
      <c r="X48" s="446"/>
      <c r="Y48" s="780"/>
      <c r="Z48" s="446"/>
      <c r="AA48" s="446"/>
      <c r="AB48" s="446"/>
      <c r="AC48" s="630"/>
    </row>
    <row r="49" spans="1:29" ht="15.75" thickBot="1">
      <c r="A49" s="486" t="s">
        <v>2658</v>
      </c>
      <c r="B49" s="487"/>
      <c r="C49" s="1412" t="e">
        <f>R50</f>
        <v>#DIV/0!</v>
      </c>
      <c r="D49" s="1413"/>
      <c r="E49" s="1414" t="e">
        <f>R49</f>
        <v>#DIV/0!</v>
      </c>
      <c r="F49" s="1414"/>
      <c r="G49" s="1412" t="e">
        <f>T49</f>
        <v>#DIV/0!</v>
      </c>
      <c r="H49" s="1413"/>
      <c r="I49" s="1414" t="e">
        <f>V49</f>
        <v>#DIV/0!</v>
      </c>
      <c r="J49" s="489"/>
      <c r="K49" s="783"/>
      <c r="L49" s="1142"/>
      <c r="M49" s="1130"/>
      <c r="N49" s="1130"/>
      <c r="O49" s="1130"/>
      <c r="P49" s="3210" t="str">
        <f>A49</f>
        <v>比较价值（元/平方米）</v>
      </c>
      <c r="Q49" s="323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2659</v>
      </c>
      <c r="B50" s="493"/>
      <c r="C50" s="1416" t="e">
        <f>R50</f>
        <v>#DIV/0!</v>
      </c>
      <c r="D50" s="1416"/>
      <c r="E50" s="1416"/>
      <c r="F50" s="1416"/>
      <c r="G50" s="1416"/>
      <c r="H50" s="1416"/>
      <c r="I50" s="1416"/>
      <c r="J50" s="494"/>
      <c r="K50" s="784"/>
      <c r="L50" s="1142"/>
      <c r="M50" s="1130"/>
      <c r="N50" s="1130"/>
      <c r="O50" s="1130"/>
      <c r="P50" s="3283" t="str">
        <f>A50</f>
        <v>估价对象XX用房的比较价值（楼面单价，元/平方米）</v>
      </c>
      <c r="Q50" s="3284"/>
      <c r="R50" s="3285" t="e">
        <f>IF(F1="售价",ROUND(AVERAGE(R49:V49),0),ROUND(AVERAGE(R49:V49),1))</f>
        <v>#DIV/0!</v>
      </c>
      <c r="S50" s="3285"/>
      <c r="T50" s="3285"/>
      <c r="U50" s="3285"/>
      <c r="V50" s="3285"/>
      <c r="W50" s="3285"/>
      <c r="X50" s="2649"/>
      <c r="Y50" s="2649"/>
      <c r="Z50" s="2649"/>
      <c r="AA50" s="2649"/>
      <c r="AB50" s="2649"/>
      <c r="AC50" s="2650"/>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3"/>
      <c r="N53" s="1143"/>
      <c r="O53" s="1143"/>
    </row>
    <row r="54" spans="1:29" ht="13.5" customHeight="1">
      <c r="A54" s="1143"/>
      <c r="B54" s="1143"/>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3"/>
      <c r="N54" s="1143"/>
      <c r="O54" s="1143"/>
    </row>
    <row r="55" spans="1:29" s="502" customFormat="1" ht="13.5" customHeight="1">
      <c r="A55" s="1144"/>
      <c r="B55" s="1144"/>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5"/>
      <c r="L57" s="1106"/>
      <c r="M57" s="1143"/>
      <c r="N57" s="1143"/>
      <c r="O57" s="1143"/>
    </row>
    <row r="58" spans="1:29" ht="21.75" thickBot="1">
      <c r="A58" s="762" t="s">
        <v>2663</v>
      </c>
      <c r="B58" s="758"/>
      <c r="C58" s="763"/>
      <c r="D58" s="763"/>
      <c r="E58" s="763"/>
      <c r="F58" s="764"/>
      <c r="G58" s="764"/>
      <c r="H58" s="763"/>
      <c r="I58" s="763"/>
      <c r="J58" s="763"/>
      <c r="K58" s="765"/>
      <c r="L58" s="1160"/>
      <c r="M58" s="1158"/>
      <c r="N58" s="1158"/>
      <c r="O58" s="1158"/>
      <c r="P58" s="2676"/>
      <c r="Q58" s="504"/>
    </row>
    <row r="59" spans="1:29" s="508" customFormat="1" ht="15">
      <c r="A59" s="505" t="s">
        <v>2537</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2574</v>
      </c>
      <c r="B61" s="516"/>
      <c r="C61" s="517"/>
      <c r="D61" s="518"/>
      <c r="E61" s="518"/>
      <c r="F61" s="518"/>
      <c r="G61" s="518"/>
      <c r="H61" s="518"/>
      <c r="I61" s="518"/>
      <c r="J61" s="518"/>
      <c r="K61" s="518"/>
      <c r="L61" s="518"/>
      <c r="M61" s="519"/>
      <c r="N61" s="518"/>
      <c r="O61" s="519"/>
      <c r="P61" s="2677"/>
      <c r="Q61" s="504"/>
    </row>
    <row r="62" spans="1:29" s="117" customFormat="1" ht="15">
      <c r="A62" s="521" t="s">
        <v>2539</v>
      </c>
      <c r="B62" s="510"/>
      <c r="C62" s="522" t="s">
        <v>2641</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f>C9</f>
        <v>0</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9"/>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c r="D69" s="549"/>
      <c r="E69" s="549"/>
      <c r="F69" s="549"/>
      <c r="G69" s="549"/>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111</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111</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111</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9"/>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9"/>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9"/>
      <c r="Q82" s="504"/>
    </row>
    <row r="83" spans="1:17" ht="15.75" thickTop="1">
      <c r="A83" s="534"/>
      <c r="B83" s="546" t="s">
        <v>2678</v>
      </c>
      <c r="C83" s="660" t="s">
        <v>2664</v>
      </c>
      <c r="D83" s="660" t="s">
        <v>2665</v>
      </c>
      <c r="E83" s="660" t="s">
        <v>2666</v>
      </c>
      <c r="F83" s="660" t="s">
        <v>2667</v>
      </c>
      <c r="G83" s="660" t="s">
        <v>2668</v>
      </c>
      <c r="H83" s="539"/>
      <c r="I83" s="539"/>
      <c r="J83" s="539"/>
      <c r="K83" s="539"/>
      <c r="L83" s="539"/>
      <c r="M83" s="1381"/>
      <c r="N83" s="1152"/>
      <c r="O83" s="1152"/>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9"/>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9"/>
      <c r="Q86" s="504"/>
    </row>
    <row r="87" spans="1:17" s="117" customFormat="1" ht="27.75" thickTop="1">
      <c r="A87" s="579"/>
      <c r="B87" s="538" t="s">
        <v>2688</v>
      </c>
      <c r="C87" s="554"/>
      <c r="D87" s="554"/>
      <c r="E87" s="554"/>
      <c r="F87" s="554"/>
      <c r="G87" s="554"/>
      <c r="H87" s="554"/>
      <c r="I87" s="554"/>
      <c r="J87" s="554"/>
      <c r="K87" s="554"/>
      <c r="L87" s="580"/>
      <c r="M87" s="581"/>
      <c r="N87" s="1150"/>
      <c r="O87" s="1150"/>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9"/>
      <c r="Q88" s="504"/>
    </row>
    <row r="89" spans="1:17" s="117" customFormat="1" ht="15.75" thickTop="1">
      <c r="A89" s="579"/>
      <c r="B89" s="538" t="str">
        <f>B27</f>
        <v>楼层</v>
      </c>
      <c r="C89" s="554"/>
      <c r="D89" s="554"/>
      <c r="E89" s="554"/>
      <c r="F89" s="2630"/>
      <c r="G89" s="554"/>
      <c r="H89" s="554"/>
      <c r="I89" s="554"/>
      <c r="J89" s="554"/>
      <c r="K89" s="554"/>
      <c r="L89" s="554"/>
      <c r="M89" s="581"/>
      <c r="N89" s="1150"/>
      <c r="O89" s="1150"/>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111</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111</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111</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111</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530"/>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9"/>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c r="D104" s="595"/>
      <c r="E104" s="595"/>
      <c r="F104" s="595"/>
      <c r="G104" s="595"/>
      <c r="H104" s="595"/>
      <c r="I104" s="595"/>
      <c r="J104" s="596"/>
      <c r="K104" s="596"/>
      <c r="L104" s="597"/>
      <c r="M104" s="598"/>
      <c r="N104" s="1153"/>
      <c r="O104" s="1153"/>
      <c r="P104" s="2680"/>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0"/>
      <c r="Q105" s="559"/>
    </row>
    <row r="106" spans="1:17" ht="15" thickTop="1">
      <c r="A106" s="599"/>
      <c r="B106" s="538" t="s">
        <v>2603</v>
      </c>
      <c r="C106" s="554"/>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9"/>
      <c r="Q107" s="504"/>
    </row>
    <row r="108" spans="1:17" ht="15" thickTop="1">
      <c r="A108" s="599"/>
      <c r="B108" s="538" t="s">
        <v>2605</v>
      </c>
      <c r="C108" s="554"/>
      <c r="D108" s="554"/>
      <c r="E108" s="554"/>
      <c r="F108" s="583"/>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9"/>
      <c r="Q112" s="504"/>
    </row>
    <row r="113" spans="1:17" s="471" customFormat="1" ht="15" thickTop="1">
      <c r="A113" s="593"/>
      <c r="B113" s="538" t="s">
        <v>2689</v>
      </c>
      <c r="C113" s="554"/>
      <c r="D113" s="554"/>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0"/>
      <c r="Q114" s="559"/>
    </row>
    <row r="115" spans="1:17" ht="15" thickTop="1">
      <c r="A115" s="599"/>
      <c r="B115" s="538" t="s">
        <v>2606</v>
      </c>
      <c r="C115" s="554"/>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9"/>
      <c r="Q116" s="504"/>
    </row>
    <row r="117" spans="1:17" ht="15" thickTop="1">
      <c r="A117" s="599"/>
      <c r="B117" s="538" t="s">
        <v>2607</v>
      </c>
      <c r="C117" s="554"/>
      <c r="D117" s="554"/>
      <c r="E117" s="554"/>
      <c r="F117" s="554"/>
      <c r="G117" s="554"/>
      <c r="H117" s="583"/>
      <c r="I117" s="583"/>
      <c r="J117" s="583"/>
      <c r="K117" s="584"/>
      <c r="L117" s="585"/>
      <c r="M117" s="586"/>
      <c r="N117" s="1151"/>
      <c r="O117" s="1151"/>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9"/>
      <c r="Q118" s="504"/>
    </row>
    <row r="119" spans="1:17" ht="15" thickTop="1">
      <c r="A119" s="599"/>
      <c r="B119" s="636" t="s">
        <v>2690</v>
      </c>
      <c r="C119" s="583"/>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554"/>
      <c r="D123" s="554"/>
      <c r="E123" s="554"/>
      <c r="F123" s="583"/>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9"/>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9"/>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111</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111</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4" t="s">
        <v>2691</v>
      </c>
      <c r="C1" s="1619" t="s">
        <v>2519</v>
      </c>
      <c r="D1" s="1620"/>
      <c r="E1" s="1629"/>
      <c r="F1" s="2579"/>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IF(C2="——",ROUND(C43*D3/10000,0),ROUND(C43*D3/10000,0)-D2)</f>
        <v>#DIV/0!</v>
      </c>
      <c r="C2" s="2581"/>
      <c r="D2" s="112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2661.36</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1" t="s">
        <v>2635</v>
      </c>
      <c r="D4" s="3212"/>
      <c r="E4" s="3213" t="s">
        <v>2636</v>
      </c>
      <c r="F4" s="3214"/>
      <c r="G4" s="3211" t="s">
        <v>2637</v>
      </c>
      <c r="H4" s="3212"/>
      <c r="I4" s="3211" t="s">
        <v>2638</v>
      </c>
      <c r="J4" s="3212"/>
      <c r="K4" s="610" t="s">
        <v>2639</v>
      </c>
      <c r="L4" s="1129"/>
      <c r="M4" s="1130"/>
      <c r="N4" s="1130"/>
      <c r="O4" s="1130"/>
      <c r="P4" s="3215" t="s">
        <v>2640</v>
      </c>
      <c r="Q4" s="3216"/>
      <c r="R4" s="3198" t="s">
        <v>2636</v>
      </c>
      <c r="S4" s="3199"/>
      <c r="T4" s="3198" t="s">
        <v>2637</v>
      </c>
      <c r="U4" s="3199"/>
      <c r="V4" s="3195" t="s">
        <v>2638</v>
      </c>
      <c r="W4" s="3195"/>
      <c r="X4" s="1811"/>
      <c r="Y4" s="3198" t="s">
        <v>2640</v>
      </c>
      <c r="Z4" s="3199"/>
      <c r="AA4" s="3192" t="s">
        <v>2636</v>
      </c>
      <c r="AB4" s="3193" t="s">
        <v>2637</v>
      </c>
      <c r="AC4" s="3192" t="s">
        <v>2638</v>
      </c>
    </row>
    <row r="5" spans="1:29" ht="15">
      <c r="A5" s="404"/>
      <c r="B5" s="405"/>
      <c r="C5" s="3270" t="s">
        <v>2531</v>
      </c>
      <c r="D5" s="3205"/>
      <c r="E5" s="3269" t="s">
        <v>2532</v>
      </c>
      <c r="F5" s="3203"/>
      <c r="G5" s="3270" t="s">
        <v>2533</v>
      </c>
      <c r="H5" s="3205"/>
      <c r="I5" s="3270" t="s">
        <v>2534</v>
      </c>
      <c r="J5" s="3205"/>
      <c r="K5" s="610"/>
      <c r="L5" s="1129"/>
      <c r="M5" s="1130"/>
      <c r="N5" s="1130"/>
      <c r="O5" s="1130"/>
      <c r="P5" s="3217"/>
      <c r="Q5" s="3218"/>
      <c r="R5" s="3200"/>
      <c r="S5" s="3201"/>
      <c r="T5" s="3200"/>
      <c r="U5" s="3201"/>
      <c r="V5" s="3195"/>
      <c r="W5" s="3195"/>
      <c r="X5" s="1811"/>
      <c r="Y5" s="3200"/>
      <c r="Z5" s="3201"/>
      <c r="AA5" s="3193"/>
      <c r="AB5" s="3193"/>
      <c r="AC5" s="3193"/>
    </row>
    <row r="6" spans="1:29" ht="15.75" thickBot="1">
      <c r="A6" s="406"/>
      <c r="B6" s="407"/>
      <c r="C6" s="3206" t="s">
        <v>2535</v>
      </c>
      <c r="D6" s="3207"/>
      <c r="E6" s="3208" t="s">
        <v>2535</v>
      </c>
      <c r="F6" s="3209"/>
      <c r="G6" s="3206" t="s">
        <v>2535</v>
      </c>
      <c r="H6" s="3207"/>
      <c r="I6" s="3206" t="s">
        <v>2535</v>
      </c>
      <c r="J6" s="3207"/>
      <c r="K6" s="610" t="s">
        <v>2536</v>
      </c>
      <c r="L6" s="1129"/>
      <c r="M6" s="1130"/>
      <c r="N6" s="1130"/>
      <c r="O6" s="1130"/>
      <c r="P6" s="3219"/>
      <c r="Q6" s="3220"/>
      <c r="R6" s="3200"/>
      <c r="S6" s="3201"/>
      <c r="T6" s="3221"/>
      <c r="U6" s="3222"/>
      <c r="V6" s="3195"/>
      <c r="W6" s="3195"/>
      <c r="X6" s="1811"/>
      <c r="Y6" s="3221"/>
      <c r="Z6" s="3222"/>
      <c r="AA6" s="3194"/>
      <c r="AB6" s="3194"/>
      <c r="AC6" s="3194"/>
    </row>
    <row r="7" spans="1:29" s="117" customFormat="1" ht="15.75" thickBot="1">
      <c r="A7" s="408" t="s">
        <v>2537</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96" t="s">
        <v>2538</v>
      </c>
      <c r="Q7" s="3223"/>
      <c r="R7" s="769" t="s">
        <v>17</v>
      </c>
      <c r="S7" s="770">
        <f t="shared" ref="S7:S15" si="0">F7</f>
        <v>0</v>
      </c>
      <c r="T7" s="769" t="s">
        <v>17</v>
      </c>
      <c r="U7" s="770">
        <f t="shared" ref="U7:U15" si="1">H7</f>
        <v>0</v>
      </c>
      <c r="V7" s="769" t="s">
        <v>17</v>
      </c>
      <c r="W7" s="770">
        <f t="shared" ref="W7:W15" si="2">J7</f>
        <v>0</v>
      </c>
      <c r="X7" s="771"/>
      <c r="Y7" s="3196" t="s">
        <v>2538</v>
      </c>
      <c r="Z7" s="3197"/>
      <c r="AA7" s="772" t="e">
        <f>D7/F7</f>
        <v>#DIV/0!</v>
      </c>
      <c r="AB7" s="772" t="e">
        <f>D7/H7</f>
        <v>#DIV/0!</v>
      </c>
      <c r="AC7" s="772"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96" t="s">
        <v>2541</v>
      </c>
      <c r="Q8" s="3197"/>
      <c r="R8" s="769" t="s">
        <v>17</v>
      </c>
      <c r="S8" s="770">
        <f t="shared" si="0"/>
        <v>0</v>
      </c>
      <c r="T8" s="769" t="s">
        <v>17</v>
      </c>
      <c r="U8" s="770">
        <f t="shared" si="1"/>
        <v>0</v>
      </c>
      <c r="V8" s="769" t="s">
        <v>17</v>
      </c>
      <c r="W8" s="770">
        <f t="shared" si="2"/>
        <v>0</v>
      </c>
      <c r="X8" s="771"/>
      <c r="Y8" s="3196" t="s">
        <v>2541</v>
      </c>
      <c r="Z8" s="3197"/>
      <c r="AA8" s="772" t="e">
        <f t="shared" ref="AA8:AA40" si="3">D8/F8</f>
        <v>#DIV/0!</v>
      </c>
      <c r="AB8" s="772" t="e">
        <f t="shared" ref="AB8:AB40" si="4">D8/H8</f>
        <v>#DIV/0!</v>
      </c>
      <c r="AC8" s="772"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33" t="s">
        <v>2544</v>
      </c>
      <c r="Q9" s="1793" t="str">
        <f t="shared" ref="Q9:Q15" si="6">B9</f>
        <v>用途</v>
      </c>
      <c r="R9" s="769" t="s">
        <v>17</v>
      </c>
      <c r="S9" s="770">
        <f t="shared" si="0"/>
        <v>100</v>
      </c>
      <c r="T9" s="769" t="s">
        <v>17</v>
      </c>
      <c r="U9" s="770">
        <f t="shared" si="1"/>
        <v>100</v>
      </c>
      <c r="V9" s="769" t="s">
        <v>17</v>
      </c>
      <c r="W9" s="770">
        <f t="shared" si="2"/>
        <v>100</v>
      </c>
      <c r="X9" s="771"/>
      <c r="Y9" s="3069"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33"/>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33"/>
      <c r="Q11" s="1793"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33"/>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33"/>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33"/>
      <c r="Q14" s="1793">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772">
        <f t="shared" si="5"/>
        <v>1</v>
      </c>
    </row>
    <row r="15" spans="1:29" ht="15">
      <c r="A15" s="440" t="s">
        <v>2548</v>
      </c>
      <c r="B15" s="69" t="s">
        <v>2692</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6" t="s">
        <v>2549</v>
      </c>
      <c r="Q15" s="1808" t="str">
        <f t="shared" si="6"/>
        <v>产业集聚程度</v>
      </c>
      <c r="R15" s="773" t="s">
        <v>17</v>
      </c>
      <c r="S15" s="774">
        <f t="shared" si="0"/>
        <v>100</v>
      </c>
      <c r="T15" s="773" t="s">
        <v>17</v>
      </c>
      <c r="U15" s="774">
        <f t="shared" si="1"/>
        <v>100</v>
      </c>
      <c r="V15" s="773" t="s">
        <v>17</v>
      </c>
      <c r="W15" s="774">
        <f t="shared" si="2"/>
        <v>100</v>
      </c>
      <c r="X15" s="1811"/>
      <c r="Y15" s="3226"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27"/>
      <c r="Q16" s="1808"/>
      <c r="R16" s="773"/>
      <c r="S16" s="774"/>
      <c r="T16" s="773"/>
      <c r="U16" s="774"/>
      <c r="V16" s="773"/>
      <c r="W16" s="774"/>
      <c r="X16" s="1811"/>
      <c r="Y16" s="3227"/>
      <c r="Z16" s="1812"/>
      <c r="AA16" s="1809">
        <v>1</v>
      </c>
      <c r="AB16" s="1809">
        <v>1</v>
      </c>
      <c r="AC16" s="1809">
        <v>1</v>
      </c>
    </row>
    <row r="17" spans="1:29" ht="15">
      <c r="A17" s="428"/>
      <c r="B17" s="451" t="s">
        <v>2091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7"/>
      <c r="Q17" s="1808" t="str">
        <f>B17</f>
        <v>交通便捷度</v>
      </c>
      <c r="R17" s="773" t="s">
        <v>17</v>
      </c>
      <c r="S17" s="774">
        <f>F17</f>
        <v>100</v>
      </c>
      <c r="T17" s="773" t="s">
        <v>17</v>
      </c>
      <c r="U17" s="774">
        <f>H17</f>
        <v>100</v>
      </c>
      <c r="V17" s="773" t="s">
        <v>17</v>
      </c>
      <c r="W17" s="774">
        <f>J17</f>
        <v>100</v>
      </c>
      <c r="X17" s="1811"/>
      <c r="Y17" s="3227"/>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27"/>
      <c r="Q18" s="1808"/>
      <c r="R18" s="773"/>
      <c r="S18" s="774"/>
      <c r="T18" s="773"/>
      <c r="U18" s="774"/>
      <c r="V18" s="773"/>
      <c r="W18" s="774"/>
      <c r="X18" s="1811"/>
      <c r="Y18" s="3227"/>
      <c r="Z18" s="1812"/>
      <c r="AA18" s="1809">
        <v>1</v>
      </c>
      <c r="AB18" s="1809">
        <v>1</v>
      </c>
      <c r="AC18" s="1809">
        <v>1</v>
      </c>
    </row>
    <row r="19" spans="1:29" ht="15">
      <c r="A19" s="428"/>
      <c r="B19" s="451" t="s">
        <v>2677</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7"/>
      <c r="Q19" s="1808" t="str">
        <f>B19</f>
        <v>公共配套设施</v>
      </c>
      <c r="R19" s="773" t="s">
        <v>17</v>
      </c>
      <c r="S19" s="774">
        <f>F19</f>
        <v>100</v>
      </c>
      <c r="T19" s="773" t="s">
        <v>17</v>
      </c>
      <c r="U19" s="774">
        <f>H19</f>
        <v>100</v>
      </c>
      <c r="V19" s="773" t="s">
        <v>17</v>
      </c>
      <c r="W19" s="774">
        <f>J19</f>
        <v>100</v>
      </c>
      <c r="X19" s="1811"/>
      <c r="Y19" s="3227"/>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27"/>
      <c r="Q20" s="1808"/>
      <c r="R20" s="773"/>
      <c r="S20" s="774"/>
      <c r="T20" s="773"/>
      <c r="U20" s="774"/>
      <c r="V20" s="773"/>
      <c r="W20" s="774"/>
      <c r="X20" s="1811"/>
      <c r="Y20" s="3227"/>
      <c r="Z20" s="1812"/>
      <c r="AA20" s="1809">
        <v>1</v>
      </c>
      <c r="AB20" s="1809">
        <v>1</v>
      </c>
      <c r="AC20" s="1809">
        <v>1</v>
      </c>
    </row>
    <row r="21" spans="1:29" ht="15">
      <c r="A21" s="428"/>
      <c r="B21" s="1383" t="s">
        <v>2678</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7"/>
      <c r="Q21" s="1808" t="str">
        <f>B21</f>
        <v>基础设施水平</v>
      </c>
      <c r="R21" s="773" t="s">
        <v>17</v>
      </c>
      <c r="S21" s="774">
        <f>F21</f>
        <v>100</v>
      </c>
      <c r="T21" s="773" t="s">
        <v>17</v>
      </c>
      <c r="U21" s="774">
        <f>H21</f>
        <v>100</v>
      </c>
      <c r="V21" s="773" t="s">
        <v>17</v>
      </c>
      <c r="W21" s="774">
        <f>J21</f>
        <v>100</v>
      </c>
      <c r="X21" s="1811"/>
      <c r="Y21" s="3227"/>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9"/>
      <c r="G22" s="447"/>
      <c r="H22" s="448"/>
      <c r="I22" s="447"/>
      <c r="J22" s="448"/>
      <c r="K22" s="1382"/>
      <c r="L22" s="1139"/>
      <c r="M22" s="1130"/>
      <c r="N22" s="1130"/>
      <c r="O22" s="1138"/>
      <c r="P22" s="3227"/>
      <c r="Q22" s="1808"/>
      <c r="R22" s="773"/>
      <c r="S22" s="774"/>
      <c r="T22" s="773"/>
      <c r="U22" s="774"/>
      <c r="V22" s="773"/>
      <c r="W22" s="774"/>
      <c r="X22" s="1811"/>
      <c r="Y22" s="3227"/>
      <c r="Z22" s="1812"/>
      <c r="AA22" s="1809">
        <v>1</v>
      </c>
      <c r="AB22" s="1809">
        <v>1</v>
      </c>
      <c r="AC22" s="1809">
        <v>1</v>
      </c>
    </row>
    <row r="23" spans="1:29" ht="15">
      <c r="A23" s="428"/>
      <c r="B23" s="451" t="s">
        <v>2679</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7"/>
      <c r="Q23" s="1808" t="str">
        <f>B23</f>
        <v>环境质量</v>
      </c>
      <c r="R23" s="773" t="s">
        <v>17</v>
      </c>
      <c r="S23" s="774">
        <f>F23</f>
        <v>100</v>
      </c>
      <c r="T23" s="773" t="s">
        <v>17</v>
      </c>
      <c r="U23" s="774">
        <f>H23</f>
        <v>100</v>
      </c>
      <c r="V23" s="773" t="s">
        <v>17</v>
      </c>
      <c r="W23" s="774">
        <f>J23</f>
        <v>100</v>
      </c>
      <c r="X23" s="1811"/>
      <c r="Y23" s="3227"/>
      <c r="Z23" s="1812" t="str">
        <f>Q23</f>
        <v>环境质量</v>
      </c>
      <c r="AA23" s="1809">
        <f t="shared" si="3"/>
        <v>1</v>
      </c>
      <c r="AB23" s="1809">
        <f t="shared" si="4"/>
        <v>1</v>
      </c>
      <c r="AC23" s="1809">
        <f t="shared" si="5"/>
        <v>1</v>
      </c>
    </row>
    <row r="24" spans="1:29" ht="15">
      <c r="A24" s="428"/>
      <c r="B24" s="1383"/>
      <c r="C24" s="447"/>
      <c r="D24" s="448"/>
      <c r="E24" s="2600"/>
      <c r="F24" s="449"/>
      <c r="G24" s="2599"/>
      <c r="H24" s="448"/>
      <c r="I24" s="2600"/>
      <c r="J24" s="448"/>
      <c r="K24" s="615"/>
      <c r="L24" s="1139"/>
      <c r="M24" s="1130"/>
      <c r="N24" s="1130"/>
      <c r="O24" s="1138"/>
      <c r="P24" s="3227"/>
      <c r="Q24" s="1808"/>
      <c r="R24" s="773"/>
      <c r="S24" s="774"/>
      <c r="T24" s="773"/>
      <c r="U24" s="774"/>
      <c r="V24" s="773"/>
      <c r="W24" s="774"/>
      <c r="X24" s="1811"/>
      <c r="Y24" s="3227"/>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7"/>
      <c r="Q25" s="1808">
        <f>B25</f>
        <v>111</v>
      </c>
      <c r="R25" s="773" t="s">
        <v>17</v>
      </c>
      <c r="S25" s="774">
        <f>F25</f>
        <v>100</v>
      </c>
      <c r="T25" s="773" t="s">
        <v>17</v>
      </c>
      <c r="U25" s="774">
        <f>H25</f>
        <v>100</v>
      </c>
      <c r="V25" s="773" t="s">
        <v>17</v>
      </c>
      <c r="W25" s="774">
        <f>J25</f>
        <v>100</v>
      </c>
      <c r="X25" s="1811"/>
      <c r="Y25" s="3227"/>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7"/>
      <c r="Q26" s="1808">
        <f t="shared" ref="Q26:Q40" si="11">B26</f>
        <v>111</v>
      </c>
      <c r="R26" s="773" t="s">
        <v>17</v>
      </c>
      <c r="S26" s="774">
        <f>F26</f>
        <v>100</v>
      </c>
      <c r="T26" s="773" t="s">
        <v>17</v>
      </c>
      <c r="U26" s="774">
        <f>H26</f>
        <v>100</v>
      </c>
      <c r="V26" s="773" t="s">
        <v>17</v>
      </c>
      <c r="W26" s="774">
        <f>J26</f>
        <v>100</v>
      </c>
      <c r="X26" s="1811"/>
      <c r="Y26" s="3227"/>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7"/>
      <c r="Q27" s="1793">
        <f t="shared" si="11"/>
        <v>111</v>
      </c>
      <c r="R27" s="769" t="s">
        <v>17</v>
      </c>
      <c r="S27" s="770">
        <f>F27</f>
        <v>100</v>
      </c>
      <c r="T27" s="769" t="s">
        <v>17</v>
      </c>
      <c r="U27" s="770">
        <f>H27</f>
        <v>100</v>
      </c>
      <c r="V27" s="769" t="s">
        <v>17</v>
      </c>
      <c r="W27" s="770">
        <f>J27</f>
        <v>100</v>
      </c>
      <c r="X27" s="771"/>
      <c r="Y27" s="3227"/>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7"/>
      <c r="Q28" s="1808">
        <f t="shared" si="11"/>
        <v>111</v>
      </c>
      <c r="R28" s="773" t="s">
        <v>17</v>
      </c>
      <c r="S28" s="774">
        <f t="shared" ref="S28:S40" si="12">F28</f>
        <v>100</v>
      </c>
      <c r="T28" s="773" t="s">
        <v>17</v>
      </c>
      <c r="U28" s="774">
        <f t="shared" ref="U28:U40" si="13">H28</f>
        <v>100</v>
      </c>
      <c r="V28" s="773" t="s">
        <v>17</v>
      </c>
      <c r="W28" s="774">
        <f t="shared" ref="W28:W40" si="14">J28</f>
        <v>100</v>
      </c>
      <c r="X28" s="1811"/>
      <c r="Y28" s="3227"/>
      <c r="Z28" s="1812">
        <f t="shared" ref="Z28:Z40" si="15">Q28</f>
        <v>111</v>
      </c>
      <c r="AA28" s="1809">
        <f t="shared" si="3"/>
        <v>1</v>
      </c>
      <c r="AB28" s="1809">
        <f t="shared" si="4"/>
        <v>1</v>
      </c>
      <c r="AC28" s="1809">
        <f t="shared" si="5"/>
        <v>1</v>
      </c>
    </row>
    <row r="29" spans="1:29" ht="15">
      <c r="A29" s="466" t="s">
        <v>2552</v>
      </c>
      <c r="B29" s="71" t="s">
        <v>2682</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6" t="s">
        <v>2554</v>
      </c>
      <c r="Q29" s="1808" t="str">
        <f t="shared" si="11"/>
        <v>建筑类型</v>
      </c>
      <c r="R29" s="773" t="s">
        <v>17</v>
      </c>
      <c r="S29" s="774">
        <f t="shared" si="12"/>
        <v>100</v>
      </c>
      <c r="T29" s="773" t="s">
        <v>17</v>
      </c>
      <c r="U29" s="774">
        <f t="shared" si="13"/>
        <v>100</v>
      </c>
      <c r="V29" s="773" t="s">
        <v>17</v>
      </c>
      <c r="W29" s="774">
        <f t="shared" si="14"/>
        <v>100</v>
      </c>
      <c r="X29" s="1811"/>
      <c r="Y29" s="3231"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31"/>
      <c r="Q30" s="775" t="str">
        <f t="shared" si="11"/>
        <v>项目建筑规模</v>
      </c>
      <c r="R30" s="776" t="s">
        <v>17</v>
      </c>
      <c r="S30" s="777" t="e">
        <f t="shared" si="12"/>
        <v>#N/A</v>
      </c>
      <c r="T30" s="776" t="s">
        <v>17</v>
      </c>
      <c r="U30" s="777" t="e">
        <f t="shared" si="13"/>
        <v>#N/A</v>
      </c>
      <c r="V30" s="776" t="s">
        <v>17</v>
      </c>
      <c r="W30" s="777" t="e">
        <f t="shared" si="14"/>
        <v>#N/A</v>
      </c>
      <c r="X30" s="778"/>
      <c r="Y30" s="3231"/>
      <c r="Z30" s="779"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31"/>
      <c r="Q31" s="1808" t="str">
        <f t="shared" si="11"/>
        <v>建筑结构</v>
      </c>
      <c r="R31" s="773" t="s">
        <v>17</v>
      </c>
      <c r="S31" s="774">
        <f t="shared" si="12"/>
        <v>100</v>
      </c>
      <c r="T31" s="773" t="s">
        <v>17</v>
      </c>
      <c r="U31" s="774">
        <f t="shared" si="13"/>
        <v>100</v>
      </c>
      <c r="V31" s="773" t="s">
        <v>17</v>
      </c>
      <c r="W31" s="774">
        <f t="shared" si="14"/>
        <v>100</v>
      </c>
      <c r="X31" s="1811"/>
      <c r="Y31" s="3231"/>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31"/>
      <c r="Q32" s="1808" t="str">
        <f t="shared" si="11"/>
        <v>公共部分装修</v>
      </c>
      <c r="R32" s="773" t="s">
        <v>17</v>
      </c>
      <c r="S32" s="774">
        <f t="shared" si="12"/>
        <v>100</v>
      </c>
      <c r="T32" s="773" t="s">
        <v>17</v>
      </c>
      <c r="U32" s="774">
        <f t="shared" si="13"/>
        <v>100</v>
      </c>
      <c r="V32" s="773" t="s">
        <v>17</v>
      </c>
      <c r="W32" s="774">
        <f t="shared" si="14"/>
        <v>100</v>
      </c>
      <c r="X32" s="1811"/>
      <c r="Y32" s="3231"/>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31"/>
      <c r="Q33" s="1808" t="str">
        <f t="shared" si="11"/>
        <v>成新度</v>
      </c>
      <c r="R33" s="773" t="s">
        <v>17</v>
      </c>
      <c r="S33" s="774" t="e">
        <f t="shared" si="12"/>
        <v>#N/A</v>
      </c>
      <c r="T33" s="773" t="s">
        <v>17</v>
      </c>
      <c r="U33" s="774" t="e">
        <f t="shared" si="13"/>
        <v>#N/A</v>
      </c>
      <c r="V33" s="773" t="s">
        <v>17</v>
      </c>
      <c r="W33" s="774" t="e">
        <f t="shared" si="14"/>
        <v>#N/A</v>
      </c>
      <c r="X33" s="1811"/>
      <c r="Y33" s="3231"/>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31"/>
      <c r="Q34" s="1793" t="str">
        <f t="shared" si="11"/>
        <v>物业管理</v>
      </c>
      <c r="R34" s="769" t="s">
        <v>17</v>
      </c>
      <c r="S34" s="770">
        <f t="shared" si="12"/>
        <v>100</v>
      </c>
      <c r="T34" s="769" t="s">
        <v>17</v>
      </c>
      <c r="U34" s="770">
        <f t="shared" si="13"/>
        <v>100</v>
      </c>
      <c r="V34" s="769" t="s">
        <v>17</v>
      </c>
      <c r="W34" s="770">
        <f t="shared" si="14"/>
        <v>100</v>
      </c>
      <c r="X34" s="771"/>
      <c r="Y34" s="3231"/>
      <c r="Z34" s="55" t="str">
        <f t="shared" si="15"/>
        <v>物业管理</v>
      </c>
      <c r="AA34" s="772">
        <f t="shared" si="3"/>
        <v>1</v>
      </c>
      <c r="AB34" s="772">
        <f t="shared" si="4"/>
        <v>1</v>
      </c>
      <c r="AC34" s="772">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31" t="s">
        <v>2554</v>
      </c>
      <c r="Q35" s="1808" t="str">
        <f t="shared" si="11"/>
        <v>市政基础设施</v>
      </c>
      <c r="R35" s="773" t="s">
        <v>17</v>
      </c>
      <c r="S35" s="774">
        <f t="shared" si="12"/>
        <v>100</v>
      </c>
      <c r="T35" s="773" t="s">
        <v>17</v>
      </c>
      <c r="U35" s="774">
        <f t="shared" si="13"/>
        <v>100</v>
      </c>
      <c r="V35" s="773" t="s">
        <v>17</v>
      </c>
      <c r="W35" s="774">
        <f t="shared" si="14"/>
        <v>100</v>
      </c>
      <c r="X35" s="1811"/>
      <c r="Y35" s="3231"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31"/>
      <c r="Q36" s="1808" t="str">
        <f t="shared" si="11"/>
        <v>内部装修</v>
      </c>
      <c r="R36" s="773" t="s">
        <v>17</v>
      </c>
      <c r="S36" s="774">
        <f t="shared" si="12"/>
        <v>100</v>
      </c>
      <c r="T36" s="773" t="s">
        <v>17</v>
      </c>
      <c r="U36" s="774">
        <f t="shared" si="13"/>
        <v>100</v>
      </c>
      <c r="V36" s="773" t="s">
        <v>17</v>
      </c>
      <c r="W36" s="774">
        <f t="shared" si="14"/>
        <v>100</v>
      </c>
      <c r="X36" s="1811"/>
      <c r="Y36" s="3231"/>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31"/>
      <c r="Q37" s="1808" t="str">
        <f t="shared" si="11"/>
        <v>内部装修状况</v>
      </c>
      <c r="R37" s="773" t="s">
        <v>17</v>
      </c>
      <c r="S37" s="774">
        <f t="shared" si="12"/>
        <v>100</v>
      </c>
      <c r="T37" s="773" t="s">
        <v>17</v>
      </c>
      <c r="U37" s="774">
        <f t="shared" si="13"/>
        <v>100</v>
      </c>
      <c r="V37" s="773" t="s">
        <v>17</v>
      </c>
      <c r="W37" s="774">
        <f t="shared" si="14"/>
        <v>100</v>
      </c>
      <c r="X37" s="1811"/>
      <c r="Y37" s="3231"/>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31"/>
      <c r="Q38" s="775">
        <f t="shared" si="11"/>
        <v>111</v>
      </c>
      <c r="R38" s="776" t="s">
        <v>17</v>
      </c>
      <c r="S38" s="777">
        <f t="shared" si="12"/>
        <v>100</v>
      </c>
      <c r="T38" s="776" t="s">
        <v>17</v>
      </c>
      <c r="U38" s="777">
        <f t="shared" si="13"/>
        <v>100</v>
      </c>
      <c r="V38" s="776" t="s">
        <v>17</v>
      </c>
      <c r="W38" s="777">
        <f t="shared" si="14"/>
        <v>100</v>
      </c>
      <c r="X38" s="778"/>
      <c r="Y38" s="3231"/>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31"/>
      <c r="Q39" s="1808">
        <f t="shared" si="11"/>
        <v>111</v>
      </c>
      <c r="R39" s="773" t="s">
        <v>17</v>
      </c>
      <c r="S39" s="774">
        <f t="shared" si="12"/>
        <v>100</v>
      </c>
      <c r="T39" s="773" t="s">
        <v>17</v>
      </c>
      <c r="U39" s="774">
        <f t="shared" si="13"/>
        <v>100</v>
      </c>
      <c r="V39" s="773" t="s">
        <v>17</v>
      </c>
      <c r="W39" s="774">
        <f t="shared" si="14"/>
        <v>100</v>
      </c>
      <c r="X39" s="1811"/>
      <c r="Y39" s="3231"/>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32"/>
      <c r="Q40" s="1808">
        <f t="shared" si="11"/>
        <v>111</v>
      </c>
      <c r="R40" s="773" t="s">
        <v>17</v>
      </c>
      <c r="S40" s="774">
        <f t="shared" si="12"/>
        <v>100</v>
      </c>
      <c r="T40" s="773" t="s">
        <v>17</v>
      </c>
      <c r="U40" s="774">
        <f t="shared" si="13"/>
        <v>100</v>
      </c>
      <c r="V40" s="773" t="s">
        <v>17</v>
      </c>
      <c r="W40" s="774">
        <f t="shared" si="14"/>
        <v>100</v>
      </c>
      <c r="X40" s="1811"/>
      <c r="Y40" s="3232"/>
      <c r="Z40" s="1812">
        <f t="shared" si="15"/>
        <v>111</v>
      </c>
      <c r="AA40" s="1809">
        <f t="shared" si="3"/>
        <v>1</v>
      </c>
      <c r="AB40" s="1809">
        <f t="shared" si="4"/>
        <v>1</v>
      </c>
      <c r="AC40" s="1809">
        <f t="shared" si="5"/>
        <v>1</v>
      </c>
    </row>
    <row r="41" spans="1:29" ht="15">
      <c r="A41" s="479" t="s">
        <v>2566</v>
      </c>
      <c r="B41" s="480"/>
      <c r="C41" s="1406" t="s">
        <v>1</v>
      </c>
      <c r="D41" s="1407"/>
      <c r="E41" s="1408"/>
      <c r="F41" s="1409"/>
      <c r="G41" s="1410"/>
      <c r="H41" s="1411"/>
      <c r="I41" s="1408"/>
      <c r="J41" s="1411"/>
      <c r="K41" s="782"/>
      <c r="L41" s="1142"/>
      <c r="M41" s="1143"/>
      <c r="N41" s="1130"/>
      <c r="O41" s="1143"/>
      <c r="P41" s="3233" t="str">
        <f>A41</f>
        <v>成交单价（元/平方米）</v>
      </c>
      <c r="Q41" s="3233"/>
      <c r="R41" s="3234">
        <f>E41</f>
        <v>0</v>
      </c>
      <c r="S41" s="3234"/>
      <c r="T41" s="3234">
        <f>G41</f>
        <v>0</v>
      </c>
      <c r="U41" s="3234"/>
      <c r="V41" s="3234">
        <f>I41</f>
        <v>0</v>
      </c>
      <c r="W41" s="3234"/>
      <c r="X41" s="758"/>
      <c r="Y41" s="780"/>
      <c r="Z41" s="758"/>
      <c r="AA41" s="758"/>
      <c r="AB41" s="758"/>
      <c r="AC41" s="758"/>
    </row>
    <row r="42" spans="1:29" ht="15.75" thickBot="1">
      <c r="A42" s="486" t="s">
        <v>2658</v>
      </c>
      <c r="B42" s="487"/>
      <c r="C42" s="1412" t="e">
        <f>R43</f>
        <v>#DIV/0!</v>
      </c>
      <c r="D42" s="1413"/>
      <c r="E42" s="1414" t="e">
        <f>R42</f>
        <v>#DIV/0!</v>
      </c>
      <c r="F42" s="1414"/>
      <c r="G42" s="1412" t="e">
        <f>T42</f>
        <v>#DIV/0!</v>
      </c>
      <c r="H42" s="1413"/>
      <c r="I42" s="1414" t="e">
        <f>V42</f>
        <v>#DIV/0!</v>
      </c>
      <c r="J42" s="1413"/>
      <c r="K42" s="783"/>
      <c r="L42" s="1142"/>
      <c r="M42" s="1143"/>
      <c r="N42" s="1130"/>
      <c r="O42" s="1143"/>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8"/>
      <c r="Y42" s="758"/>
      <c r="Z42" s="758"/>
      <c r="AA42" s="758"/>
      <c r="AB42" s="758"/>
      <c r="AC42" s="758"/>
    </row>
    <row r="43" spans="1:29" ht="15.75" thickBot="1">
      <c r="A43" s="492" t="s">
        <v>2659</v>
      </c>
      <c r="B43" s="493"/>
      <c r="C43" s="1416" t="e">
        <f>R43</f>
        <v>#DIV/0!</v>
      </c>
      <c r="D43" s="1416"/>
      <c r="E43" s="1416"/>
      <c r="F43" s="1416"/>
      <c r="G43" s="1416"/>
      <c r="H43" s="1416"/>
      <c r="I43" s="1416"/>
      <c r="J43" s="1416"/>
      <c r="K43" s="784"/>
      <c r="L43" s="1142"/>
      <c r="M43" s="1143"/>
      <c r="N43" s="1143"/>
      <c r="O43" s="1143"/>
      <c r="P43" s="3235" t="str">
        <f>A43</f>
        <v>估价对象XX用房的比较价值（楼面单价，元/平方米）</v>
      </c>
      <c r="Q43" s="3236"/>
      <c r="R43" s="3237" t="e">
        <f>IF(F1="售价",ROUND(AVERAGE(R42:V42),0),ROUND(AVERAGE(R42:V42),1))</f>
        <v>#DIV/0!</v>
      </c>
      <c r="S43" s="3237"/>
      <c r="T43" s="3237"/>
      <c r="U43" s="3237"/>
      <c r="V43" s="3237"/>
      <c r="W43" s="3237"/>
      <c r="X43" s="758"/>
      <c r="Y43" s="758"/>
      <c r="Z43" s="758"/>
      <c r="AA43" s="758"/>
      <c r="AB43" s="758"/>
      <c r="AC43" s="758"/>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2" t="s">
        <v>2663</v>
      </c>
      <c r="B51" s="758"/>
      <c r="C51" s="763"/>
      <c r="D51" s="763"/>
      <c r="E51" s="763"/>
      <c r="F51" s="764"/>
      <c r="G51" s="764"/>
      <c r="H51" s="763"/>
      <c r="I51" s="763"/>
      <c r="J51" s="763"/>
      <c r="K51" s="1159"/>
      <c r="L51" s="1160"/>
      <c r="M51" s="1158"/>
      <c r="N51" s="1158"/>
      <c r="O51" s="1158"/>
      <c r="P51" s="503"/>
      <c r="Q51" s="504"/>
    </row>
    <row r="52" spans="1:17" s="508" customFormat="1" ht="15">
      <c r="A52" s="505" t="s">
        <v>2537</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受贵公司委托，我公司对北京市丰台区马家堡东路168号院10号楼房地产抵押价值进行了预评估。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10号楼房地产，为北京匠心置业有限公司所有。根据《国有土地使用证》、《北京匠心置业有限公司丰台区马家堡东路168号院面积分摊计算说明》，估价对象（分摊）出让国有建设用地使用权面积为666.75平方米。根据《房屋所有权证》，估价对象建筑面积为2661.36平方米。</v>
      </c>
    </row>
    <row r="8" spans="1:1" ht="57.75">
      <c r="A8" s="1949" t="s">
        <v>1615</v>
      </c>
    </row>
    <row r="9" spans="1:1" ht="18.75">
      <c r="A9" s="1948" t="s">
        <v>1616</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10号楼房地产,属北京匠心置业有限公司开发建设的商业项目，该项目尚在开发建设中。根据《国有土地使用证》、《北京匠心置业有限公司丰台区马家堡东路168号院面积分摊计算说明》，估价对象（分摊）出让国有建设用地使用权面积为666.75平方米。根据《房屋所有权证》，估价对象规划建筑面积为2661.36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为估价委托人在向中国建设银行股份有限公司江苏分行太仓支行办理贷款手续过程中，确定房地产抵押贷款额度提供参考依据而评估房地产抵押价值。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1"/>
      <c r="F1" s="2579"/>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7" t="e">
        <f ca="1">IF(C2="——",IF(B37="元/平方米",ROUND(C39*D3/10000,0),ROUND(F3*C39/10000,0)),IF(B37="元/平方米",ROUND(C39*D3/10000,0),ROUND(F3*C39/10000,0))-D2)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2634</v>
      </c>
      <c r="B4" s="402"/>
      <c r="C4" s="3211" t="s">
        <v>2635</v>
      </c>
      <c r="D4" s="3212"/>
      <c r="E4" s="3213" t="s">
        <v>2636</v>
      </c>
      <c r="F4" s="3214"/>
      <c r="G4" s="3211" t="s">
        <v>2637</v>
      </c>
      <c r="H4" s="3212"/>
      <c r="I4" s="3211" t="s">
        <v>2638</v>
      </c>
      <c r="J4" s="3212"/>
      <c r="K4" s="610" t="s">
        <v>2639</v>
      </c>
      <c r="L4" s="1129"/>
      <c r="M4" s="1130"/>
      <c r="N4" s="1130"/>
      <c r="O4" s="1130"/>
      <c r="P4" s="3215" t="s">
        <v>2640</v>
      </c>
      <c r="Q4" s="3216"/>
      <c r="R4" s="3198" t="s">
        <v>2636</v>
      </c>
      <c r="S4" s="3199"/>
      <c r="T4" s="3198" t="s">
        <v>2637</v>
      </c>
      <c r="U4" s="3199"/>
      <c r="V4" s="3195" t="s">
        <v>2638</v>
      </c>
      <c r="W4" s="3195"/>
      <c r="X4" s="1811"/>
      <c r="Y4" s="3198" t="s">
        <v>2640</v>
      </c>
      <c r="Z4" s="3199"/>
      <c r="AA4" s="3192" t="s">
        <v>2636</v>
      </c>
      <c r="AB4" s="3193" t="s">
        <v>2637</v>
      </c>
      <c r="AC4" s="3192" t="s">
        <v>2638</v>
      </c>
    </row>
    <row r="5" spans="1:29" ht="15">
      <c r="A5" s="404"/>
      <c r="B5" s="405"/>
      <c r="C5" s="3270" t="s">
        <v>2531</v>
      </c>
      <c r="D5" s="3205"/>
      <c r="E5" s="3269" t="s">
        <v>2532</v>
      </c>
      <c r="F5" s="3203"/>
      <c r="G5" s="3270" t="s">
        <v>2533</v>
      </c>
      <c r="H5" s="3205"/>
      <c r="I5" s="3270" t="s">
        <v>2534</v>
      </c>
      <c r="J5" s="3205"/>
      <c r="K5" s="610"/>
      <c r="L5" s="1129"/>
      <c r="M5" s="1130"/>
      <c r="N5" s="1130"/>
      <c r="O5" s="1130"/>
      <c r="P5" s="3217"/>
      <c r="Q5" s="3218"/>
      <c r="R5" s="3200"/>
      <c r="S5" s="3201"/>
      <c r="T5" s="3200"/>
      <c r="U5" s="3201"/>
      <c r="V5" s="3195"/>
      <c r="W5" s="3195"/>
      <c r="X5" s="1811"/>
      <c r="Y5" s="3200"/>
      <c r="Z5" s="3201"/>
      <c r="AA5" s="3193"/>
      <c r="AB5" s="3193"/>
      <c r="AC5" s="3193"/>
    </row>
    <row r="6" spans="1:29" ht="15.75" thickBot="1">
      <c r="A6" s="406"/>
      <c r="B6" s="407"/>
      <c r="C6" s="3206" t="s">
        <v>2535</v>
      </c>
      <c r="D6" s="3207"/>
      <c r="E6" s="3208" t="s">
        <v>2535</v>
      </c>
      <c r="F6" s="3209"/>
      <c r="G6" s="3206" t="s">
        <v>2535</v>
      </c>
      <c r="H6" s="3207"/>
      <c r="I6" s="3206" t="s">
        <v>2535</v>
      </c>
      <c r="J6" s="3207"/>
      <c r="K6" s="610" t="s">
        <v>2536</v>
      </c>
      <c r="L6" s="1129"/>
      <c r="M6" s="1130"/>
      <c r="N6" s="1130"/>
      <c r="O6" s="1130"/>
      <c r="P6" s="3219"/>
      <c r="Q6" s="3220"/>
      <c r="R6" s="3200"/>
      <c r="S6" s="3201"/>
      <c r="T6" s="3221"/>
      <c r="U6" s="3222"/>
      <c r="V6" s="3195"/>
      <c r="W6" s="3195"/>
      <c r="X6" s="1811"/>
      <c r="Y6" s="3221"/>
      <c r="Z6" s="3222"/>
      <c r="AA6" s="3194"/>
      <c r="AB6" s="3194"/>
      <c r="AC6" s="3194"/>
    </row>
    <row r="7" spans="1:29" s="117" customFormat="1" ht="15.75" thickBot="1">
      <c r="A7" s="408" t="s">
        <v>2537</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96" t="s">
        <v>2538</v>
      </c>
      <c r="Q7" s="3223"/>
      <c r="R7" s="769" t="s">
        <v>17</v>
      </c>
      <c r="S7" s="770">
        <f t="shared" ref="S7:S14" si="0">F7</f>
        <v>0</v>
      </c>
      <c r="T7" s="769" t="s">
        <v>17</v>
      </c>
      <c r="U7" s="770">
        <f t="shared" ref="U7:U14" si="1">H7</f>
        <v>0</v>
      </c>
      <c r="V7" s="769" t="s">
        <v>17</v>
      </c>
      <c r="W7" s="770">
        <f t="shared" ref="W7:W14" si="2">J7</f>
        <v>0</v>
      </c>
      <c r="X7" s="771"/>
      <c r="Y7" s="3196" t="s">
        <v>2538</v>
      </c>
      <c r="Z7" s="3197"/>
      <c r="AA7" s="772" t="e">
        <f>D7/F7</f>
        <v>#DIV/0!</v>
      </c>
      <c r="AB7" s="772" t="e">
        <f>D7/H7</f>
        <v>#DIV/0!</v>
      </c>
      <c r="AC7" s="772"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96" t="s">
        <v>2541</v>
      </c>
      <c r="Q8" s="3197"/>
      <c r="R8" s="769" t="s">
        <v>17</v>
      </c>
      <c r="S8" s="770">
        <f t="shared" si="0"/>
        <v>0</v>
      </c>
      <c r="T8" s="769" t="s">
        <v>17</v>
      </c>
      <c r="U8" s="770">
        <f t="shared" si="1"/>
        <v>0</v>
      </c>
      <c r="V8" s="769" t="s">
        <v>17</v>
      </c>
      <c r="W8" s="770">
        <f t="shared" si="2"/>
        <v>0</v>
      </c>
      <c r="X8" s="771"/>
      <c r="Y8" s="3196" t="s">
        <v>2541</v>
      </c>
      <c r="Z8" s="3197"/>
      <c r="AA8" s="772" t="e">
        <f t="shared" ref="AA8:AA36" si="3">D8/F8</f>
        <v>#DIV/0!</v>
      </c>
      <c r="AB8" s="772" t="e">
        <f t="shared" ref="AB8:AB36" si="4">D8/H8</f>
        <v>#DIV/0!</v>
      </c>
      <c r="AC8" s="772"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33" t="s">
        <v>2544</v>
      </c>
      <c r="Q9" s="1793" t="str">
        <f t="shared" ref="Q9:Q14" si="6">B9</f>
        <v>用途</v>
      </c>
      <c r="R9" s="769" t="s">
        <v>17</v>
      </c>
      <c r="S9" s="770">
        <f t="shared" si="0"/>
        <v>100</v>
      </c>
      <c r="T9" s="769" t="s">
        <v>17</v>
      </c>
      <c r="U9" s="770">
        <f t="shared" si="1"/>
        <v>100</v>
      </c>
      <c r="V9" s="769" t="s">
        <v>17</v>
      </c>
      <c r="W9" s="770">
        <f t="shared" si="2"/>
        <v>100</v>
      </c>
      <c r="X9" s="771"/>
      <c r="Y9" s="3069" t="s">
        <v>2545</v>
      </c>
      <c r="Z9" s="55" t="str">
        <f t="shared" ref="Z9:Z14" si="7">Q9</f>
        <v>用途</v>
      </c>
      <c r="AA9" s="772">
        <f t="shared" si="3"/>
        <v>1</v>
      </c>
      <c r="AB9" s="772">
        <f t="shared" si="4"/>
        <v>1</v>
      </c>
      <c r="AC9" s="772">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33"/>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33"/>
      <c r="Q11" s="1793">
        <f t="shared" si="6"/>
        <v>111</v>
      </c>
      <c r="R11" s="769" t="s">
        <v>17</v>
      </c>
      <c r="S11" s="770">
        <f t="shared" si="0"/>
        <v>100</v>
      </c>
      <c r="T11" s="769" t="s">
        <v>17</v>
      </c>
      <c r="U11" s="770">
        <f t="shared" si="1"/>
        <v>100</v>
      </c>
      <c r="V11" s="769" t="s">
        <v>17</v>
      </c>
      <c r="W11" s="770">
        <f t="shared" si="2"/>
        <v>100</v>
      </c>
      <c r="X11" s="771"/>
      <c r="Y11" s="306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33"/>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33"/>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28.25">
      <c r="A14" s="401" t="s">
        <v>2548</v>
      </c>
      <c r="B14" s="629" t="s">
        <v>2698</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6" t="s">
        <v>2549</v>
      </c>
      <c r="Q14" s="1808" t="str">
        <f t="shared" si="6"/>
        <v>交通便捷度</v>
      </c>
      <c r="R14" s="773" t="s">
        <v>17</v>
      </c>
      <c r="S14" s="774">
        <f t="shared" si="0"/>
        <v>100</v>
      </c>
      <c r="T14" s="773" t="s">
        <v>17</v>
      </c>
      <c r="U14" s="774">
        <f t="shared" si="1"/>
        <v>100</v>
      </c>
      <c r="V14" s="773" t="s">
        <v>17</v>
      </c>
      <c r="W14" s="774">
        <f t="shared" si="2"/>
        <v>100</v>
      </c>
      <c r="X14" s="1811"/>
      <c r="Y14" s="3226"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27"/>
      <c r="Q15" s="1808"/>
      <c r="R15" s="773"/>
      <c r="S15" s="774"/>
      <c r="T15" s="773"/>
      <c r="U15" s="774"/>
      <c r="V15" s="773"/>
      <c r="W15" s="774"/>
      <c r="X15" s="1811"/>
      <c r="Y15" s="3227"/>
      <c r="Z15" s="1812"/>
      <c r="AA15" s="1809">
        <v>1</v>
      </c>
      <c r="AB15" s="1809">
        <v>1</v>
      </c>
      <c r="AC15" s="1809">
        <v>1</v>
      </c>
    </row>
    <row r="16" spans="1:29" ht="114">
      <c r="A16" s="404"/>
      <c r="B16" s="631" t="s">
        <v>2677</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7"/>
      <c r="Q16" s="1808" t="str">
        <f>B16</f>
        <v>公共配套设施</v>
      </c>
      <c r="R16" s="773" t="s">
        <v>17</v>
      </c>
      <c r="S16" s="774">
        <f>F16</f>
        <v>100</v>
      </c>
      <c r="T16" s="773" t="s">
        <v>17</v>
      </c>
      <c r="U16" s="774">
        <f>H16</f>
        <v>100</v>
      </c>
      <c r="V16" s="773" t="s">
        <v>17</v>
      </c>
      <c r="W16" s="774">
        <f>J16</f>
        <v>100</v>
      </c>
      <c r="X16" s="1811"/>
      <c r="Y16" s="3227"/>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27"/>
      <c r="Q17" s="1808"/>
      <c r="R17" s="773"/>
      <c r="S17" s="774"/>
      <c r="T17" s="773"/>
      <c r="U17" s="774"/>
      <c r="V17" s="773"/>
      <c r="W17" s="774"/>
      <c r="X17" s="1811"/>
      <c r="Y17" s="3227"/>
      <c r="Z17" s="1812"/>
      <c r="AA17" s="1809">
        <v>1</v>
      </c>
      <c r="AB17" s="1809">
        <v>1</v>
      </c>
      <c r="AC17" s="1809">
        <v>1</v>
      </c>
    </row>
    <row r="18" spans="1:29" ht="15">
      <c r="A18" s="404"/>
      <c r="B18" s="633" t="s">
        <v>2678</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7"/>
      <c r="Q18" s="1808" t="str">
        <f>B18</f>
        <v>基础设施水平</v>
      </c>
      <c r="R18" s="773" t="s">
        <v>17</v>
      </c>
      <c r="S18" s="774">
        <f>F18</f>
        <v>100</v>
      </c>
      <c r="T18" s="773" t="s">
        <v>17</v>
      </c>
      <c r="U18" s="774">
        <f>H18</f>
        <v>100</v>
      </c>
      <c r="V18" s="773" t="s">
        <v>17</v>
      </c>
      <c r="W18" s="774">
        <f>J18</f>
        <v>100</v>
      </c>
      <c r="X18" s="1811"/>
      <c r="Y18" s="3227"/>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2"/>
      <c r="L19" s="1139"/>
      <c r="M19" s="1130"/>
      <c r="N19" s="1130"/>
      <c r="O19" s="1130"/>
      <c r="P19" s="3227"/>
      <c r="Q19" s="1808"/>
      <c r="R19" s="773"/>
      <c r="S19" s="774"/>
      <c r="T19" s="773"/>
      <c r="U19" s="774"/>
      <c r="V19" s="773"/>
      <c r="W19" s="774"/>
      <c r="X19" s="1811"/>
      <c r="Y19" s="3227"/>
      <c r="Z19" s="1812"/>
      <c r="AA19" s="1809">
        <v>1</v>
      </c>
      <c r="AB19" s="1809">
        <v>1</v>
      </c>
      <c r="AC19" s="1809">
        <v>1</v>
      </c>
    </row>
    <row r="20" spans="1:29" ht="42.75">
      <c r="A20" s="404"/>
      <c r="B20" s="631" t="s">
        <v>2699</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7"/>
      <c r="Q20" s="1808" t="str">
        <f>B20</f>
        <v>自然及人文环境</v>
      </c>
      <c r="R20" s="773" t="s">
        <v>17</v>
      </c>
      <c r="S20" s="774">
        <f>F20</f>
        <v>100</v>
      </c>
      <c r="T20" s="773" t="s">
        <v>17</v>
      </c>
      <c r="U20" s="774">
        <f>H20</f>
        <v>100</v>
      </c>
      <c r="V20" s="773" t="s">
        <v>17</v>
      </c>
      <c r="W20" s="774">
        <f>J20</f>
        <v>100</v>
      </c>
      <c r="X20" s="1811"/>
      <c r="Y20" s="322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27"/>
      <c r="Q21" s="1808"/>
      <c r="R21" s="773"/>
      <c r="S21" s="774"/>
      <c r="T21" s="773"/>
      <c r="U21" s="774"/>
      <c r="V21" s="773"/>
      <c r="W21" s="774"/>
      <c r="X21" s="1811"/>
      <c r="Y21" s="3227"/>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7"/>
      <c r="Q22" s="1808" t="str">
        <f>B22</f>
        <v>楼层</v>
      </c>
      <c r="R22" s="773" t="s">
        <v>17</v>
      </c>
      <c r="S22" s="774">
        <f>F22</f>
        <v>100</v>
      </c>
      <c r="T22" s="773" t="s">
        <v>17</v>
      </c>
      <c r="U22" s="774">
        <f>H22</f>
        <v>100</v>
      </c>
      <c r="V22" s="773" t="s">
        <v>17</v>
      </c>
      <c r="W22" s="774">
        <f>J22</f>
        <v>100</v>
      </c>
      <c r="X22" s="1811"/>
      <c r="Y22" s="322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7"/>
      <c r="Q23" s="1808">
        <f>B23</f>
        <v>111</v>
      </c>
      <c r="R23" s="773" t="s">
        <v>17</v>
      </c>
      <c r="S23" s="774">
        <f>F23</f>
        <v>100</v>
      </c>
      <c r="T23" s="773" t="s">
        <v>17</v>
      </c>
      <c r="U23" s="774">
        <f>H23</f>
        <v>100</v>
      </c>
      <c r="V23" s="773" t="s">
        <v>17</v>
      </c>
      <c r="W23" s="774">
        <f>J23</f>
        <v>100</v>
      </c>
      <c r="X23" s="1811"/>
      <c r="Y23" s="322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7"/>
      <c r="Q24" s="1808">
        <f t="shared" ref="Q24:Q36" si="11">B24</f>
        <v>111</v>
      </c>
      <c r="R24" s="773" t="s">
        <v>17</v>
      </c>
      <c r="S24" s="774">
        <f>F24</f>
        <v>100</v>
      </c>
      <c r="T24" s="773" t="s">
        <v>17</v>
      </c>
      <c r="U24" s="774">
        <f>H24</f>
        <v>100</v>
      </c>
      <c r="V24" s="773" t="s">
        <v>17</v>
      </c>
      <c r="W24" s="774">
        <f>J24</f>
        <v>100</v>
      </c>
      <c r="X24" s="1811"/>
      <c r="Y24" s="3227"/>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27"/>
      <c r="Q25" s="1793">
        <f t="shared" si="11"/>
        <v>111</v>
      </c>
      <c r="R25" s="769" t="s">
        <v>17</v>
      </c>
      <c r="S25" s="770">
        <f>F25</f>
        <v>100</v>
      </c>
      <c r="T25" s="769" t="s">
        <v>17</v>
      </c>
      <c r="U25" s="770">
        <f>H25</f>
        <v>100</v>
      </c>
      <c r="V25" s="769" t="s">
        <v>17</v>
      </c>
      <c r="W25" s="770">
        <f>J25</f>
        <v>100</v>
      </c>
      <c r="X25" s="771"/>
      <c r="Y25" s="3227"/>
      <c r="Z25" s="55">
        <f>Q25</f>
        <v>111</v>
      </c>
      <c r="AA25" s="1809">
        <f>D25/F25</f>
        <v>1</v>
      </c>
      <c r="AB25" s="1809">
        <f>D25/H25</f>
        <v>1</v>
      </c>
      <c r="AC25" s="1809">
        <f>D25/J25</f>
        <v>1</v>
      </c>
    </row>
    <row r="26" spans="1:29" ht="15">
      <c r="A26" s="652" t="s">
        <v>2552</v>
      </c>
      <c r="B26" s="70" t="s">
        <v>2701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6"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1"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31"/>
      <c r="Q27" s="775" t="str">
        <f t="shared" si="11"/>
        <v>项目停车位配比</v>
      </c>
      <c r="R27" s="776" t="s">
        <v>17</v>
      </c>
      <c r="S27" s="777">
        <f t="shared" si="12"/>
        <v>100</v>
      </c>
      <c r="T27" s="776" t="s">
        <v>17</v>
      </c>
      <c r="U27" s="777">
        <f t="shared" si="13"/>
        <v>100</v>
      </c>
      <c r="V27" s="776" t="s">
        <v>17</v>
      </c>
      <c r="W27" s="777">
        <f t="shared" si="14"/>
        <v>100</v>
      </c>
      <c r="X27" s="778"/>
      <c r="Y27" s="3231"/>
      <c r="Z27" s="779"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31"/>
      <c r="Q28" s="1808" t="str">
        <f t="shared" si="11"/>
        <v>公共部分装修</v>
      </c>
      <c r="R28" s="773" t="s">
        <v>17</v>
      </c>
      <c r="S28" s="774">
        <f t="shared" si="12"/>
        <v>100</v>
      </c>
      <c r="T28" s="773" t="s">
        <v>17</v>
      </c>
      <c r="U28" s="774">
        <f t="shared" si="13"/>
        <v>100</v>
      </c>
      <c r="V28" s="773" t="s">
        <v>17</v>
      </c>
      <c r="W28" s="774">
        <f t="shared" si="14"/>
        <v>100</v>
      </c>
      <c r="X28" s="1811"/>
      <c r="Y28" s="3231"/>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31"/>
      <c r="Q29" s="1808" t="str">
        <f t="shared" si="11"/>
        <v>成新率</v>
      </c>
      <c r="R29" s="773" t="s">
        <v>17</v>
      </c>
      <c r="S29" s="774" t="e">
        <f t="shared" si="12"/>
        <v>#N/A</v>
      </c>
      <c r="T29" s="773" t="s">
        <v>17</v>
      </c>
      <c r="U29" s="774" t="e">
        <f t="shared" si="13"/>
        <v>#N/A</v>
      </c>
      <c r="V29" s="773" t="s">
        <v>17</v>
      </c>
      <c r="W29" s="774" t="e">
        <f t="shared" si="14"/>
        <v>#N/A</v>
      </c>
      <c r="X29" s="1811"/>
      <c r="Y29" s="3231"/>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31"/>
      <c r="Q30" s="1808" t="str">
        <f t="shared" si="11"/>
        <v>物业等级</v>
      </c>
      <c r="R30" s="773" t="s">
        <v>17</v>
      </c>
      <c r="S30" s="774">
        <f t="shared" si="12"/>
        <v>100</v>
      </c>
      <c r="T30" s="773" t="s">
        <v>17</v>
      </c>
      <c r="U30" s="774">
        <f t="shared" si="13"/>
        <v>100</v>
      </c>
      <c r="V30" s="773" t="s">
        <v>17</v>
      </c>
      <c r="W30" s="774">
        <f t="shared" si="14"/>
        <v>100</v>
      </c>
      <c r="X30" s="1811"/>
      <c r="Y30" s="3231"/>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31"/>
      <c r="Q31" s="1793" t="str">
        <f t="shared" si="11"/>
        <v>停车位面积</v>
      </c>
      <c r="R31" s="769" t="s">
        <v>17</v>
      </c>
      <c r="S31" s="770" t="e">
        <f t="shared" si="12"/>
        <v>#N/A</v>
      </c>
      <c r="T31" s="769" t="s">
        <v>17</v>
      </c>
      <c r="U31" s="770" t="e">
        <f t="shared" si="13"/>
        <v>#N/A</v>
      </c>
      <c r="V31" s="769" t="s">
        <v>17</v>
      </c>
      <c r="W31" s="770" t="e">
        <f t="shared" si="14"/>
        <v>#N/A</v>
      </c>
      <c r="X31" s="771"/>
      <c r="Y31" s="3231"/>
      <c r="Z31" s="55" t="str">
        <f t="shared" si="15"/>
        <v>停车位面积</v>
      </c>
      <c r="AA31" s="772" t="e">
        <f t="shared" si="3"/>
        <v>#N/A</v>
      </c>
      <c r="AB31" s="772" t="e">
        <f t="shared" si="4"/>
        <v>#N/A</v>
      </c>
      <c r="AC31" s="772"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31" t="s">
        <v>2554</v>
      </c>
      <c r="Q32" s="1808" t="str">
        <f t="shared" si="11"/>
        <v>车位类型</v>
      </c>
      <c r="R32" s="773" t="s">
        <v>17</v>
      </c>
      <c r="S32" s="774">
        <f t="shared" si="12"/>
        <v>100</v>
      </c>
      <c r="T32" s="773" t="s">
        <v>17</v>
      </c>
      <c r="U32" s="774">
        <f t="shared" si="13"/>
        <v>100</v>
      </c>
      <c r="V32" s="773" t="s">
        <v>17</v>
      </c>
      <c r="W32" s="774">
        <f t="shared" si="14"/>
        <v>100</v>
      </c>
      <c r="X32" s="1811"/>
      <c r="Y32" s="3231"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31"/>
      <c r="Q33" s="1808" t="str">
        <f t="shared" si="11"/>
        <v>是否直接入户</v>
      </c>
      <c r="R33" s="773" t="s">
        <v>17</v>
      </c>
      <c r="S33" s="774">
        <f t="shared" si="12"/>
        <v>100</v>
      </c>
      <c r="T33" s="773" t="s">
        <v>17</v>
      </c>
      <c r="U33" s="774">
        <f t="shared" si="13"/>
        <v>100</v>
      </c>
      <c r="V33" s="773" t="s">
        <v>17</v>
      </c>
      <c r="W33" s="774">
        <f t="shared" si="14"/>
        <v>100</v>
      </c>
      <c r="X33" s="1811"/>
      <c r="Y33" s="323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31"/>
      <c r="Q34" s="1808">
        <f t="shared" si="11"/>
        <v>111</v>
      </c>
      <c r="R34" s="773" t="s">
        <v>17</v>
      </c>
      <c r="S34" s="774">
        <f t="shared" si="12"/>
        <v>100</v>
      </c>
      <c r="T34" s="773" t="s">
        <v>17</v>
      </c>
      <c r="U34" s="774">
        <f t="shared" si="13"/>
        <v>100</v>
      </c>
      <c r="V34" s="773" t="s">
        <v>17</v>
      </c>
      <c r="W34" s="774">
        <f t="shared" si="14"/>
        <v>100</v>
      </c>
      <c r="X34" s="1811"/>
      <c r="Y34" s="323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31"/>
      <c r="Q35" s="775">
        <f t="shared" si="11"/>
        <v>111</v>
      </c>
      <c r="R35" s="776" t="s">
        <v>17</v>
      </c>
      <c r="S35" s="777">
        <f t="shared" si="12"/>
        <v>100</v>
      </c>
      <c r="T35" s="776" t="s">
        <v>17</v>
      </c>
      <c r="U35" s="777">
        <f t="shared" si="13"/>
        <v>100</v>
      </c>
      <c r="V35" s="776" t="s">
        <v>17</v>
      </c>
      <c r="W35" s="777">
        <f t="shared" si="14"/>
        <v>100</v>
      </c>
      <c r="X35" s="778"/>
      <c r="Y35" s="3231"/>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31"/>
      <c r="Q36" s="1808">
        <f t="shared" si="11"/>
        <v>111</v>
      </c>
      <c r="R36" s="773" t="s">
        <v>17</v>
      </c>
      <c r="S36" s="774">
        <f t="shared" si="12"/>
        <v>100</v>
      </c>
      <c r="T36" s="773" t="s">
        <v>17</v>
      </c>
      <c r="U36" s="774">
        <f t="shared" si="13"/>
        <v>100</v>
      </c>
      <c r="V36" s="773" t="s">
        <v>17</v>
      </c>
      <c r="W36" s="774">
        <f t="shared" si="14"/>
        <v>100</v>
      </c>
      <c r="X36" s="1811"/>
      <c r="Y36" s="3231"/>
      <c r="Z36" s="1812">
        <f t="shared" si="15"/>
        <v>111</v>
      </c>
      <c r="AA36" s="1809">
        <f t="shared" si="3"/>
        <v>1</v>
      </c>
      <c r="AB36" s="1809">
        <f t="shared" si="4"/>
        <v>1</v>
      </c>
      <c r="AC36" s="1809">
        <f t="shared" si="5"/>
        <v>1</v>
      </c>
    </row>
    <row r="37" spans="1:29" ht="15">
      <c r="A37" s="479" t="s">
        <v>2709</v>
      </c>
      <c r="B37" s="2690" t="s">
        <v>2710</v>
      </c>
      <c r="C37" s="1406" t="s">
        <v>1</v>
      </c>
      <c r="D37" s="1407"/>
      <c r="E37" s="1408"/>
      <c r="F37" s="1409"/>
      <c r="G37" s="1410"/>
      <c r="H37" s="1411"/>
      <c r="I37" s="1408"/>
      <c r="J37" s="1411"/>
      <c r="K37" s="619"/>
      <c r="L37" s="1142"/>
      <c r="M37" s="1143"/>
      <c r="N37" s="1130"/>
      <c r="O37" s="1143"/>
      <c r="P37" s="3233" t="str">
        <f>A37</f>
        <v>成交单价</v>
      </c>
      <c r="Q37" s="3233"/>
      <c r="R37" s="3234">
        <f>E37</f>
        <v>0</v>
      </c>
      <c r="S37" s="3234"/>
      <c r="T37" s="3234">
        <f>G37</f>
        <v>0</v>
      </c>
      <c r="U37" s="3234"/>
      <c r="V37" s="3234">
        <f>I37</f>
        <v>0</v>
      </c>
      <c r="W37" s="3234"/>
      <c r="X37" s="758"/>
      <c r="Y37" s="780"/>
      <c r="Z37" s="758"/>
      <c r="AA37" s="758"/>
      <c r="AB37" s="758"/>
      <c r="AC37" s="758"/>
    </row>
    <row r="38" spans="1:29" ht="15.7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8"/>
      <c r="Y38" s="758"/>
      <c r="Z38" s="758"/>
      <c r="AA38" s="758"/>
      <c r="AB38" s="758"/>
      <c r="AC38" s="758"/>
    </row>
    <row r="39" spans="1:29" ht="15.75" thickBot="1">
      <c r="A39" s="492" t="s">
        <v>2712</v>
      </c>
      <c r="B39" s="493"/>
      <c r="C39" s="1416" t="e">
        <f>R39</f>
        <v>#DIV/0!</v>
      </c>
      <c r="D39" s="1416"/>
      <c r="E39" s="1416"/>
      <c r="F39" s="1416"/>
      <c r="G39" s="1416"/>
      <c r="H39" s="1416"/>
      <c r="I39" s="1416"/>
      <c r="J39" s="1416"/>
      <c r="K39" s="621"/>
      <c r="L39" s="1142"/>
      <c r="M39" s="1143"/>
      <c r="N39" s="1143"/>
      <c r="O39" s="1143"/>
      <c r="P39" s="3235" t="str">
        <f>A39</f>
        <v>估价对象XX用房的比较价值（楼面单价，元/平方米）</v>
      </c>
      <c r="Q39" s="3236"/>
      <c r="R39" s="3237" t="e">
        <f>IF(F1="售价",ROUND(AVERAGE(R38:V38),0),ROUND(AVERAGE(R38:V38),1))</f>
        <v>#DIV/0!</v>
      </c>
      <c r="S39" s="3237"/>
      <c r="T39" s="3237"/>
      <c r="U39" s="3237"/>
      <c r="V39" s="3237"/>
      <c r="W39" s="3237"/>
      <c r="X39" s="758"/>
      <c r="Y39" s="758"/>
      <c r="Z39" s="758"/>
      <c r="AA39" s="758"/>
      <c r="AB39" s="758"/>
      <c r="AC39" s="758"/>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2717</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9"/>
      <c r="F1" s="2579"/>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IF(C2="——",ROUND(C37*D3/10000,0),ROUND(C37*D3/10000,0)-D2)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1" t="s">
        <v>2635</v>
      </c>
      <c r="D4" s="3212"/>
      <c r="E4" s="3213" t="s">
        <v>2636</v>
      </c>
      <c r="F4" s="3214"/>
      <c r="G4" s="3211" t="s">
        <v>2637</v>
      </c>
      <c r="H4" s="3212"/>
      <c r="I4" s="3211" t="s">
        <v>2638</v>
      </c>
      <c r="J4" s="3212"/>
      <c r="K4" s="610" t="s">
        <v>2639</v>
      </c>
      <c r="L4" s="1129"/>
      <c r="M4" s="1130"/>
      <c r="N4" s="1130"/>
      <c r="O4" s="1130"/>
      <c r="P4" s="3215" t="s">
        <v>2640</v>
      </c>
      <c r="Q4" s="3216"/>
      <c r="R4" s="3198" t="s">
        <v>2636</v>
      </c>
      <c r="S4" s="3199"/>
      <c r="T4" s="3198" t="s">
        <v>2637</v>
      </c>
      <c r="U4" s="3199"/>
      <c r="V4" s="3195" t="s">
        <v>2638</v>
      </c>
      <c r="W4" s="3195"/>
      <c r="X4" s="1811"/>
      <c r="Y4" s="3198" t="s">
        <v>2640</v>
      </c>
      <c r="Z4" s="3199"/>
      <c r="AA4" s="3192" t="s">
        <v>2636</v>
      </c>
      <c r="AB4" s="3193" t="s">
        <v>2637</v>
      </c>
      <c r="AC4" s="3192" t="s">
        <v>2638</v>
      </c>
    </row>
    <row r="5" spans="1:29" ht="15">
      <c r="A5" s="404"/>
      <c r="B5" s="405"/>
      <c r="C5" s="3270" t="s">
        <v>2531</v>
      </c>
      <c r="D5" s="3205"/>
      <c r="E5" s="3269" t="s">
        <v>2532</v>
      </c>
      <c r="F5" s="3203"/>
      <c r="G5" s="3270" t="s">
        <v>2533</v>
      </c>
      <c r="H5" s="3205"/>
      <c r="I5" s="3270" t="s">
        <v>2534</v>
      </c>
      <c r="J5" s="3205"/>
      <c r="K5" s="610"/>
      <c r="L5" s="1129"/>
      <c r="M5" s="1130"/>
      <c r="N5" s="1130"/>
      <c r="O5" s="1130"/>
      <c r="P5" s="3217"/>
      <c r="Q5" s="3218"/>
      <c r="R5" s="3200"/>
      <c r="S5" s="3201"/>
      <c r="T5" s="3200"/>
      <c r="U5" s="3201"/>
      <c r="V5" s="3195"/>
      <c r="W5" s="3195"/>
      <c r="X5" s="1811"/>
      <c r="Y5" s="3200"/>
      <c r="Z5" s="3201"/>
      <c r="AA5" s="3193"/>
      <c r="AB5" s="3193"/>
      <c r="AC5" s="3193"/>
    </row>
    <row r="6" spans="1:29" ht="15.75" thickBot="1">
      <c r="A6" s="406"/>
      <c r="B6" s="407"/>
      <c r="C6" s="3206" t="s">
        <v>2535</v>
      </c>
      <c r="D6" s="3207"/>
      <c r="E6" s="3208" t="s">
        <v>2535</v>
      </c>
      <c r="F6" s="3209"/>
      <c r="G6" s="3206" t="s">
        <v>2535</v>
      </c>
      <c r="H6" s="3207"/>
      <c r="I6" s="3206" t="s">
        <v>2535</v>
      </c>
      <c r="J6" s="3207"/>
      <c r="K6" s="610" t="s">
        <v>2536</v>
      </c>
      <c r="L6" s="1129"/>
      <c r="M6" s="1130"/>
      <c r="N6" s="1130"/>
      <c r="O6" s="1130"/>
      <c r="P6" s="3219"/>
      <c r="Q6" s="3220"/>
      <c r="R6" s="3200"/>
      <c r="S6" s="3201"/>
      <c r="T6" s="3221"/>
      <c r="U6" s="3222"/>
      <c r="V6" s="3195"/>
      <c r="W6" s="3195"/>
      <c r="X6" s="1811"/>
      <c r="Y6" s="3221"/>
      <c r="Z6" s="3222"/>
      <c r="AA6" s="3194"/>
      <c r="AB6" s="3194"/>
      <c r="AC6" s="3194"/>
    </row>
    <row r="7" spans="1:29" s="117" customFormat="1" ht="15.75" thickBot="1">
      <c r="A7" s="408" t="s">
        <v>2537</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196" t="s">
        <v>2538</v>
      </c>
      <c r="Q7" s="3223"/>
      <c r="R7" s="769" t="s">
        <v>17</v>
      </c>
      <c r="S7" s="770">
        <f t="shared" ref="S7:S14" si="0">F7</f>
        <v>0</v>
      </c>
      <c r="T7" s="769" t="s">
        <v>17</v>
      </c>
      <c r="U7" s="770">
        <f t="shared" ref="U7:U14" si="1">H7</f>
        <v>0</v>
      </c>
      <c r="V7" s="769" t="s">
        <v>17</v>
      </c>
      <c r="W7" s="770">
        <f t="shared" ref="W7:W14" si="2">J7</f>
        <v>0</v>
      </c>
      <c r="X7" s="771"/>
      <c r="Y7" s="3196" t="s">
        <v>2538</v>
      </c>
      <c r="Z7" s="3197"/>
      <c r="AA7" s="772" t="e">
        <f>D7/F7</f>
        <v>#DIV/0!</v>
      </c>
      <c r="AB7" s="772" t="e">
        <f>D7/H7</f>
        <v>#DIV/0!</v>
      </c>
      <c r="AC7" s="772"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96" t="s">
        <v>2541</v>
      </c>
      <c r="Q8" s="3197"/>
      <c r="R8" s="769" t="s">
        <v>17</v>
      </c>
      <c r="S8" s="770">
        <f t="shared" si="0"/>
        <v>0</v>
      </c>
      <c r="T8" s="769" t="s">
        <v>17</v>
      </c>
      <c r="U8" s="770">
        <f t="shared" si="1"/>
        <v>0</v>
      </c>
      <c r="V8" s="769" t="s">
        <v>17</v>
      </c>
      <c r="W8" s="770">
        <f t="shared" si="2"/>
        <v>0</v>
      </c>
      <c r="X8" s="771"/>
      <c r="Y8" s="3196" t="s">
        <v>2541</v>
      </c>
      <c r="Z8" s="3197"/>
      <c r="AA8" s="772" t="e">
        <f t="shared" ref="AA8:AA34" si="3">D8/F8</f>
        <v>#DIV/0!</v>
      </c>
      <c r="AB8" s="772" t="e">
        <f t="shared" ref="AB8:AB34" si="4">D8/H8</f>
        <v>#DIV/0!</v>
      </c>
      <c r="AC8" s="772"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33" t="s">
        <v>2544</v>
      </c>
      <c r="Q9" s="1793" t="str">
        <f t="shared" ref="Q9:Q14" si="6">B9</f>
        <v>用途</v>
      </c>
      <c r="R9" s="769" t="s">
        <v>17</v>
      </c>
      <c r="S9" s="770">
        <f t="shared" si="0"/>
        <v>100</v>
      </c>
      <c r="T9" s="769" t="s">
        <v>17</v>
      </c>
      <c r="U9" s="770">
        <f t="shared" si="1"/>
        <v>100</v>
      </c>
      <c r="V9" s="769" t="s">
        <v>17</v>
      </c>
      <c r="W9" s="770">
        <f t="shared" si="2"/>
        <v>100</v>
      </c>
      <c r="X9" s="771"/>
      <c r="Y9" s="3069" t="s">
        <v>2545</v>
      </c>
      <c r="Z9" s="55" t="str">
        <f t="shared" ref="Z9:Z14" si="7">Q9</f>
        <v>用途</v>
      </c>
      <c r="AA9" s="772">
        <f t="shared" si="3"/>
        <v>1</v>
      </c>
      <c r="AB9" s="772">
        <f t="shared" si="4"/>
        <v>1</v>
      </c>
      <c r="AC9" s="772">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33"/>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33"/>
      <c r="Q11" s="1793">
        <f t="shared" si="6"/>
        <v>111</v>
      </c>
      <c r="R11" s="769" t="s">
        <v>17</v>
      </c>
      <c r="S11" s="770">
        <f t="shared" si="0"/>
        <v>100</v>
      </c>
      <c r="T11" s="769" t="s">
        <v>17</v>
      </c>
      <c r="U11" s="770">
        <f t="shared" si="1"/>
        <v>100</v>
      </c>
      <c r="V11" s="769" t="s">
        <v>17</v>
      </c>
      <c r="W11" s="770">
        <f t="shared" si="2"/>
        <v>100</v>
      </c>
      <c r="X11" s="771"/>
      <c r="Y11" s="3069"/>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33"/>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33"/>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28.25">
      <c r="A14" s="440" t="s">
        <v>2548</v>
      </c>
      <c r="B14" s="69" t="s">
        <v>2698</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6" t="s">
        <v>2549</v>
      </c>
      <c r="Q14" s="1808" t="str">
        <f t="shared" si="6"/>
        <v>交通便捷度</v>
      </c>
      <c r="R14" s="773" t="s">
        <v>17</v>
      </c>
      <c r="S14" s="774">
        <f t="shared" si="0"/>
        <v>100</v>
      </c>
      <c r="T14" s="773" t="s">
        <v>17</v>
      </c>
      <c r="U14" s="774">
        <f t="shared" si="1"/>
        <v>100</v>
      </c>
      <c r="V14" s="773" t="s">
        <v>17</v>
      </c>
      <c r="W14" s="774">
        <f t="shared" si="2"/>
        <v>100</v>
      </c>
      <c r="X14" s="1811"/>
      <c r="Y14" s="3226"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27"/>
      <c r="Q15" s="1808"/>
      <c r="R15" s="773"/>
      <c r="S15" s="774"/>
      <c r="T15" s="773"/>
      <c r="U15" s="774"/>
      <c r="V15" s="773"/>
      <c r="W15" s="774"/>
      <c r="X15" s="1811"/>
      <c r="Y15" s="3227"/>
      <c r="Z15" s="1812"/>
      <c r="AA15" s="1809">
        <v>1</v>
      </c>
      <c r="AB15" s="1809">
        <v>1</v>
      </c>
      <c r="AC15" s="1809">
        <v>1</v>
      </c>
    </row>
    <row r="16" spans="1:29" ht="114">
      <c r="A16" s="428"/>
      <c r="B16" s="451" t="s">
        <v>2677</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7"/>
      <c r="Q16" s="1808" t="str">
        <f>B16</f>
        <v>公共配套设施</v>
      </c>
      <c r="R16" s="773" t="s">
        <v>17</v>
      </c>
      <c r="S16" s="774">
        <f>F16</f>
        <v>100</v>
      </c>
      <c r="T16" s="773" t="s">
        <v>17</v>
      </c>
      <c r="U16" s="774">
        <f>H16</f>
        <v>100</v>
      </c>
      <c r="V16" s="773" t="s">
        <v>17</v>
      </c>
      <c r="W16" s="774">
        <f>J16</f>
        <v>100</v>
      </c>
      <c r="X16" s="1811"/>
      <c r="Y16" s="3227"/>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27"/>
      <c r="Q17" s="1808"/>
      <c r="R17" s="773"/>
      <c r="S17" s="774"/>
      <c r="T17" s="773"/>
      <c r="U17" s="774"/>
      <c r="V17" s="773"/>
      <c r="W17" s="774"/>
      <c r="X17" s="1811"/>
      <c r="Y17" s="3227"/>
      <c r="Z17" s="1812"/>
      <c r="AA17" s="1809">
        <v>1</v>
      </c>
      <c r="AB17" s="1809">
        <v>1</v>
      </c>
      <c r="AC17" s="1809">
        <v>1</v>
      </c>
    </row>
    <row r="18" spans="1:29" ht="15">
      <c r="A18" s="428"/>
      <c r="B18" s="1383" t="s">
        <v>2678</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7"/>
      <c r="Q18" s="1808" t="str">
        <f>B18</f>
        <v>基础设施水平</v>
      </c>
      <c r="R18" s="773" t="s">
        <v>17</v>
      </c>
      <c r="S18" s="774">
        <f>F18</f>
        <v>100</v>
      </c>
      <c r="T18" s="773" t="s">
        <v>17</v>
      </c>
      <c r="U18" s="774">
        <f>H18</f>
        <v>100</v>
      </c>
      <c r="V18" s="773" t="s">
        <v>17</v>
      </c>
      <c r="W18" s="774">
        <f>J18</f>
        <v>100</v>
      </c>
      <c r="X18" s="1811"/>
      <c r="Y18" s="3227"/>
      <c r="Z18" s="1812" t="str">
        <f>Q18</f>
        <v>基础设施水平</v>
      </c>
      <c r="AA18" s="1809">
        <f t="shared" ref="AA18" si="8">D18/F18</f>
        <v>1</v>
      </c>
      <c r="AB18" s="1809">
        <f t="shared" ref="AB18" si="9">D18/H18</f>
        <v>1</v>
      </c>
      <c r="AC18" s="1809">
        <f t="shared" ref="AC18" si="10">D18/J18</f>
        <v>1</v>
      </c>
    </row>
    <row r="19" spans="1:29" ht="15">
      <c r="A19" s="428"/>
      <c r="B19" s="1383"/>
      <c r="C19" s="2603"/>
      <c r="D19" s="450"/>
      <c r="E19" s="2603"/>
      <c r="F19" s="453"/>
      <c r="G19" s="2603"/>
      <c r="H19" s="448"/>
      <c r="I19" s="447"/>
      <c r="J19" s="448"/>
      <c r="K19" s="1382"/>
      <c r="L19" s="1139"/>
      <c r="M19" s="1130"/>
      <c r="N19" s="1130"/>
      <c r="O19" s="1138"/>
      <c r="P19" s="3227"/>
      <c r="Q19" s="1808"/>
      <c r="R19" s="773"/>
      <c r="S19" s="774"/>
      <c r="T19" s="773"/>
      <c r="U19" s="774"/>
      <c r="V19" s="773"/>
      <c r="W19" s="774"/>
      <c r="X19" s="1811"/>
      <c r="Y19" s="3227"/>
      <c r="Z19" s="1812"/>
      <c r="AA19" s="1809">
        <v>1</v>
      </c>
      <c r="AB19" s="1809">
        <v>1</v>
      </c>
      <c r="AC19" s="1809">
        <v>1</v>
      </c>
    </row>
    <row r="20" spans="1:29" ht="42.75">
      <c r="A20" s="428"/>
      <c r="B20" s="451" t="s">
        <v>2699</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7"/>
      <c r="Q20" s="1808" t="str">
        <f>B20</f>
        <v>自然及人文环境</v>
      </c>
      <c r="R20" s="773" t="s">
        <v>17</v>
      </c>
      <c r="S20" s="774">
        <f>F20</f>
        <v>100</v>
      </c>
      <c r="T20" s="773" t="s">
        <v>17</v>
      </c>
      <c r="U20" s="774">
        <f>H20</f>
        <v>100</v>
      </c>
      <c r="V20" s="773" t="s">
        <v>17</v>
      </c>
      <c r="W20" s="774">
        <f>J20</f>
        <v>100</v>
      </c>
      <c r="X20" s="1811"/>
      <c r="Y20" s="322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27"/>
      <c r="Q21" s="1808"/>
      <c r="R21" s="773"/>
      <c r="S21" s="774"/>
      <c r="T21" s="773"/>
      <c r="U21" s="774"/>
      <c r="V21" s="773"/>
      <c r="W21" s="774"/>
      <c r="X21" s="1811"/>
      <c r="Y21" s="3227"/>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7"/>
      <c r="Q22" s="1808" t="str">
        <f>B22</f>
        <v>楼层</v>
      </c>
      <c r="R22" s="773" t="s">
        <v>17</v>
      </c>
      <c r="S22" s="774">
        <f>F22</f>
        <v>100</v>
      </c>
      <c r="T22" s="773" t="s">
        <v>17</v>
      </c>
      <c r="U22" s="774">
        <f>H22</f>
        <v>100</v>
      </c>
      <c r="V22" s="773" t="s">
        <v>17</v>
      </c>
      <c r="W22" s="774">
        <f>J22</f>
        <v>100</v>
      </c>
      <c r="X22" s="1811"/>
      <c r="Y22" s="3227"/>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7"/>
      <c r="Q23" s="1808">
        <f>B23</f>
        <v>111</v>
      </c>
      <c r="R23" s="773" t="s">
        <v>17</v>
      </c>
      <c r="S23" s="774">
        <f>F23</f>
        <v>100</v>
      </c>
      <c r="T23" s="773" t="s">
        <v>17</v>
      </c>
      <c r="U23" s="774">
        <f>H23</f>
        <v>100</v>
      </c>
      <c r="V23" s="773" t="s">
        <v>17</v>
      </c>
      <c r="W23" s="774">
        <f>J23</f>
        <v>100</v>
      </c>
      <c r="X23" s="1811"/>
      <c r="Y23" s="3227"/>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7"/>
      <c r="Q24" s="1808">
        <f t="shared" ref="Q24:Q34" si="11">B24</f>
        <v>111</v>
      </c>
      <c r="R24" s="773" t="s">
        <v>17</v>
      </c>
      <c r="S24" s="774">
        <f>F24</f>
        <v>100</v>
      </c>
      <c r="T24" s="773" t="s">
        <v>17</v>
      </c>
      <c r="U24" s="774">
        <f>H24</f>
        <v>100</v>
      </c>
      <c r="V24" s="773" t="s">
        <v>17</v>
      </c>
      <c r="W24" s="774">
        <f>J24</f>
        <v>100</v>
      </c>
      <c r="X24" s="1811"/>
      <c r="Y24" s="3227"/>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27"/>
      <c r="Q25" s="1793">
        <f t="shared" si="11"/>
        <v>111</v>
      </c>
      <c r="R25" s="769" t="s">
        <v>17</v>
      </c>
      <c r="S25" s="770">
        <f>F25</f>
        <v>100</v>
      </c>
      <c r="T25" s="769" t="s">
        <v>17</v>
      </c>
      <c r="U25" s="770">
        <f>H25</f>
        <v>100</v>
      </c>
      <c r="V25" s="769" t="s">
        <v>17</v>
      </c>
      <c r="W25" s="770">
        <f>J25</f>
        <v>100</v>
      </c>
      <c r="X25" s="771"/>
      <c r="Y25" s="3227"/>
      <c r="Z25" s="55">
        <f>Q25</f>
        <v>111</v>
      </c>
      <c r="AA25" s="1809">
        <f>D25/F25</f>
        <v>1</v>
      </c>
      <c r="AB25" s="1809">
        <f>D25/H25</f>
        <v>1</v>
      </c>
      <c r="AC25" s="1809">
        <f>D25/J25</f>
        <v>1</v>
      </c>
    </row>
    <row r="26" spans="1:29" ht="15">
      <c r="A26" s="466" t="s">
        <v>2552</v>
      </c>
      <c r="B26" s="71" t="s">
        <v>2703</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6"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1"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31"/>
      <c r="Q27" s="775" t="str">
        <f t="shared" si="11"/>
        <v>成新率</v>
      </c>
      <c r="R27" s="776" t="s">
        <v>17</v>
      </c>
      <c r="S27" s="777" t="e">
        <f t="shared" si="12"/>
        <v>#N/A</v>
      </c>
      <c r="T27" s="776" t="s">
        <v>17</v>
      </c>
      <c r="U27" s="777" t="e">
        <f t="shared" si="13"/>
        <v>#N/A</v>
      </c>
      <c r="V27" s="776" t="s">
        <v>17</v>
      </c>
      <c r="W27" s="777" t="e">
        <f t="shared" si="14"/>
        <v>#N/A</v>
      </c>
      <c r="X27" s="778"/>
      <c r="Y27" s="3231"/>
      <c r="Z27" s="779"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31"/>
      <c r="Q28" s="1808" t="str">
        <f t="shared" si="11"/>
        <v>物业等级</v>
      </c>
      <c r="R28" s="773" t="s">
        <v>17</v>
      </c>
      <c r="S28" s="774">
        <f t="shared" si="12"/>
        <v>100</v>
      </c>
      <c r="T28" s="773" t="s">
        <v>17</v>
      </c>
      <c r="U28" s="774">
        <f t="shared" si="13"/>
        <v>100</v>
      </c>
      <c r="V28" s="773" t="s">
        <v>17</v>
      </c>
      <c r="W28" s="774">
        <f t="shared" si="14"/>
        <v>100</v>
      </c>
      <c r="X28" s="1811"/>
      <c r="Y28" s="3231"/>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31"/>
      <c r="Q29" s="1808" t="str">
        <f t="shared" si="11"/>
        <v>有无电梯</v>
      </c>
      <c r="R29" s="773" t="s">
        <v>17</v>
      </c>
      <c r="S29" s="774">
        <f t="shared" si="12"/>
        <v>100</v>
      </c>
      <c r="T29" s="773" t="s">
        <v>17</v>
      </c>
      <c r="U29" s="774">
        <f t="shared" si="13"/>
        <v>100</v>
      </c>
      <c r="V29" s="773" t="s">
        <v>17</v>
      </c>
      <c r="W29" s="774">
        <f t="shared" si="14"/>
        <v>100</v>
      </c>
      <c r="X29" s="1811"/>
      <c r="Y29" s="3231"/>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31"/>
      <c r="Q30" s="1808" t="str">
        <f t="shared" si="11"/>
        <v>建筑面积</v>
      </c>
      <c r="R30" s="773" t="s">
        <v>17</v>
      </c>
      <c r="S30" s="774" t="e">
        <f t="shared" si="12"/>
        <v>#N/A</v>
      </c>
      <c r="T30" s="773" t="s">
        <v>17</v>
      </c>
      <c r="U30" s="774" t="e">
        <f t="shared" si="13"/>
        <v>#N/A</v>
      </c>
      <c r="V30" s="773" t="s">
        <v>17</v>
      </c>
      <c r="W30" s="774" t="e">
        <f t="shared" si="14"/>
        <v>#N/A</v>
      </c>
      <c r="X30" s="1811"/>
      <c r="Y30" s="3231"/>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31"/>
      <c r="Q31" s="1793" t="str">
        <f t="shared" si="11"/>
        <v>是否封闭</v>
      </c>
      <c r="R31" s="769" t="s">
        <v>17</v>
      </c>
      <c r="S31" s="770">
        <f t="shared" si="12"/>
        <v>100</v>
      </c>
      <c r="T31" s="769" t="s">
        <v>17</v>
      </c>
      <c r="U31" s="770">
        <f t="shared" si="13"/>
        <v>100</v>
      </c>
      <c r="V31" s="769" t="s">
        <v>17</v>
      </c>
      <c r="W31" s="770">
        <f t="shared" si="14"/>
        <v>100</v>
      </c>
      <c r="X31" s="771"/>
      <c r="Y31" s="3231"/>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31" t="s">
        <v>2554</v>
      </c>
      <c r="Q32" s="1808">
        <f t="shared" si="11"/>
        <v>111</v>
      </c>
      <c r="R32" s="773" t="s">
        <v>17</v>
      </c>
      <c r="S32" s="774">
        <f t="shared" si="12"/>
        <v>100</v>
      </c>
      <c r="T32" s="773" t="s">
        <v>17</v>
      </c>
      <c r="U32" s="774">
        <f t="shared" si="13"/>
        <v>100</v>
      </c>
      <c r="V32" s="773" t="s">
        <v>17</v>
      </c>
      <c r="W32" s="774">
        <f t="shared" si="14"/>
        <v>100</v>
      </c>
      <c r="X32" s="1811"/>
      <c r="Y32" s="3231" t="s">
        <v>2554</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31"/>
      <c r="Q33" s="1808">
        <f t="shared" si="11"/>
        <v>111</v>
      </c>
      <c r="R33" s="773" t="s">
        <v>17</v>
      </c>
      <c r="S33" s="774">
        <f t="shared" si="12"/>
        <v>100</v>
      </c>
      <c r="T33" s="773" t="s">
        <v>17</v>
      </c>
      <c r="U33" s="774">
        <f t="shared" si="13"/>
        <v>100</v>
      </c>
      <c r="V33" s="773" t="s">
        <v>17</v>
      </c>
      <c r="W33" s="774">
        <f t="shared" si="14"/>
        <v>100</v>
      </c>
      <c r="X33" s="1811"/>
      <c r="Y33" s="3231"/>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31"/>
      <c r="Q34" s="1808">
        <f t="shared" si="11"/>
        <v>111</v>
      </c>
      <c r="R34" s="773" t="s">
        <v>17</v>
      </c>
      <c r="S34" s="774">
        <f t="shared" si="12"/>
        <v>100</v>
      </c>
      <c r="T34" s="773" t="s">
        <v>17</v>
      </c>
      <c r="U34" s="774">
        <f t="shared" si="13"/>
        <v>100</v>
      </c>
      <c r="V34" s="773" t="s">
        <v>17</v>
      </c>
      <c r="W34" s="774">
        <f t="shared" si="14"/>
        <v>100</v>
      </c>
      <c r="X34" s="1811"/>
      <c r="Y34" s="3231"/>
      <c r="Z34" s="1812">
        <f t="shared" si="15"/>
        <v>111</v>
      </c>
      <c r="AA34" s="1809">
        <f t="shared" si="3"/>
        <v>1</v>
      </c>
      <c r="AB34" s="1809">
        <f t="shared" si="4"/>
        <v>1</v>
      </c>
      <c r="AC34" s="1809">
        <f t="shared" si="5"/>
        <v>1</v>
      </c>
    </row>
    <row r="35" spans="1:29" ht="15">
      <c r="A35" s="479" t="s">
        <v>2566</v>
      </c>
      <c r="B35" s="480"/>
      <c r="C35" s="1406" t="s">
        <v>1</v>
      </c>
      <c r="D35" s="1407"/>
      <c r="E35" s="1408"/>
      <c r="F35" s="1409"/>
      <c r="G35" s="1410"/>
      <c r="H35" s="1411"/>
      <c r="I35" s="1408"/>
      <c r="J35" s="1411"/>
      <c r="K35" s="782"/>
      <c r="L35" s="1142"/>
      <c r="M35" s="1143"/>
      <c r="N35" s="1130"/>
      <c r="O35" s="1143"/>
      <c r="P35" s="3233" t="str">
        <f>A35</f>
        <v>成交单价（元/平方米）</v>
      </c>
      <c r="Q35" s="3233"/>
      <c r="R35" s="3234">
        <f>E35</f>
        <v>0</v>
      </c>
      <c r="S35" s="3234"/>
      <c r="T35" s="3234">
        <f>G35</f>
        <v>0</v>
      </c>
      <c r="U35" s="3234"/>
      <c r="V35" s="3234">
        <f>I35</f>
        <v>0</v>
      </c>
      <c r="W35" s="3234"/>
      <c r="X35" s="758"/>
      <c r="Y35" s="780"/>
      <c r="Z35" s="758"/>
      <c r="AA35" s="758"/>
      <c r="AB35" s="758"/>
      <c r="AC35" s="758"/>
    </row>
    <row r="36" spans="1:29" ht="15.75" thickBot="1">
      <c r="A36" s="486" t="s">
        <v>2658</v>
      </c>
      <c r="B36" s="487"/>
      <c r="C36" s="1412" t="e">
        <f>R37</f>
        <v>#DIV/0!</v>
      </c>
      <c r="D36" s="1413"/>
      <c r="E36" s="1414" t="e">
        <f>R36</f>
        <v>#DIV/0!</v>
      </c>
      <c r="F36" s="1414"/>
      <c r="G36" s="1412" t="e">
        <f>T36</f>
        <v>#DIV/0!</v>
      </c>
      <c r="H36" s="1413"/>
      <c r="I36" s="1414" t="e">
        <f>V36</f>
        <v>#DIV/0!</v>
      </c>
      <c r="J36" s="1413"/>
      <c r="K36" s="783"/>
      <c r="L36" s="1142"/>
      <c r="M36" s="1143"/>
      <c r="N36" s="1130"/>
      <c r="O36" s="1143"/>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8"/>
      <c r="Y36" s="758"/>
      <c r="Z36" s="758"/>
      <c r="AA36" s="758"/>
      <c r="AB36" s="758"/>
      <c r="AC36" s="758"/>
    </row>
    <row r="37" spans="1:29" ht="15.75" thickBot="1">
      <c r="A37" s="492" t="s">
        <v>2659</v>
      </c>
      <c r="B37" s="493"/>
      <c r="C37" s="1416" t="e">
        <f>R37</f>
        <v>#DIV/0!</v>
      </c>
      <c r="D37" s="1416"/>
      <c r="E37" s="1416"/>
      <c r="F37" s="1416"/>
      <c r="G37" s="1416"/>
      <c r="H37" s="1416"/>
      <c r="I37" s="1416"/>
      <c r="J37" s="1416"/>
      <c r="K37" s="784"/>
      <c r="L37" s="1142"/>
      <c r="M37" s="1143"/>
      <c r="N37" s="1143"/>
      <c r="O37" s="1143"/>
      <c r="P37" s="3235" t="str">
        <f>A37</f>
        <v>估价对象XX用房的比较价值（楼面单价，元/平方米）</v>
      </c>
      <c r="Q37" s="3236"/>
      <c r="R37" s="3237" t="e">
        <f>IF(F1="售价",ROUND(AVERAGE(R36:V36),0),ROUND(AVERAGE(R36:V36),1))</f>
        <v>#DIV/0!</v>
      </c>
      <c r="S37" s="3237"/>
      <c r="T37" s="3237"/>
      <c r="U37" s="3237"/>
      <c r="V37" s="3237"/>
      <c r="W37" s="3237"/>
      <c r="X37" s="758"/>
      <c r="Y37" s="758"/>
      <c r="Z37" s="758"/>
      <c r="AA37" s="758"/>
      <c r="AB37" s="758"/>
      <c r="AC37" s="758"/>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2" t="s">
        <v>2663</v>
      </c>
      <c r="B45" s="758"/>
      <c r="C45" s="763"/>
      <c r="D45" s="763"/>
      <c r="E45" s="763"/>
      <c r="F45" s="764"/>
      <c r="G45" s="764"/>
      <c r="H45" s="763"/>
      <c r="I45" s="763"/>
      <c r="J45" s="763"/>
      <c r="K45" s="765"/>
      <c r="L45" s="766"/>
      <c r="M45" s="763"/>
      <c r="N45" s="763"/>
      <c r="O45" s="763"/>
      <c r="P45" s="503"/>
      <c r="Q45" s="504"/>
    </row>
    <row r="46" spans="1:29" s="508" customFormat="1" ht="15">
      <c r="A46" s="505" t="s">
        <v>2537</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2318</v>
      </c>
      <c r="B3" s="609" t="e">
        <f>ROUND(IF(D3="",B2*10000/'数据-汇总表'!E3,B2*10000/D3),0)</f>
        <v>#DIV/0!</v>
      </c>
      <c r="C3" s="247"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2634</v>
      </c>
      <c r="B4" s="402"/>
      <c r="C4" s="3211" t="s">
        <v>2635</v>
      </c>
      <c r="D4" s="3212"/>
      <c r="E4" s="3213" t="s">
        <v>2636</v>
      </c>
      <c r="F4" s="3214"/>
      <c r="G4" s="3211" t="s">
        <v>2637</v>
      </c>
      <c r="H4" s="3212"/>
      <c r="I4" s="3211" t="s">
        <v>2638</v>
      </c>
      <c r="J4" s="3212"/>
      <c r="K4" s="610" t="s">
        <v>2639</v>
      </c>
      <c r="L4" s="1129"/>
      <c r="M4" s="1130"/>
      <c r="N4" s="1130"/>
      <c r="O4" s="1130"/>
      <c r="P4" s="3215" t="s">
        <v>2640</v>
      </c>
      <c r="Q4" s="3216"/>
      <c r="R4" s="3198" t="s">
        <v>2636</v>
      </c>
      <c r="S4" s="3199"/>
      <c r="T4" s="3198" t="s">
        <v>2637</v>
      </c>
      <c r="U4" s="3199"/>
      <c r="V4" s="3195" t="s">
        <v>2638</v>
      </c>
      <c r="W4" s="3195"/>
      <c r="X4" s="1811"/>
      <c r="Y4" s="3198" t="s">
        <v>2640</v>
      </c>
      <c r="Z4" s="3199"/>
      <c r="AA4" s="3192" t="s">
        <v>2636</v>
      </c>
      <c r="AB4" s="3193" t="s">
        <v>2637</v>
      </c>
      <c r="AC4" s="3192" t="s">
        <v>2638</v>
      </c>
    </row>
    <row r="5" spans="1:30" ht="15">
      <c r="A5" s="404"/>
      <c r="B5" s="405"/>
      <c r="C5" s="3270" t="s">
        <v>2531</v>
      </c>
      <c r="D5" s="3205"/>
      <c r="E5" s="3269" t="s">
        <v>2532</v>
      </c>
      <c r="F5" s="3203"/>
      <c r="G5" s="3270" t="s">
        <v>2533</v>
      </c>
      <c r="H5" s="3205"/>
      <c r="I5" s="3270" t="s">
        <v>2534</v>
      </c>
      <c r="J5" s="3205"/>
      <c r="K5" s="610"/>
      <c r="L5" s="1129"/>
      <c r="M5" s="1130"/>
      <c r="N5" s="1130"/>
      <c r="O5" s="1130"/>
      <c r="P5" s="3217"/>
      <c r="Q5" s="3218"/>
      <c r="R5" s="3200"/>
      <c r="S5" s="3201"/>
      <c r="T5" s="3200"/>
      <c r="U5" s="3201"/>
      <c r="V5" s="3195"/>
      <c r="W5" s="3195"/>
      <c r="X5" s="1811"/>
      <c r="Y5" s="3200"/>
      <c r="Z5" s="3201"/>
      <c r="AA5" s="3193"/>
      <c r="AB5" s="3193"/>
      <c r="AC5" s="3193"/>
    </row>
    <row r="6" spans="1:30" ht="15.75" thickBot="1">
      <c r="A6" s="406"/>
      <c r="B6" s="407"/>
      <c r="C6" s="3206" t="s">
        <v>2535</v>
      </c>
      <c r="D6" s="3207"/>
      <c r="E6" s="3208" t="s">
        <v>2535</v>
      </c>
      <c r="F6" s="3209"/>
      <c r="G6" s="3206" t="s">
        <v>2535</v>
      </c>
      <c r="H6" s="3207"/>
      <c r="I6" s="3206" t="s">
        <v>2535</v>
      </c>
      <c r="J6" s="3207"/>
      <c r="K6" s="610" t="s">
        <v>2536</v>
      </c>
      <c r="L6" s="1129"/>
      <c r="M6" s="1130"/>
      <c r="N6" s="1130"/>
      <c r="O6" s="1130"/>
      <c r="P6" s="3219"/>
      <c r="Q6" s="3220"/>
      <c r="R6" s="3200"/>
      <c r="S6" s="3201"/>
      <c r="T6" s="3221"/>
      <c r="U6" s="3222"/>
      <c r="V6" s="3195"/>
      <c r="W6" s="3195"/>
      <c r="X6" s="1811"/>
      <c r="Y6" s="3221"/>
      <c r="Z6" s="3222"/>
      <c r="AA6" s="3194"/>
      <c r="AB6" s="3194"/>
      <c r="AC6" s="3194"/>
    </row>
    <row r="7" spans="1:30" s="117" customFormat="1" ht="15.75" thickBot="1">
      <c r="A7" s="408" t="s">
        <v>2537</v>
      </c>
      <c r="B7" s="409"/>
      <c r="C7" s="410">
        <f>'数据-取费表'!B2</f>
        <v>43132</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196" t="s">
        <v>2538</v>
      </c>
      <c r="Q7" s="3223"/>
      <c r="R7" s="769" t="s">
        <v>17</v>
      </c>
      <c r="S7" s="770">
        <f t="shared" ref="S7:S15" si="0">F7</f>
        <v>0</v>
      </c>
      <c r="T7" s="769" t="s">
        <v>17</v>
      </c>
      <c r="U7" s="770">
        <f t="shared" ref="U7:U15" si="1">H7</f>
        <v>0</v>
      </c>
      <c r="V7" s="769" t="s">
        <v>17</v>
      </c>
      <c r="W7" s="770">
        <f t="shared" ref="W7:W15" si="2">J7</f>
        <v>0</v>
      </c>
      <c r="X7" s="771"/>
      <c r="Y7" s="3196" t="s">
        <v>2538</v>
      </c>
      <c r="Z7" s="3197"/>
      <c r="AA7" s="772" t="e">
        <f>D7/F7</f>
        <v>#DIV/0!</v>
      </c>
      <c r="AB7" s="772" t="e">
        <f>D7/H7</f>
        <v>#DIV/0!</v>
      </c>
      <c r="AC7" s="772"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96" t="s">
        <v>2541</v>
      </c>
      <c r="Q8" s="3197"/>
      <c r="R8" s="769" t="s">
        <v>17</v>
      </c>
      <c r="S8" s="770">
        <f t="shared" si="0"/>
        <v>0</v>
      </c>
      <c r="T8" s="769" t="s">
        <v>17</v>
      </c>
      <c r="U8" s="770">
        <f t="shared" si="1"/>
        <v>0</v>
      </c>
      <c r="V8" s="769" t="s">
        <v>17</v>
      </c>
      <c r="W8" s="770">
        <f t="shared" si="2"/>
        <v>0</v>
      </c>
      <c r="X8" s="771"/>
      <c r="Y8" s="3196" t="s">
        <v>2541</v>
      </c>
      <c r="Z8" s="3197"/>
      <c r="AA8" s="772" t="e">
        <f t="shared" ref="AA8:AA45" si="3">D8/F8</f>
        <v>#DIV/0!</v>
      </c>
      <c r="AB8" s="772" t="e">
        <f t="shared" ref="AB8:AB45" si="4">D8/H8</f>
        <v>#DIV/0!</v>
      </c>
      <c r="AC8" s="772" t="e">
        <f t="shared" ref="AC8:AC45" si="5">D8/J8</f>
        <v>#DIV/0!</v>
      </c>
    </row>
    <row r="9" spans="1:30" s="117" customFormat="1">
      <c r="A9" s="415" t="s">
        <v>2542</v>
      </c>
      <c r="B9" s="71" t="s">
        <v>2543</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33" t="s">
        <v>2544</v>
      </c>
      <c r="Q9" s="1793" t="str">
        <f t="shared" ref="Q9:Q15" si="6">B9</f>
        <v>用途</v>
      </c>
      <c r="R9" s="769" t="s">
        <v>17</v>
      </c>
      <c r="S9" s="770">
        <f t="shared" si="0"/>
        <v>100</v>
      </c>
      <c r="T9" s="769" t="s">
        <v>17</v>
      </c>
      <c r="U9" s="770">
        <f t="shared" si="1"/>
        <v>100</v>
      </c>
      <c r="V9" s="769" t="s">
        <v>17</v>
      </c>
      <c r="W9" s="770">
        <f t="shared" si="2"/>
        <v>100</v>
      </c>
      <c r="X9" s="771"/>
      <c r="Y9" s="3069" t="s">
        <v>2545</v>
      </c>
      <c r="Z9" s="55" t="str">
        <f t="shared" ref="Z9:Z15" si="7">Q9</f>
        <v>用途</v>
      </c>
      <c r="AA9" s="772">
        <f t="shared" si="3"/>
        <v>1</v>
      </c>
      <c r="AB9" s="772">
        <f t="shared" si="4"/>
        <v>1</v>
      </c>
      <c r="AC9" s="772">
        <f t="shared" si="5"/>
        <v>1</v>
      </c>
    </row>
    <row r="10" spans="1:30" s="427" customFormat="1" ht="27">
      <c r="A10" s="421"/>
      <c r="B10" s="422" t="s">
        <v>2546</v>
      </c>
      <c r="C10" s="432"/>
      <c r="D10" s="136">
        <v>100</v>
      </c>
      <c r="E10" s="465"/>
      <c r="F10" s="136">
        <f>ROUND(100/'数据-取费表'!G16,0)</f>
        <v>113</v>
      </c>
      <c r="G10" s="463"/>
      <c r="H10" s="136">
        <f>ROUND(100/'数据-取费表'!G16,0)</f>
        <v>113</v>
      </c>
      <c r="I10" s="463"/>
      <c r="J10" s="136">
        <f>ROUND(100/'数据-取费表'!G16,0)</f>
        <v>113</v>
      </c>
      <c r="K10" s="672"/>
      <c r="L10" s="1134"/>
      <c r="M10" s="1135"/>
      <c r="N10" s="1135"/>
      <c r="O10" s="1136"/>
      <c r="P10" s="3233"/>
      <c r="Q10" s="1793" t="str">
        <f t="shared" si="6"/>
        <v>土地使用年限（年）</v>
      </c>
      <c r="R10" s="769" t="s">
        <v>17</v>
      </c>
      <c r="S10" s="770">
        <f t="shared" si="0"/>
        <v>113</v>
      </c>
      <c r="T10" s="769" t="s">
        <v>17</v>
      </c>
      <c r="U10" s="770">
        <f t="shared" si="1"/>
        <v>113</v>
      </c>
      <c r="V10" s="769" t="s">
        <v>17</v>
      </c>
      <c r="W10" s="770">
        <f t="shared" si="2"/>
        <v>113</v>
      </c>
      <c r="X10" s="771"/>
      <c r="Y10" s="3069"/>
      <c r="Z10" s="55" t="str">
        <f t="shared" si="7"/>
        <v>土地使用年限（年）</v>
      </c>
      <c r="AA10" s="772">
        <f t="shared" si="3"/>
        <v>0.88495575221238942</v>
      </c>
      <c r="AB10" s="772">
        <f t="shared" si="4"/>
        <v>0.88495575221238942</v>
      </c>
      <c r="AC10" s="772">
        <f t="shared" si="5"/>
        <v>0.88495575221238942</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33"/>
      <c r="Q11" s="1793"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772" t="e">
        <f t="shared" si="5"/>
        <v>#N/A</v>
      </c>
    </row>
    <row r="12" spans="1:30" s="117" customFormat="1" ht="15">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33"/>
      <c r="Q12" s="1793" t="str">
        <f t="shared" si="6"/>
        <v>配建</v>
      </c>
      <c r="R12" s="769" t="s">
        <v>17</v>
      </c>
      <c r="S12" s="770">
        <f t="shared" si="0"/>
        <v>100</v>
      </c>
      <c r="T12" s="769" t="s">
        <v>17</v>
      </c>
      <c r="U12" s="770">
        <f t="shared" si="1"/>
        <v>100</v>
      </c>
      <c r="V12" s="769" t="s">
        <v>17</v>
      </c>
      <c r="W12" s="770">
        <f t="shared" si="2"/>
        <v>100</v>
      </c>
      <c r="X12" s="771"/>
      <c r="Y12" s="3069"/>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33"/>
      <c r="Q13" s="1793">
        <f t="shared" si="6"/>
        <v>111</v>
      </c>
      <c r="R13" s="769" t="s">
        <v>17</v>
      </c>
      <c r="S13" s="770">
        <f t="shared" si="0"/>
        <v>100</v>
      </c>
      <c r="T13" s="769" t="s">
        <v>17</v>
      </c>
      <c r="U13" s="770">
        <f t="shared" si="1"/>
        <v>100</v>
      </c>
      <c r="V13" s="769" t="s">
        <v>17</v>
      </c>
      <c r="W13" s="770">
        <f t="shared" si="2"/>
        <v>100</v>
      </c>
      <c r="X13" s="771"/>
      <c r="Y13" s="3069"/>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33"/>
      <c r="Q14" s="1793">
        <f t="shared" si="6"/>
        <v>111</v>
      </c>
      <c r="R14" s="769" t="s">
        <v>17</v>
      </c>
      <c r="S14" s="770">
        <f t="shared" si="0"/>
        <v>100</v>
      </c>
      <c r="T14" s="769" t="s">
        <v>17</v>
      </c>
      <c r="U14" s="770">
        <f t="shared" si="1"/>
        <v>100</v>
      </c>
      <c r="V14" s="769" t="s">
        <v>17</v>
      </c>
      <c r="W14" s="770">
        <f t="shared" si="2"/>
        <v>100</v>
      </c>
      <c r="X14" s="771"/>
      <c r="Y14" s="3069"/>
      <c r="Z14" s="55">
        <f t="shared" si="7"/>
        <v>111</v>
      </c>
      <c r="AA14" s="772">
        <f>D14/F14</f>
        <v>1</v>
      </c>
      <c r="AB14" s="772">
        <f>D14/H14</f>
        <v>1</v>
      </c>
      <c r="AC14" s="772">
        <f>D14/J14</f>
        <v>1</v>
      </c>
    </row>
    <row r="15" spans="1:30" ht="15">
      <c r="A15" s="440" t="s">
        <v>2548</v>
      </c>
      <c r="B15" s="69" t="s">
        <v>2085</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6" t="s">
        <v>2549</v>
      </c>
      <c r="Q15" s="1808" t="str">
        <f t="shared" si="6"/>
        <v>居住社区成熟度</v>
      </c>
      <c r="R15" s="773" t="s">
        <v>17</v>
      </c>
      <c r="S15" s="774">
        <f t="shared" si="0"/>
        <v>100</v>
      </c>
      <c r="T15" s="773" t="s">
        <v>17</v>
      </c>
      <c r="U15" s="774">
        <f t="shared" si="1"/>
        <v>100</v>
      </c>
      <c r="V15" s="773" t="s">
        <v>17</v>
      </c>
      <c r="W15" s="774">
        <f t="shared" si="2"/>
        <v>100</v>
      </c>
      <c r="X15" s="1811"/>
      <c r="Y15" s="3226" t="s">
        <v>2549</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27"/>
      <c r="Q16" s="1808"/>
      <c r="R16" s="773"/>
      <c r="S16" s="774"/>
      <c r="T16" s="773"/>
      <c r="U16" s="774"/>
      <c r="V16" s="773"/>
      <c r="W16" s="774"/>
      <c r="X16" s="1811"/>
      <c r="Y16" s="3227"/>
      <c r="Z16" s="1812"/>
      <c r="AA16" s="1809">
        <v>1</v>
      </c>
      <c r="AB16" s="1809">
        <v>1</v>
      </c>
      <c r="AC16" s="1809">
        <v>1</v>
      </c>
    </row>
    <row r="17" spans="1:29" ht="71.25">
      <c r="A17" s="428"/>
      <c r="B17" s="451" t="s">
        <v>2642</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27"/>
      <c r="Q17" s="1808" t="str">
        <f>B17</f>
        <v>商业繁华度</v>
      </c>
      <c r="R17" s="773" t="s">
        <v>17</v>
      </c>
      <c r="S17" s="774">
        <f>F17</f>
        <v>100</v>
      </c>
      <c r="T17" s="773" t="s">
        <v>17</v>
      </c>
      <c r="U17" s="774">
        <f>H17</f>
        <v>100</v>
      </c>
      <c r="V17" s="773" t="s">
        <v>17</v>
      </c>
      <c r="W17" s="774">
        <f>J17</f>
        <v>100</v>
      </c>
      <c r="X17" s="1811"/>
      <c r="Y17" s="3227"/>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27"/>
      <c r="Q18" s="1808"/>
      <c r="R18" s="773"/>
      <c r="S18" s="774"/>
      <c r="T18" s="773"/>
      <c r="U18" s="774"/>
      <c r="V18" s="773"/>
      <c r="W18" s="774"/>
      <c r="X18" s="1811"/>
      <c r="Y18" s="3227"/>
      <c r="Z18" s="1812"/>
      <c r="AA18" s="1809">
        <v>1</v>
      </c>
      <c r="AB18" s="1809">
        <v>1</v>
      </c>
      <c r="AC18" s="1809">
        <v>1</v>
      </c>
    </row>
    <row r="19" spans="1:29" ht="15">
      <c r="A19" s="428"/>
      <c r="B19" s="451" t="s">
        <v>2676</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27"/>
      <c r="Q19" s="1808" t="str">
        <f>B19</f>
        <v>办公集聚程度</v>
      </c>
      <c r="R19" s="773" t="s">
        <v>17</v>
      </c>
      <c r="S19" s="774">
        <f>F19</f>
        <v>100</v>
      </c>
      <c r="T19" s="773" t="s">
        <v>17</v>
      </c>
      <c r="U19" s="774">
        <f>H19</f>
        <v>100</v>
      </c>
      <c r="V19" s="773" t="s">
        <v>17</v>
      </c>
      <c r="W19" s="774">
        <f>J19</f>
        <v>100</v>
      </c>
      <c r="X19" s="1811"/>
      <c r="Y19" s="3227"/>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27"/>
      <c r="Q20" s="1808"/>
      <c r="R20" s="773"/>
      <c r="S20" s="774"/>
      <c r="T20" s="773"/>
      <c r="U20" s="774"/>
      <c r="V20" s="773"/>
      <c r="W20" s="774"/>
      <c r="X20" s="1811"/>
      <c r="Y20" s="3227"/>
      <c r="Z20" s="1812"/>
      <c r="AA20" s="1809">
        <v>1</v>
      </c>
      <c r="AB20" s="1809">
        <v>1</v>
      </c>
      <c r="AC20" s="1809">
        <v>1</v>
      </c>
    </row>
    <row r="21" spans="1:29" ht="128.25">
      <c r="A21" s="428"/>
      <c r="B21" s="451" t="s">
        <v>2698</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27"/>
      <c r="Q21" s="1808" t="str">
        <f>B21</f>
        <v>交通便捷度</v>
      </c>
      <c r="R21" s="773" t="s">
        <v>17</v>
      </c>
      <c r="S21" s="774">
        <f>F21</f>
        <v>100</v>
      </c>
      <c r="T21" s="773" t="s">
        <v>17</v>
      </c>
      <c r="U21" s="774">
        <f>H21</f>
        <v>100</v>
      </c>
      <c r="V21" s="773" t="s">
        <v>17</v>
      </c>
      <c r="W21" s="774">
        <f>J21</f>
        <v>100</v>
      </c>
      <c r="X21" s="1811"/>
      <c r="Y21" s="3227"/>
      <c r="Z21" s="1812" t="str">
        <f>Q21</f>
        <v>交通便捷度</v>
      </c>
      <c r="AA21" s="1809">
        <f t="shared" si="3"/>
        <v>1</v>
      </c>
      <c r="AB21" s="1809">
        <f t="shared" si="4"/>
        <v>1</v>
      </c>
      <c r="AC21" s="1809">
        <f t="shared" si="5"/>
        <v>1</v>
      </c>
    </row>
    <row r="22" spans="1:29" ht="15">
      <c r="A22" s="428"/>
      <c r="B22" s="1383"/>
      <c r="C22" s="447"/>
      <c r="D22" s="450"/>
      <c r="E22" s="2600"/>
      <c r="F22" s="448"/>
      <c r="G22" s="2600"/>
      <c r="H22" s="448"/>
      <c r="I22" s="2599"/>
      <c r="J22" s="448"/>
      <c r="K22" s="672"/>
      <c r="L22" s="1139"/>
      <c r="M22" s="1130"/>
      <c r="N22" s="1130"/>
      <c r="O22" s="1138"/>
      <c r="P22" s="3227"/>
      <c r="Q22" s="1808"/>
      <c r="R22" s="773"/>
      <c r="S22" s="774"/>
      <c r="T22" s="773"/>
      <c r="U22" s="774"/>
      <c r="V22" s="773"/>
      <c r="W22" s="774"/>
      <c r="X22" s="1811"/>
      <c r="Y22" s="3227"/>
      <c r="Z22" s="1812"/>
      <c r="AA22" s="1809">
        <v>1</v>
      </c>
      <c r="AB22" s="1809">
        <v>1</v>
      </c>
      <c r="AC22" s="1809">
        <v>1</v>
      </c>
    </row>
    <row r="23" spans="1:29" ht="15">
      <c r="A23" s="404"/>
      <c r="B23" s="451" t="s">
        <v>2737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27"/>
      <c r="Q23" s="1808" t="str">
        <f t="shared" ref="Q23:Q37" si="8">B23</f>
        <v>区域土地利用方向</v>
      </c>
      <c r="R23" s="773" t="s">
        <v>17</v>
      </c>
      <c r="S23" s="774">
        <f>F23</f>
        <v>100</v>
      </c>
      <c r="T23" s="773" t="s">
        <v>17</v>
      </c>
      <c r="U23" s="774">
        <f>H23</f>
        <v>100</v>
      </c>
      <c r="V23" s="773" t="s">
        <v>17</v>
      </c>
      <c r="W23" s="774">
        <f>J23</f>
        <v>100</v>
      </c>
      <c r="X23" s="1811"/>
      <c r="Y23" s="3227"/>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27"/>
      <c r="Q24" s="1808"/>
      <c r="R24" s="773"/>
      <c r="S24" s="774"/>
      <c r="T24" s="773"/>
      <c r="U24" s="774"/>
      <c r="V24" s="773"/>
      <c r="W24" s="774"/>
      <c r="X24" s="1811"/>
      <c r="Y24" s="3227"/>
      <c r="Z24" s="1812"/>
      <c r="AA24" s="1809"/>
      <c r="AB24" s="1809"/>
      <c r="AC24" s="1809"/>
    </row>
    <row r="25" spans="1:29" ht="42.75">
      <c r="A25" s="404"/>
      <c r="B25" s="1383" t="s">
        <v>2738</v>
      </c>
      <c r="C25" s="2659" t="str">
        <f>估价对象房地状况!C20</f>
        <v>周边有桃苑公园自然及人文环境一般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27"/>
      <c r="Q25" s="1808" t="str">
        <f t="shared" si="8"/>
        <v>自然及人文环境状况</v>
      </c>
      <c r="R25" s="773" t="s">
        <v>17</v>
      </c>
      <c r="S25" s="774">
        <f>F25</f>
        <v>100</v>
      </c>
      <c r="T25" s="773" t="s">
        <v>17</v>
      </c>
      <c r="U25" s="774">
        <f>H25</f>
        <v>100</v>
      </c>
      <c r="V25" s="773" t="s">
        <v>17</v>
      </c>
      <c r="W25" s="774">
        <f>J25</f>
        <v>100</v>
      </c>
      <c r="X25" s="1811"/>
      <c r="Y25" s="3227"/>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27"/>
      <c r="Q26" s="1808"/>
      <c r="R26" s="773"/>
      <c r="S26" s="774"/>
      <c r="T26" s="773"/>
      <c r="U26" s="774"/>
      <c r="V26" s="773"/>
      <c r="W26" s="774"/>
      <c r="X26" s="1811"/>
      <c r="Y26" s="3227"/>
      <c r="Z26" s="1812"/>
      <c r="AA26" s="1809">
        <v>1</v>
      </c>
      <c r="AB26" s="1809">
        <v>1</v>
      </c>
      <c r="AC26" s="1809">
        <v>1</v>
      </c>
    </row>
    <row r="27" spans="1:29" s="117" customFormat="1" ht="114">
      <c r="A27" s="649"/>
      <c r="B27" s="1383" t="s">
        <v>2643</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27"/>
      <c r="Q27" s="1793" t="str">
        <f t="shared" si="8"/>
        <v>公共配套设施</v>
      </c>
      <c r="R27" s="769" t="s">
        <v>17</v>
      </c>
      <c r="S27" s="770">
        <f>F27</f>
        <v>100</v>
      </c>
      <c r="T27" s="769" t="s">
        <v>17</v>
      </c>
      <c r="U27" s="770">
        <f>H27</f>
        <v>100</v>
      </c>
      <c r="V27" s="769" t="s">
        <v>17</v>
      </c>
      <c r="W27" s="770">
        <f>J27</f>
        <v>100</v>
      </c>
      <c r="X27" s="771"/>
      <c r="Y27" s="3227"/>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27"/>
      <c r="Q28" s="1793"/>
      <c r="R28" s="769"/>
      <c r="S28" s="770"/>
      <c r="T28" s="769"/>
      <c r="U28" s="770"/>
      <c r="V28" s="769"/>
      <c r="W28" s="770"/>
      <c r="X28" s="771"/>
      <c r="Y28" s="3227"/>
      <c r="Z28" s="55"/>
      <c r="AA28" s="1809">
        <v>1</v>
      </c>
      <c r="AB28" s="1809">
        <v>1</v>
      </c>
      <c r="AC28" s="1809">
        <v>1</v>
      </c>
    </row>
    <row r="29" spans="1:29" s="117" customFormat="1" ht="15">
      <c r="A29" s="649"/>
      <c r="B29" s="1383" t="s">
        <v>2644</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27"/>
      <c r="Q29" s="1793" t="str">
        <f t="shared" ref="Q29" si="9">B29</f>
        <v>基础设施水平</v>
      </c>
      <c r="R29" s="769" t="s">
        <v>17</v>
      </c>
      <c r="S29" s="770">
        <f>F29</f>
        <v>100</v>
      </c>
      <c r="T29" s="769" t="s">
        <v>17</v>
      </c>
      <c r="U29" s="770">
        <f>H29</f>
        <v>100</v>
      </c>
      <c r="V29" s="769" t="s">
        <v>17</v>
      </c>
      <c r="W29" s="770">
        <f>J29</f>
        <v>100</v>
      </c>
      <c r="X29" s="771"/>
      <c r="Y29" s="3227"/>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27"/>
      <c r="Q30" s="1793"/>
      <c r="R30" s="769"/>
      <c r="S30" s="770"/>
      <c r="T30" s="769"/>
      <c r="U30" s="770"/>
      <c r="V30" s="769"/>
      <c r="W30" s="770"/>
      <c r="X30" s="771"/>
      <c r="Y30" s="3227"/>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27"/>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7"/>
      <c r="Z31" s="1812" t="str">
        <f t="shared" ref="Z31:Z45" si="13">Q31</f>
        <v>临街状况</v>
      </c>
      <c r="AA31" s="1809">
        <f t="shared" si="3"/>
        <v>1</v>
      </c>
      <c r="AB31" s="1809">
        <f t="shared" si="4"/>
        <v>1</v>
      </c>
      <c r="AC31" s="1809">
        <f t="shared" si="5"/>
        <v>1</v>
      </c>
    </row>
    <row r="32" spans="1:29" ht="27">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27"/>
      <c r="Q32" s="1808" t="str">
        <f t="shared" si="8"/>
        <v>毗邻道路的类型与等级</v>
      </c>
      <c r="R32" s="773" t="s">
        <v>17</v>
      </c>
      <c r="S32" s="774">
        <f t="shared" si="10"/>
        <v>100</v>
      </c>
      <c r="T32" s="773" t="s">
        <v>17</v>
      </c>
      <c r="U32" s="774">
        <f t="shared" si="11"/>
        <v>100</v>
      </c>
      <c r="V32" s="773" t="s">
        <v>17</v>
      </c>
      <c r="W32" s="774">
        <f t="shared" si="12"/>
        <v>100</v>
      </c>
      <c r="X32" s="1811"/>
      <c r="Y32" s="3227"/>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27"/>
      <c r="Q33" s="1808"/>
      <c r="R33" s="773"/>
      <c r="S33" s="774"/>
      <c r="T33" s="773"/>
      <c r="U33" s="774"/>
      <c r="V33" s="773"/>
      <c r="W33" s="774"/>
      <c r="X33" s="1811"/>
      <c r="Y33" s="3227"/>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27"/>
      <c r="Q34" s="1808" t="str">
        <f t="shared" si="8"/>
        <v>土地级别</v>
      </c>
      <c r="R34" s="773" t="s">
        <v>17</v>
      </c>
      <c r="S34" s="774">
        <f t="shared" si="10"/>
        <v>100</v>
      </c>
      <c r="T34" s="773" t="s">
        <v>17</v>
      </c>
      <c r="U34" s="774">
        <f t="shared" si="11"/>
        <v>100</v>
      </c>
      <c r="V34" s="773" t="s">
        <v>17</v>
      </c>
      <c r="W34" s="774">
        <f t="shared" si="12"/>
        <v>100</v>
      </c>
      <c r="X34" s="1811"/>
      <c r="Y34" s="3227"/>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27"/>
      <c r="Q35" s="1808">
        <f t="shared" si="8"/>
        <v>111</v>
      </c>
      <c r="R35" s="773" t="s">
        <v>17</v>
      </c>
      <c r="S35" s="774">
        <f t="shared" si="10"/>
        <v>100</v>
      </c>
      <c r="T35" s="773" t="s">
        <v>17</v>
      </c>
      <c r="U35" s="774">
        <f t="shared" si="11"/>
        <v>100</v>
      </c>
      <c r="V35" s="773" t="s">
        <v>17</v>
      </c>
      <c r="W35" s="774">
        <f t="shared" si="12"/>
        <v>100</v>
      </c>
      <c r="X35" s="1811"/>
      <c r="Y35" s="3227"/>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6" t="s">
        <v>2554</v>
      </c>
      <c r="Q36" s="1808">
        <f t="shared" si="8"/>
        <v>111</v>
      </c>
      <c r="R36" s="773" t="s">
        <v>17</v>
      </c>
      <c r="S36" s="774">
        <f t="shared" si="10"/>
        <v>100</v>
      </c>
      <c r="T36" s="773" t="s">
        <v>17</v>
      </c>
      <c r="U36" s="774">
        <f t="shared" si="11"/>
        <v>100</v>
      </c>
      <c r="V36" s="773" t="s">
        <v>17</v>
      </c>
      <c r="W36" s="774">
        <f t="shared" si="12"/>
        <v>100</v>
      </c>
      <c r="X36" s="1811"/>
      <c r="Y36" s="3231" t="s">
        <v>2554</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31"/>
      <c r="Q37" s="1808">
        <f t="shared" si="8"/>
        <v>111</v>
      </c>
      <c r="R37" s="776" t="s">
        <v>17</v>
      </c>
      <c r="S37" s="777">
        <f t="shared" si="10"/>
        <v>100</v>
      </c>
      <c r="T37" s="776" t="s">
        <v>17</v>
      </c>
      <c r="U37" s="777">
        <f t="shared" si="11"/>
        <v>100</v>
      </c>
      <c r="V37" s="776" t="s">
        <v>17</v>
      </c>
      <c r="W37" s="777">
        <f t="shared" si="12"/>
        <v>100</v>
      </c>
      <c r="X37" s="778"/>
      <c r="Y37" s="3231"/>
      <c r="Z37" s="779">
        <f t="shared" si="13"/>
        <v>111</v>
      </c>
      <c r="AA37" s="1809">
        <f t="shared" si="3"/>
        <v>1</v>
      </c>
      <c r="AB37" s="1809">
        <f t="shared" si="4"/>
        <v>1</v>
      </c>
      <c r="AC37" s="1809">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31"/>
      <c r="Q38" s="1808" t="str">
        <f>B38</f>
        <v>宗地面积</v>
      </c>
      <c r="R38" s="773" t="s">
        <v>17</v>
      </c>
      <c r="S38" s="774" t="e">
        <f t="shared" si="10"/>
        <v>#N/A</v>
      </c>
      <c r="T38" s="773" t="s">
        <v>17</v>
      </c>
      <c r="U38" s="774" t="e">
        <f t="shared" si="11"/>
        <v>#N/A</v>
      </c>
      <c r="V38" s="773" t="s">
        <v>17</v>
      </c>
      <c r="W38" s="774" t="e">
        <f t="shared" si="12"/>
        <v>#N/A</v>
      </c>
      <c r="X38" s="1811"/>
      <c r="Y38" s="3231"/>
      <c r="Z38" s="1812" t="str">
        <f t="shared" si="13"/>
        <v>宗地面积</v>
      </c>
      <c r="AA38" s="1809" t="e">
        <f t="shared" si="3"/>
        <v>#N/A</v>
      </c>
      <c r="AB38" s="1809" t="e">
        <f t="shared" si="4"/>
        <v>#N/A</v>
      </c>
      <c r="AC38" s="1809" t="e">
        <f t="shared" si="5"/>
        <v>#N/A</v>
      </c>
    </row>
    <row r="39" spans="1:29" ht="15">
      <c r="A39" s="472"/>
      <c r="B39" s="422" t="s">
        <v>2741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31"/>
      <c r="Q39" s="1808" t="str">
        <f t="shared" ref="Q39:Q45" si="14">B39</f>
        <v>宗地形状</v>
      </c>
      <c r="R39" s="773" t="s">
        <v>17</v>
      </c>
      <c r="S39" s="774">
        <f t="shared" si="10"/>
        <v>100</v>
      </c>
      <c r="T39" s="773" t="s">
        <v>17</v>
      </c>
      <c r="U39" s="774">
        <f t="shared" si="11"/>
        <v>100</v>
      </c>
      <c r="V39" s="773" t="s">
        <v>17</v>
      </c>
      <c r="W39" s="774">
        <f t="shared" si="12"/>
        <v>100</v>
      </c>
      <c r="X39" s="1811"/>
      <c r="Y39" s="3231"/>
      <c r="Z39" s="1812" t="str">
        <f t="shared" si="13"/>
        <v>宗地形状</v>
      </c>
      <c r="AA39" s="1809">
        <f t="shared" si="3"/>
        <v>1</v>
      </c>
      <c r="AB39" s="1809">
        <f t="shared" si="4"/>
        <v>1</v>
      </c>
      <c r="AC39" s="1809">
        <f t="shared" si="5"/>
        <v>1</v>
      </c>
    </row>
    <row r="40" spans="1:29" ht="15">
      <c r="A40" s="472"/>
      <c r="B40" s="422" t="s">
        <v>2742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31"/>
      <c r="Q40" s="1808" t="str">
        <f t="shared" si="14"/>
        <v>临街宽度及深度</v>
      </c>
      <c r="R40" s="773" t="s">
        <v>17</v>
      </c>
      <c r="S40" s="774">
        <f t="shared" si="10"/>
        <v>100</v>
      </c>
      <c r="T40" s="773" t="s">
        <v>17</v>
      </c>
      <c r="U40" s="774">
        <f t="shared" si="11"/>
        <v>100</v>
      </c>
      <c r="V40" s="773" t="s">
        <v>17</v>
      </c>
      <c r="W40" s="774">
        <f t="shared" si="12"/>
        <v>100</v>
      </c>
      <c r="X40" s="1811"/>
      <c r="Y40" s="3231"/>
      <c r="Z40" s="1812" t="str">
        <f t="shared" si="13"/>
        <v>临街宽度及深度</v>
      </c>
      <c r="AA40" s="1809">
        <f t="shared" si="3"/>
        <v>1</v>
      </c>
      <c r="AB40" s="1809">
        <f t="shared" si="4"/>
        <v>1</v>
      </c>
      <c r="AC40" s="1809">
        <f t="shared" si="5"/>
        <v>1</v>
      </c>
    </row>
    <row r="41" spans="1:29" s="117" customFormat="1" ht="15">
      <c r="A41" s="473"/>
      <c r="B41" s="422" t="s">
        <v>2743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31"/>
      <c r="Q41" s="1808" t="str">
        <f t="shared" si="14"/>
        <v>宗地开发程度</v>
      </c>
      <c r="R41" s="769" t="s">
        <v>17</v>
      </c>
      <c r="S41" s="770">
        <f t="shared" si="10"/>
        <v>100</v>
      </c>
      <c r="T41" s="769" t="s">
        <v>17</v>
      </c>
      <c r="U41" s="770">
        <f t="shared" si="11"/>
        <v>100</v>
      </c>
      <c r="V41" s="769" t="s">
        <v>17</v>
      </c>
      <c r="W41" s="770">
        <f t="shared" si="12"/>
        <v>100</v>
      </c>
      <c r="X41" s="771"/>
      <c r="Y41" s="3231"/>
      <c r="Z41" s="55" t="str">
        <f t="shared" si="13"/>
        <v>宗地开发程度</v>
      </c>
      <c r="AA41" s="772">
        <f t="shared" si="3"/>
        <v>1</v>
      </c>
      <c r="AB41" s="772">
        <f t="shared" si="4"/>
        <v>1</v>
      </c>
      <c r="AC41" s="772">
        <f t="shared" si="5"/>
        <v>1</v>
      </c>
    </row>
    <row r="42" spans="1:29" ht="15">
      <c r="A42" s="472"/>
      <c r="B42" s="422" t="s">
        <v>2744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31" t="s">
        <v>2554</v>
      </c>
      <c r="Q42" s="1808" t="str">
        <f t="shared" si="14"/>
        <v>工程地质条件</v>
      </c>
      <c r="R42" s="773" t="s">
        <v>17</v>
      </c>
      <c r="S42" s="774">
        <f t="shared" si="10"/>
        <v>100</v>
      </c>
      <c r="T42" s="773" t="s">
        <v>17</v>
      </c>
      <c r="U42" s="774">
        <f t="shared" si="11"/>
        <v>100</v>
      </c>
      <c r="V42" s="773" t="s">
        <v>17</v>
      </c>
      <c r="W42" s="774">
        <f t="shared" si="12"/>
        <v>100</v>
      </c>
      <c r="X42" s="1811"/>
      <c r="Y42" s="3231" t="s">
        <v>2554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31"/>
      <c r="Q43" s="1808">
        <f t="shared" si="14"/>
        <v>111</v>
      </c>
      <c r="R43" s="773" t="s">
        <v>17</v>
      </c>
      <c r="S43" s="774">
        <f t="shared" si="10"/>
        <v>100</v>
      </c>
      <c r="T43" s="773" t="s">
        <v>17</v>
      </c>
      <c r="U43" s="774">
        <f t="shared" si="11"/>
        <v>100</v>
      </c>
      <c r="V43" s="773" t="s">
        <v>17</v>
      </c>
      <c r="W43" s="774">
        <f t="shared" si="12"/>
        <v>100</v>
      </c>
      <c r="X43" s="1811"/>
      <c r="Y43" s="3231"/>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31"/>
      <c r="Q44" s="1808">
        <f t="shared" si="14"/>
        <v>111</v>
      </c>
      <c r="R44" s="773" t="s">
        <v>17</v>
      </c>
      <c r="S44" s="774">
        <f t="shared" si="10"/>
        <v>100</v>
      </c>
      <c r="T44" s="773" t="s">
        <v>17</v>
      </c>
      <c r="U44" s="774">
        <f t="shared" si="11"/>
        <v>100</v>
      </c>
      <c r="V44" s="773" t="s">
        <v>17</v>
      </c>
      <c r="W44" s="774">
        <f t="shared" si="12"/>
        <v>100</v>
      </c>
      <c r="X44" s="1811"/>
      <c r="Y44" s="3231"/>
      <c r="Z44" s="1812">
        <f t="shared" si="13"/>
        <v>111</v>
      </c>
      <c r="AA44" s="1809">
        <f t="shared" si="3"/>
        <v>1</v>
      </c>
      <c r="AB44" s="1809">
        <f t="shared" si="4"/>
        <v>1</v>
      </c>
      <c r="AC44" s="1809">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31"/>
      <c r="Q45" s="1808">
        <f t="shared" si="14"/>
        <v>111</v>
      </c>
      <c r="R45" s="776" t="s">
        <v>17</v>
      </c>
      <c r="S45" s="777">
        <f t="shared" si="10"/>
        <v>100</v>
      </c>
      <c r="T45" s="776" t="s">
        <v>17</v>
      </c>
      <c r="U45" s="777">
        <f t="shared" si="11"/>
        <v>100</v>
      </c>
      <c r="V45" s="776" t="s">
        <v>17</v>
      </c>
      <c r="W45" s="777">
        <f t="shared" si="12"/>
        <v>100</v>
      </c>
      <c r="X45" s="778"/>
      <c r="Y45" s="3231"/>
      <c r="Z45" s="779">
        <f t="shared" si="13"/>
        <v>111</v>
      </c>
      <c r="AA45" s="1809">
        <f t="shared" si="3"/>
        <v>1</v>
      </c>
      <c r="AB45" s="1809">
        <f t="shared" si="4"/>
        <v>1</v>
      </c>
      <c r="AC45" s="1809">
        <f t="shared" si="5"/>
        <v>1</v>
      </c>
    </row>
    <row r="46" spans="1:29" ht="15">
      <c r="A46" s="479" t="s">
        <v>2709</v>
      </c>
      <c r="B46" s="2699" t="s">
        <v>2745</v>
      </c>
      <c r="C46" s="682" t="s">
        <v>1</v>
      </c>
      <c r="D46" s="481"/>
      <c r="E46" s="482"/>
      <c r="F46" s="483"/>
      <c r="G46" s="484"/>
      <c r="H46" s="485"/>
      <c r="I46" s="482"/>
      <c r="J46" s="485"/>
      <c r="K46" s="782"/>
      <c r="L46" s="1142"/>
      <c r="M46" s="1143"/>
      <c r="N46" s="1130"/>
      <c r="O46" s="1143"/>
      <c r="P46" s="3233" t="str">
        <f>A46</f>
        <v>成交单价</v>
      </c>
      <c r="Q46" s="3233"/>
      <c r="R46" s="3195">
        <f>E46</f>
        <v>0</v>
      </c>
      <c r="S46" s="3195"/>
      <c r="T46" s="3195">
        <f>G46</f>
        <v>0</v>
      </c>
      <c r="U46" s="3195"/>
      <c r="V46" s="3195">
        <f>I46</f>
        <v>0</v>
      </c>
      <c r="W46" s="3195"/>
      <c r="X46" s="758"/>
      <c r="Y46" s="780"/>
      <c r="Z46" s="758"/>
      <c r="AA46" s="758"/>
      <c r="AB46" s="758"/>
      <c r="AC46" s="758"/>
    </row>
    <row r="47" spans="1:29" ht="15.75" thickBot="1">
      <c r="A47" s="486" t="s">
        <v>2658</v>
      </c>
      <c r="B47" s="683"/>
      <c r="C47" s="490" t="e">
        <f>R48</f>
        <v>#DIV/0!</v>
      </c>
      <c r="D47" s="489"/>
      <c r="E47" s="490" t="e">
        <f>R47</f>
        <v>#DIV/0!</v>
      </c>
      <c r="F47" s="491"/>
      <c r="G47" s="488" t="e">
        <f>T47</f>
        <v>#DIV/0!</v>
      </c>
      <c r="H47" s="489"/>
      <c r="I47" s="490" t="e">
        <f>V47</f>
        <v>#DIV/0!</v>
      </c>
      <c r="J47" s="489"/>
      <c r="K47" s="783"/>
      <c r="L47" s="1142"/>
      <c r="M47" s="1143"/>
      <c r="N47" s="1143"/>
      <c r="O47" s="1143"/>
      <c r="P47" s="3233" t="str">
        <f>A47</f>
        <v>比较价值（元/平方米）</v>
      </c>
      <c r="Q47" s="3233"/>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2" t="s">
        <v>2746</v>
      </c>
      <c r="B48" s="493"/>
      <c r="C48" s="494" t="e">
        <f>R48</f>
        <v>#DIV/0!</v>
      </c>
      <c r="D48" s="494"/>
      <c r="E48" s="494"/>
      <c r="F48" s="494"/>
      <c r="G48" s="494"/>
      <c r="H48" s="494"/>
      <c r="I48" s="494"/>
      <c r="J48" s="494"/>
      <c r="K48" s="784"/>
      <c r="L48" s="1142"/>
      <c r="M48" s="1143"/>
      <c r="N48" s="1143"/>
      <c r="O48" s="1143"/>
      <c r="P48" s="3235" t="str">
        <f>A48</f>
        <v>估价对象XX用房的比较价值（楼面单价，元/平方米）</v>
      </c>
      <c r="Q48" s="3236"/>
      <c r="R48" s="3288" t="e">
        <f>ROUND(AVERAGE(R47:V47),0)</f>
        <v>#DIV/0!</v>
      </c>
      <c r="S48" s="3288"/>
      <c r="T48" s="3288"/>
      <c r="U48" s="3288"/>
      <c r="V48" s="3288"/>
      <c r="W48" s="3288"/>
      <c r="X48" s="758"/>
      <c r="Y48" s="758"/>
      <c r="Z48" s="758"/>
      <c r="AA48" s="758"/>
      <c r="AB48" s="758"/>
      <c r="AC48" s="758"/>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2747</v>
      </c>
      <c r="B55" s="685" t="s">
        <v>2748</v>
      </c>
      <c r="C55" s="2700" t="s">
        <v>2749</v>
      </c>
      <c r="D55" s="2701" t="s">
        <v>2750</v>
      </c>
      <c r="E55" s="686" t="s">
        <v>2751</v>
      </c>
      <c r="F55" s="1107" t="s">
        <v>2752</v>
      </c>
      <c r="G55" s="3211" t="s">
        <v>2753</v>
      </c>
      <c r="H55" s="3289"/>
      <c r="I55" s="144" t="s">
        <v>2754</v>
      </c>
      <c r="J55" s="2702">
        <f>项目基本情况!F35</f>
        <v>0</v>
      </c>
      <c r="K55" s="2703" t="s">
        <v>2755</v>
      </c>
      <c r="L55" s="1106"/>
      <c r="M55" s="1143"/>
      <c r="N55" s="1143"/>
      <c r="O55" s="1143"/>
    </row>
    <row r="56" spans="1:15" s="692" customFormat="1">
      <c r="A56" s="688" t="s">
        <v>2756</v>
      </c>
      <c r="B56" s="689" t="e">
        <f>C48</f>
        <v>#DIV/0!</v>
      </c>
      <c r="C56" s="690">
        <v>1</v>
      </c>
      <c r="D56" s="1162">
        <v>1</v>
      </c>
      <c r="E56" s="690">
        <f>'数据-汇总表'!E8+'数据-汇总表'!E9</f>
        <v>2661.36</v>
      </c>
      <c r="F56" s="1103" t="e">
        <f t="shared" ref="F56:F65" si="15">ROUND(B56*E56/10000,0)</f>
        <v>#DIV/0!</v>
      </c>
      <c r="G56" s="3210"/>
      <c r="H56" s="3233"/>
      <c r="I56" s="1108">
        <v>1</v>
      </c>
      <c r="J56" s="1111">
        <v>1</v>
      </c>
      <c r="K56" s="1144"/>
      <c r="L56" s="943"/>
      <c r="M56" s="943"/>
      <c r="N56" s="943"/>
      <c r="O56" s="943"/>
    </row>
    <row r="57" spans="1:15" s="692" customFormat="1">
      <c r="A57" s="693" t="s">
        <v>2757</v>
      </c>
      <c r="B57" s="262" t="e">
        <f>ROUND($C$48*C57*D57,0)</f>
        <v>#DIV/0!</v>
      </c>
      <c r="C57" s="200">
        <f t="shared" ref="C57:C65" si="16">IF($C$55="北京市系数",I57,J57)</f>
        <v>0.7</v>
      </c>
      <c r="D57" s="1163">
        <v>0.25</v>
      </c>
      <c r="E57" s="694"/>
      <c r="F57" s="1103" t="e">
        <f t="shared" si="15"/>
        <v>#DIV/0!</v>
      </c>
      <c r="G57" s="3290" t="s">
        <v>2758</v>
      </c>
      <c r="H57" s="1104" t="str">
        <f>项目基本情况!B37</f>
        <v>五级</v>
      </c>
      <c r="I57" s="1108">
        <f>SUMIF(修正!A45:A56,H57,修正!B45:B56)</f>
        <v>0.7</v>
      </c>
      <c r="J57" s="1112"/>
      <c r="K57" s="1143"/>
      <c r="L57" s="943"/>
      <c r="M57" s="943"/>
      <c r="N57" s="943"/>
      <c r="O57" s="943"/>
    </row>
    <row r="58" spans="1:15" s="692" customFormat="1">
      <c r="A58" s="693" t="s">
        <v>2759</v>
      </c>
      <c r="B58" s="262" t="e">
        <f t="shared" ref="B58:B65" si="17">ROUND($C$48*C58*D58,0)</f>
        <v>#DIV/0!</v>
      </c>
      <c r="C58" s="200">
        <f t="shared" si="16"/>
        <v>0.4</v>
      </c>
      <c r="D58" s="1163">
        <v>0.25</v>
      </c>
      <c r="E58" s="694"/>
      <c r="F58" s="1103" t="e">
        <f t="shared" si="15"/>
        <v>#DIV/0!</v>
      </c>
      <c r="G58" s="3290"/>
      <c r="H58" s="1104" t="str">
        <f>项目基本情况!B37</f>
        <v>五级</v>
      </c>
      <c r="I58" s="1108">
        <f>SUMIF(修正!A45:A56,H58,修正!C45:C56)</f>
        <v>0.4</v>
      </c>
      <c r="J58" s="1112"/>
      <c r="K58" s="1144"/>
      <c r="L58" s="943"/>
      <c r="M58" s="943"/>
      <c r="N58" s="943"/>
      <c r="O58" s="943"/>
    </row>
    <row r="59" spans="1:15" s="692" customFormat="1">
      <c r="A59" s="693" t="s">
        <v>2760</v>
      </c>
      <c r="B59" s="262" t="e">
        <f t="shared" si="17"/>
        <v>#DIV/0!</v>
      </c>
      <c r="C59" s="200">
        <f t="shared" si="16"/>
        <v>0.28000000000000003</v>
      </c>
      <c r="D59" s="1163">
        <v>0.25</v>
      </c>
      <c r="E59" s="694"/>
      <c r="F59" s="1103" t="e">
        <f t="shared" si="15"/>
        <v>#DIV/0!</v>
      </c>
      <c r="G59" s="3290"/>
      <c r="H59" s="1104" t="str">
        <f>项目基本情况!B37</f>
        <v>五级</v>
      </c>
      <c r="I59" s="1108">
        <f>SUMIF(修正!A45:A56,H59,修正!D45:D56)</f>
        <v>0.28000000000000003</v>
      </c>
      <c r="J59" s="1112"/>
      <c r="K59" s="1143"/>
      <c r="L59" s="943"/>
      <c r="M59" s="943"/>
      <c r="N59" s="943"/>
      <c r="O59" s="943"/>
    </row>
    <row r="60" spans="1:15" s="692" customFormat="1">
      <c r="A60" s="693" t="s">
        <v>2761</v>
      </c>
      <c r="B60" s="262" t="e">
        <f t="shared" si="17"/>
        <v>#DIV/0!</v>
      </c>
      <c r="C60" s="200">
        <f t="shared" si="16"/>
        <v>0.25</v>
      </c>
      <c r="D60" s="1163">
        <v>0.25</v>
      </c>
      <c r="E60" s="694"/>
      <c r="F60" s="1103" t="e">
        <f t="shared" si="15"/>
        <v>#DIV/0!</v>
      </c>
      <c r="G60" s="3290"/>
      <c r="H60" s="1104" t="str">
        <f>项目基本情况!B37</f>
        <v>五级</v>
      </c>
      <c r="I60" s="1108">
        <f>SUMIF(修正!A45:A56,H60,修正!E45:E56)</f>
        <v>0.25</v>
      </c>
      <c r="J60" s="1112"/>
      <c r="K60" s="1144"/>
      <c r="L60" s="943"/>
      <c r="M60" s="943"/>
      <c r="N60" s="943"/>
      <c r="O60" s="943"/>
    </row>
    <row r="61" spans="1:15" s="692" customFormat="1">
      <c r="A61" s="693" t="s">
        <v>2762</v>
      </c>
      <c r="B61" s="262" t="e">
        <f t="shared" si="17"/>
        <v>#DIV/0!</v>
      </c>
      <c r="C61" s="200">
        <f t="shared" si="16"/>
        <v>0</v>
      </c>
      <c r="D61" s="1163">
        <v>0.25</v>
      </c>
      <c r="E61" s="261">
        <f>'数据-汇总表'!E11</f>
        <v>0</v>
      </c>
      <c r="F61" s="1103" t="e">
        <f t="shared" si="15"/>
        <v>#DIV/0!</v>
      </c>
      <c r="G61" s="2704" t="s">
        <v>2763</v>
      </c>
      <c r="H61" s="1104">
        <f>项目基本情况!C37</f>
        <v>0</v>
      </c>
      <c r="I61" s="1108">
        <f>SUMIF(修正!A45:A56,H61,修正!F45:F56)</f>
        <v>0</v>
      </c>
      <c r="J61" s="1112"/>
      <c r="K61" s="1143"/>
      <c r="L61" s="943"/>
      <c r="M61" s="943"/>
      <c r="N61" s="943"/>
      <c r="O61" s="943"/>
    </row>
    <row r="62" spans="1:15" s="692" customFormat="1">
      <c r="A62" s="693" t="s">
        <v>2764</v>
      </c>
      <c r="B62" s="262" t="e">
        <f t="shared" si="17"/>
        <v>#DIV/0!</v>
      </c>
      <c r="C62" s="200">
        <f t="shared" si="16"/>
        <v>0</v>
      </c>
      <c r="D62" s="1163">
        <v>0.25</v>
      </c>
      <c r="E62" s="261">
        <f>'数据-汇总表'!E12</f>
        <v>0</v>
      </c>
      <c r="F62" s="1103" t="e">
        <f t="shared" si="15"/>
        <v>#DIV/0!</v>
      </c>
      <c r="G62" s="1109" t="s">
        <v>2765</v>
      </c>
      <c r="H62" s="1104">
        <f>IF(G62="商业",项目基本情况!B37,IF(G62="办公",项目基本情况!C37,IF(G62="住宅",项目基本情况!D37,项目基本情况!E37)))</f>
        <v>0</v>
      </c>
      <c r="I62" s="1108">
        <f>SUMIF(修正!A45:A56,H62,修正!G45:G56)</f>
        <v>0</v>
      </c>
      <c r="J62" s="1112"/>
      <c r="K62" s="1144"/>
      <c r="L62" s="943"/>
      <c r="M62" s="943"/>
      <c r="N62" s="943"/>
      <c r="O62" s="943"/>
    </row>
    <row r="63" spans="1:15" s="692" customFormat="1">
      <c r="A63" s="693" t="s">
        <v>2766</v>
      </c>
      <c r="B63" s="262" t="e">
        <f t="shared" si="17"/>
        <v>#DIV/0!</v>
      </c>
      <c r="C63" s="200">
        <f t="shared" si="16"/>
        <v>0</v>
      </c>
      <c r="D63" s="1163">
        <v>0.25</v>
      </c>
      <c r="E63" s="261">
        <f>'数据-汇总表'!E13</f>
        <v>0</v>
      </c>
      <c r="F63" s="1103" t="e">
        <f t="shared" si="15"/>
        <v>#DIV/0!</v>
      </c>
      <c r="G63" s="1109" t="s">
        <v>2767</v>
      </c>
      <c r="H63" s="1104">
        <f>IF(G63="商业",项目基本情况!B37,IF(G63="办公",项目基本情况!C37,IF(G63="住宅",项目基本情况!D37,项目基本情况!E37)))</f>
        <v>0</v>
      </c>
      <c r="I63" s="1108">
        <f>SUMIF(修正!A45:A56,H63,修正!H45:H56)</f>
        <v>0</v>
      </c>
      <c r="J63" s="1112"/>
      <c r="K63" s="1143"/>
      <c r="L63" s="943"/>
      <c r="M63" s="943"/>
      <c r="N63" s="943"/>
      <c r="O63" s="943"/>
    </row>
    <row r="64" spans="1:15" s="692" customFormat="1">
      <c r="A64" s="693" t="s">
        <v>2768</v>
      </c>
      <c r="B64" s="262" t="e">
        <f t="shared" si="17"/>
        <v>#DIV/0!</v>
      </c>
      <c r="C64" s="200">
        <f t="shared" si="16"/>
        <v>0.2</v>
      </c>
      <c r="D64" s="1163">
        <v>0.25</v>
      </c>
      <c r="E64" s="261">
        <f>'数据-汇总表'!E14</f>
        <v>0</v>
      </c>
      <c r="F64" s="1103" t="e">
        <f t="shared" si="15"/>
        <v>#DIV/0!</v>
      </c>
      <c r="G64" s="2704" t="s">
        <v>2758</v>
      </c>
      <c r="H64" s="1104" t="str">
        <f>项目基本情况!B37</f>
        <v>五级</v>
      </c>
      <c r="I64" s="1108">
        <f>SUMIF(修正!A45:A56,H64,修正!H45:H56)</f>
        <v>0.2</v>
      </c>
      <c r="J64" s="1112"/>
      <c r="K64" s="1144"/>
      <c r="L64" s="943"/>
      <c r="M64" s="943"/>
      <c r="N64" s="943"/>
      <c r="O64" s="943"/>
    </row>
    <row r="65" spans="1:17" s="692" customFormat="1" ht="15" thickBot="1">
      <c r="A65" s="693" t="s">
        <v>2769</v>
      </c>
      <c r="B65" s="262" t="e">
        <f t="shared" si="17"/>
        <v>#DIV/0!</v>
      </c>
      <c r="C65" s="200">
        <f t="shared" si="16"/>
        <v>0</v>
      </c>
      <c r="D65" s="1163">
        <v>0.25</v>
      </c>
      <c r="E65" s="261">
        <f>'数据-汇总表'!E15</f>
        <v>0</v>
      </c>
      <c r="F65" s="1103" t="e">
        <f t="shared" si="15"/>
        <v>#DIV/0!</v>
      </c>
      <c r="G65" s="2705" t="s">
        <v>2763</v>
      </c>
      <c r="H65" s="1114">
        <f>项目基本情况!C37</f>
        <v>0</v>
      </c>
      <c r="I65" s="1110">
        <f>SUMIF(修正!A45:A56,H65,修正!H45:H56)</f>
        <v>0</v>
      </c>
      <c r="J65" s="1113"/>
      <c r="K65" s="1143"/>
      <c r="L65" s="943"/>
      <c r="M65" s="943"/>
      <c r="N65" s="943"/>
      <c r="O65" s="943"/>
    </row>
    <row r="66" spans="1:17" s="692" customFormat="1" ht="13.5" thickBot="1">
      <c r="A66" s="695" t="s">
        <v>2770</v>
      </c>
      <c r="B66" s="696" t="s">
        <v>28</v>
      </c>
      <c r="C66" s="696" t="s">
        <v>29</v>
      </c>
      <c r="D66" s="696" t="s">
        <v>1029</v>
      </c>
      <c r="E66" s="696">
        <f>IF(B46="楼面地价",SUM(E56:E65),'数据-汇总表'!D3)</f>
        <v>2661.36</v>
      </c>
      <c r="F66" s="697" t="e">
        <f>IF(B46="楼面地价",SUM(F56:F65),ROUND(C48*E66/10000,0))</f>
        <v>#DIV/0!</v>
      </c>
      <c r="G66" s="786"/>
      <c r="H66" s="786"/>
      <c r="I66" s="786"/>
      <c r="J66" s="786"/>
      <c r="K66" s="1157"/>
      <c r="L66" s="943"/>
      <c r="M66" s="943"/>
      <c r="N66" s="943"/>
      <c r="O66" s="943"/>
    </row>
    <row r="67" spans="1:17">
      <c r="A67" s="758"/>
      <c r="B67" s="760"/>
      <c r="C67" s="761"/>
      <c r="D67" s="758"/>
      <c r="E67" s="758"/>
      <c r="F67" s="758"/>
      <c r="G67" s="758"/>
      <c r="H67" s="758"/>
      <c r="I67" s="758"/>
      <c r="J67" s="1143"/>
      <c r="K67" s="1105"/>
      <c r="L67" s="1106"/>
      <c r="M67" s="1143"/>
      <c r="N67" s="1143"/>
      <c r="O67" s="1143"/>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2663</v>
      </c>
      <c r="B69" s="758"/>
      <c r="C69" s="763"/>
      <c r="D69" s="763"/>
      <c r="E69" s="763"/>
      <c r="F69" s="764"/>
      <c r="G69" s="764"/>
      <c r="H69" s="763"/>
      <c r="I69" s="763"/>
      <c r="J69" s="1158"/>
      <c r="K69" s="1159"/>
      <c r="L69" s="1160"/>
      <c r="M69" s="1158"/>
      <c r="N69" s="1158"/>
      <c r="O69" s="1158"/>
      <c r="P69" s="503"/>
      <c r="Q69" s="504"/>
    </row>
    <row r="70" spans="1:17" s="508" customFormat="1" ht="15">
      <c r="A70" s="2706" t="s">
        <v>2771</v>
      </c>
      <c r="B70" s="1358"/>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2772</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6"/>
      <c r="N71" s="595"/>
      <c r="O71" s="1567"/>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1" t="s">
        <v>2635</v>
      </c>
      <c r="D4" s="3212"/>
      <c r="E4" s="3213" t="s">
        <v>2636</v>
      </c>
      <c r="F4" s="3214"/>
      <c r="G4" s="3211" t="s">
        <v>2637</v>
      </c>
      <c r="H4" s="3212"/>
      <c r="I4" s="3211" t="s">
        <v>2638</v>
      </c>
      <c r="J4" s="3212"/>
      <c r="K4" s="610" t="s">
        <v>2639</v>
      </c>
      <c r="L4" s="1129"/>
      <c r="M4" s="1130"/>
      <c r="N4" s="1130"/>
      <c r="O4" s="1130"/>
      <c r="P4" s="3215" t="s">
        <v>2640</v>
      </c>
      <c r="Q4" s="3216"/>
      <c r="R4" s="3198" t="s">
        <v>2636</v>
      </c>
      <c r="S4" s="3199"/>
      <c r="T4" s="3198" t="s">
        <v>2637</v>
      </c>
      <c r="U4" s="3199"/>
      <c r="V4" s="3195" t="s">
        <v>2638</v>
      </c>
      <c r="W4" s="3195"/>
      <c r="X4" s="1811"/>
      <c r="Y4" s="3198" t="s">
        <v>2640</v>
      </c>
      <c r="Z4" s="3199"/>
      <c r="AA4" s="3192" t="s">
        <v>2636</v>
      </c>
      <c r="AB4" s="3193" t="s">
        <v>2637</v>
      </c>
      <c r="AC4" s="3192" t="s">
        <v>2638</v>
      </c>
    </row>
    <row r="5" spans="1:29" ht="15">
      <c r="A5" s="404"/>
      <c r="B5" s="405"/>
      <c r="C5" s="3270" t="s">
        <v>2531</v>
      </c>
      <c r="D5" s="3205"/>
      <c r="E5" s="3269" t="s">
        <v>2532</v>
      </c>
      <c r="F5" s="3203"/>
      <c r="G5" s="3270" t="s">
        <v>2533</v>
      </c>
      <c r="H5" s="3205"/>
      <c r="I5" s="3270" t="s">
        <v>2534</v>
      </c>
      <c r="J5" s="3205"/>
      <c r="K5" s="610"/>
      <c r="L5" s="1129"/>
      <c r="M5" s="1130"/>
      <c r="N5" s="1130"/>
      <c r="O5" s="1130"/>
      <c r="P5" s="3217"/>
      <c r="Q5" s="3218"/>
      <c r="R5" s="3200"/>
      <c r="S5" s="3201"/>
      <c r="T5" s="3200"/>
      <c r="U5" s="3201"/>
      <c r="V5" s="3195"/>
      <c r="W5" s="3195"/>
      <c r="X5" s="1811"/>
      <c r="Y5" s="3200"/>
      <c r="Z5" s="3201"/>
      <c r="AA5" s="3193"/>
      <c r="AB5" s="3193"/>
      <c r="AC5" s="3193"/>
    </row>
    <row r="6" spans="1:29" ht="15.75" thickBot="1">
      <c r="A6" s="406"/>
      <c r="B6" s="407"/>
      <c r="C6" s="3291" t="s">
        <v>2786</v>
      </c>
      <c r="D6" s="3292"/>
      <c r="E6" s="3293" t="s">
        <v>2786</v>
      </c>
      <c r="F6" s="3294"/>
      <c r="G6" s="3291" t="s">
        <v>2786</v>
      </c>
      <c r="H6" s="3292"/>
      <c r="I6" s="3291" t="s">
        <v>2786</v>
      </c>
      <c r="J6" s="3292"/>
      <c r="K6" s="610" t="s">
        <v>2536</v>
      </c>
      <c r="L6" s="1129"/>
      <c r="M6" s="1130"/>
      <c r="N6" s="1130"/>
      <c r="O6" s="1130"/>
      <c r="P6" s="3219"/>
      <c r="Q6" s="3220"/>
      <c r="R6" s="3200"/>
      <c r="S6" s="3201"/>
      <c r="T6" s="3221"/>
      <c r="U6" s="3222"/>
      <c r="V6" s="3195"/>
      <c r="W6" s="3195"/>
      <c r="X6" s="1811"/>
      <c r="Y6" s="3221"/>
      <c r="Z6" s="3222"/>
      <c r="AA6" s="3194"/>
      <c r="AB6" s="3194"/>
      <c r="AC6" s="3194"/>
    </row>
    <row r="7" spans="1:29" s="117" customFormat="1" ht="15.75" thickBot="1">
      <c r="A7" s="408" t="s">
        <v>2537</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196" t="s">
        <v>2538</v>
      </c>
      <c r="Q7" s="3223"/>
      <c r="R7" s="769" t="s">
        <v>17</v>
      </c>
      <c r="S7" s="770">
        <f t="shared" ref="S7:S15" si="0">F7</f>
        <v>0</v>
      </c>
      <c r="T7" s="769" t="s">
        <v>17</v>
      </c>
      <c r="U7" s="770">
        <f t="shared" ref="U7:U15" si="1">H7</f>
        <v>0</v>
      </c>
      <c r="V7" s="769" t="s">
        <v>17</v>
      </c>
      <c r="W7" s="770">
        <f t="shared" ref="W7:W15" si="2">J7</f>
        <v>0</v>
      </c>
      <c r="X7" s="771"/>
      <c r="Y7" s="3196" t="s">
        <v>2538</v>
      </c>
      <c r="Z7" s="3197"/>
      <c r="AA7" s="772" t="e">
        <f>D7/F7</f>
        <v>#DIV/0!</v>
      </c>
      <c r="AB7" s="772" t="e">
        <f>D7/H7</f>
        <v>#DIV/0!</v>
      </c>
      <c r="AC7" s="772"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96" t="s">
        <v>2541</v>
      </c>
      <c r="Q8" s="3197"/>
      <c r="R8" s="769" t="s">
        <v>17</v>
      </c>
      <c r="S8" s="770">
        <f t="shared" si="0"/>
        <v>0</v>
      </c>
      <c r="T8" s="769" t="s">
        <v>17</v>
      </c>
      <c r="U8" s="770">
        <f t="shared" si="1"/>
        <v>0</v>
      </c>
      <c r="V8" s="769" t="s">
        <v>17</v>
      </c>
      <c r="W8" s="770">
        <f t="shared" si="2"/>
        <v>0</v>
      </c>
      <c r="X8" s="771"/>
      <c r="Y8" s="3196" t="s">
        <v>2541</v>
      </c>
      <c r="Z8" s="3197"/>
      <c r="AA8" s="772" t="e">
        <f t="shared" ref="AA8:AA40" si="3">D8/F8</f>
        <v>#DIV/0!</v>
      </c>
      <c r="AB8" s="772" t="e">
        <f t="shared" ref="AB8:AB40" si="4">D8/H8</f>
        <v>#DIV/0!</v>
      </c>
      <c r="AC8" s="772" t="e">
        <f t="shared" ref="AC8:AC40" si="5">D8/J8</f>
        <v>#DIV/0!</v>
      </c>
    </row>
    <row r="9" spans="1:29" s="117" customFormat="1">
      <c r="A9" s="415" t="s">
        <v>2542</v>
      </c>
      <c r="B9" s="71" t="s">
        <v>2543</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33" t="s">
        <v>2544</v>
      </c>
      <c r="Q9" s="1793" t="str">
        <f t="shared" ref="Q9:Q15" si="6">B9</f>
        <v>用途</v>
      </c>
      <c r="R9" s="769" t="s">
        <v>17</v>
      </c>
      <c r="S9" s="770">
        <f t="shared" si="0"/>
        <v>100</v>
      </c>
      <c r="T9" s="769" t="s">
        <v>17</v>
      </c>
      <c r="U9" s="770">
        <f t="shared" si="1"/>
        <v>100</v>
      </c>
      <c r="V9" s="769" t="s">
        <v>17</v>
      </c>
      <c r="W9" s="770">
        <f t="shared" si="2"/>
        <v>100</v>
      </c>
      <c r="X9" s="771"/>
      <c r="Y9" s="3069" t="s">
        <v>2545</v>
      </c>
      <c r="Z9" s="55" t="str">
        <f t="shared" ref="Z9:Z15" si="7">Q9</f>
        <v>用途</v>
      </c>
      <c r="AA9" s="772">
        <f t="shared" si="3"/>
        <v>1</v>
      </c>
      <c r="AB9" s="772">
        <f t="shared" si="4"/>
        <v>1</v>
      </c>
      <c r="AC9" s="772">
        <f t="shared" si="5"/>
        <v>1</v>
      </c>
    </row>
    <row r="10" spans="1:29" s="427" customFormat="1" ht="27">
      <c r="A10" s="421"/>
      <c r="B10" s="422" t="s">
        <v>2546</v>
      </c>
      <c r="C10" s="432"/>
      <c r="D10" s="136">
        <v>100</v>
      </c>
      <c r="E10" s="432"/>
      <c r="F10" s="136">
        <f>ROUND(100/'数据-取费表'!G16,0)</f>
        <v>113</v>
      </c>
      <c r="G10" s="432"/>
      <c r="H10" s="136">
        <f>ROUND(100/'数据-取费表'!G16,0)</f>
        <v>113</v>
      </c>
      <c r="I10" s="432"/>
      <c r="J10" s="136">
        <f>ROUND(100/'数据-取费表'!G16,0)</f>
        <v>113</v>
      </c>
      <c r="K10" s="672"/>
      <c r="L10" s="1134"/>
      <c r="M10" s="1135"/>
      <c r="N10" s="1135"/>
      <c r="O10" s="1136"/>
      <c r="P10" s="3233"/>
      <c r="Q10" s="1793" t="str">
        <f t="shared" si="6"/>
        <v>土地使用年限（年）</v>
      </c>
      <c r="R10" s="769" t="s">
        <v>17</v>
      </c>
      <c r="S10" s="770">
        <f t="shared" si="0"/>
        <v>113</v>
      </c>
      <c r="T10" s="769" t="s">
        <v>17</v>
      </c>
      <c r="U10" s="770">
        <f t="shared" si="1"/>
        <v>113</v>
      </c>
      <c r="V10" s="769" t="s">
        <v>17</v>
      </c>
      <c r="W10" s="770">
        <f t="shared" si="2"/>
        <v>113</v>
      </c>
      <c r="X10" s="771"/>
      <c r="Y10" s="3069"/>
      <c r="Z10" s="55" t="str">
        <f t="shared" si="7"/>
        <v>土地使用年限（年）</v>
      </c>
      <c r="AA10" s="772">
        <f t="shared" si="3"/>
        <v>0.88495575221238942</v>
      </c>
      <c r="AB10" s="772">
        <f t="shared" si="4"/>
        <v>0.88495575221238942</v>
      </c>
      <c r="AC10" s="772">
        <f t="shared" si="5"/>
        <v>0.88495575221238942</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33"/>
      <c r="Q11" s="1793"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33"/>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33"/>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33"/>
      <c r="Q14" s="1793">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772">
        <f t="shared" si="5"/>
        <v>1</v>
      </c>
    </row>
    <row r="15" spans="1:29" ht="15">
      <c r="A15" s="440" t="s">
        <v>2548</v>
      </c>
      <c r="B15" s="629" t="s">
        <v>2787</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6" t="s">
        <v>2549</v>
      </c>
      <c r="Q15" s="1808" t="str">
        <f t="shared" si="6"/>
        <v>产业集聚程度</v>
      </c>
      <c r="R15" s="773" t="s">
        <v>17</v>
      </c>
      <c r="S15" s="774">
        <f t="shared" si="0"/>
        <v>100</v>
      </c>
      <c r="T15" s="773" t="s">
        <v>17</v>
      </c>
      <c r="U15" s="774">
        <f t="shared" si="1"/>
        <v>100</v>
      </c>
      <c r="V15" s="773" t="s">
        <v>17</v>
      </c>
      <c r="W15" s="774">
        <f t="shared" si="2"/>
        <v>100</v>
      </c>
      <c r="X15" s="1811"/>
      <c r="Y15" s="3226" t="s">
        <v>2549</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27"/>
      <c r="Q16" s="1808"/>
      <c r="R16" s="773"/>
      <c r="S16" s="774"/>
      <c r="T16" s="773"/>
      <c r="U16" s="774"/>
      <c r="V16" s="773"/>
      <c r="W16" s="774"/>
      <c r="X16" s="1811"/>
      <c r="Y16" s="3227"/>
      <c r="Z16" s="1812"/>
      <c r="AA16" s="1809">
        <v>1</v>
      </c>
      <c r="AB16" s="1809">
        <v>1</v>
      </c>
      <c r="AC16" s="1809">
        <v>1</v>
      </c>
    </row>
    <row r="17" spans="1:29" ht="15">
      <c r="A17" s="428"/>
      <c r="B17" s="631" t="s">
        <v>2698</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27"/>
      <c r="Q17" s="1808" t="str">
        <f>B17</f>
        <v>交通便捷度</v>
      </c>
      <c r="R17" s="773" t="s">
        <v>17</v>
      </c>
      <c r="S17" s="774">
        <f>F17</f>
        <v>100</v>
      </c>
      <c r="T17" s="773" t="s">
        <v>17</v>
      </c>
      <c r="U17" s="774">
        <f>H17</f>
        <v>100</v>
      </c>
      <c r="V17" s="773" t="s">
        <v>17</v>
      </c>
      <c r="W17" s="774">
        <f>J17</f>
        <v>100</v>
      </c>
      <c r="X17" s="1811"/>
      <c r="Y17" s="3227"/>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27"/>
      <c r="Q18" s="1808"/>
      <c r="R18" s="773"/>
      <c r="S18" s="774"/>
      <c r="T18" s="773"/>
      <c r="U18" s="774"/>
      <c r="V18" s="773"/>
      <c r="W18" s="774"/>
      <c r="X18" s="1811"/>
      <c r="Y18" s="3227"/>
      <c r="Z18" s="1812"/>
      <c r="AA18" s="1809">
        <v>1</v>
      </c>
      <c r="AB18" s="1809">
        <v>1</v>
      </c>
      <c r="AC18" s="1809">
        <v>1</v>
      </c>
    </row>
    <row r="19" spans="1:29" ht="15">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27"/>
      <c r="Q19" s="1808" t="str">
        <f t="shared" ref="Q19:Q33" si="8">B19</f>
        <v>区域土地利用方向</v>
      </c>
      <c r="R19" s="773" t="s">
        <v>17</v>
      </c>
      <c r="S19" s="774">
        <f>F19</f>
        <v>100</v>
      </c>
      <c r="T19" s="773" t="s">
        <v>17</v>
      </c>
      <c r="U19" s="774">
        <f>H19</f>
        <v>100</v>
      </c>
      <c r="V19" s="773" t="s">
        <v>17</v>
      </c>
      <c r="W19" s="774">
        <f>J19</f>
        <v>100</v>
      </c>
      <c r="X19" s="1811"/>
      <c r="Y19" s="3227"/>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27"/>
      <c r="Q20" s="1808"/>
      <c r="R20" s="773"/>
      <c r="S20" s="774"/>
      <c r="T20" s="773"/>
      <c r="U20" s="774"/>
      <c r="V20" s="773"/>
      <c r="W20" s="774"/>
      <c r="X20" s="1811"/>
      <c r="Y20" s="3227"/>
      <c r="Z20" s="1812"/>
      <c r="AA20" s="1809"/>
      <c r="AB20" s="1809"/>
      <c r="AC20" s="1809"/>
    </row>
    <row r="21" spans="1:29" ht="15">
      <c r="A21" s="404"/>
      <c r="B21" s="631" t="s">
        <v>2788</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27"/>
      <c r="Q21" s="1808" t="str">
        <f t="shared" si="8"/>
        <v>环境状况</v>
      </c>
      <c r="R21" s="773" t="s">
        <v>17</v>
      </c>
      <c r="S21" s="774">
        <f>F21</f>
        <v>100</v>
      </c>
      <c r="T21" s="773" t="s">
        <v>17</v>
      </c>
      <c r="U21" s="774">
        <f>H21</f>
        <v>100</v>
      </c>
      <c r="V21" s="773" t="s">
        <v>17</v>
      </c>
      <c r="W21" s="774">
        <f>J21</f>
        <v>100</v>
      </c>
      <c r="X21" s="1811"/>
      <c r="Y21" s="3227"/>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27"/>
      <c r="Q22" s="1808"/>
      <c r="R22" s="773"/>
      <c r="S22" s="774"/>
      <c r="T22" s="773"/>
      <c r="U22" s="774"/>
      <c r="V22" s="773"/>
      <c r="W22" s="774"/>
      <c r="X22" s="1811"/>
      <c r="Y22" s="3227"/>
      <c r="Z22" s="1812"/>
      <c r="AA22" s="1809">
        <v>1</v>
      </c>
      <c r="AB22" s="1809">
        <v>1</v>
      </c>
      <c r="AC22" s="1809">
        <v>1</v>
      </c>
    </row>
    <row r="23" spans="1:29" s="117" customFormat="1" ht="15">
      <c r="A23" s="649"/>
      <c r="B23" s="633" t="s">
        <v>2643</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27"/>
      <c r="Q23" s="1793" t="str">
        <f t="shared" si="8"/>
        <v>公共配套设施</v>
      </c>
      <c r="R23" s="769" t="s">
        <v>17</v>
      </c>
      <c r="S23" s="770">
        <f>F23</f>
        <v>100</v>
      </c>
      <c r="T23" s="769" t="s">
        <v>17</v>
      </c>
      <c r="U23" s="770">
        <f>H23</f>
        <v>100</v>
      </c>
      <c r="V23" s="769" t="s">
        <v>17</v>
      </c>
      <c r="W23" s="770">
        <f>J23</f>
        <v>100</v>
      </c>
      <c r="X23" s="771"/>
      <c r="Y23" s="3227"/>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27"/>
      <c r="Q24" s="1793"/>
      <c r="R24" s="769"/>
      <c r="S24" s="770"/>
      <c r="T24" s="769"/>
      <c r="U24" s="770"/>
      <c r="V24" s="769"/>
      <c r="W24" s="770"/>
      <c r="X24" s="771"/>
      <c r="Y24" s="3227"/>
      <c r="Z24" s="55"/>
      <c r="AA24" s="772">
        <v>1</v>
      </c>
      <c r="AB24" s="772">
        <v>1</v>
      </c>
      <c r="AC24" s="772">
        <v>1</v>
      </c>
    </row>
    <row r="25" spans="1:29" s="117" customFormat="1" ht="15">
      <c r="A25" s="649"/>
      <c r="B25" s="633" t="s">
        <v>2644</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27"/>
      <c r="Q25" s="1793" t="str">
        <f t="shared" ref="Q25" si="9">B25</f>
        <v>基础设施水平</v>
      </c>
      <c r="R25" s="769" t="s">
        <v>17</v>
      </c>
      <c r="S25" s="770">
        <f>F25</f>
        <v>100</v>
      </c>
      <c r="T25" s="769" t="s">
        <v>17</v>
      </c>
      <c r="U25" s="770">
        <f>H25</f>
        <v>100</v>
      </c>
      <c r="V25" s="769" t="s">
        <v>17</v>
      </c>
      <c r="W25" s="770">
        <f>J25</f>
        <v>100</v>
      </c>
      <c r="X25" s="771"/>
      <c r="Y25" s="3227"/>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27"/>
      <c r="Q26" s="1793"/>
      <c r="R26" s="769"/>
      <c r="S26" s="770"/>
      <c r="T26" s="769"/>
      <c r="U26" s="770"/>
      <c r="V26" s="769"/>
      <c r="W26" s="770"/>
      <c r="X26" s="771"/>
      <c r="Y26" s="3227"/>
      <c r="Z26" s="55"/>
      <c r="AA26" s="772">
        <v>1</v>
      </c>
      <c r="AB26" s="772">
        <v>1</v>
      </c>
      <c r="AC26" s="772">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27"/>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7"/>
      <c r="Z27" s="1812" t="str">
        <f t="shared" ref="Z27:Z40" si="13">Q27</f>
        <v>临街状况</v>
      </c>
      <c r="AA27" s="1809">
        <f t="shared" si="3"/>
        <v>1</v>
      </c>
      <c r="AB27" s="1809">
        <f t="shared" si="4"/>
        <v>1</v>
      </c>
      <c r="AC27" s="1809">
        <f t="shared" si="5"/>
        <v>1</v>
      </c>
    </row>
    <row r="28" spans="1:29" ht="27">
      <c r="A28" s="428"/>
      <c r="B28" s="633" t="s">
        <v>2680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27"/>
      <c r="Q28" s="1808" t="str">
        <f t="shared" si="8"/>
        <v>毗邻道路的类型与等级</v>
      </c>
      <c r="R28" s="773" t="s">
        <v>17</v>
      </c>
      <c r="S28" s="774">
        <f t="shared" si="10"/>
        <v>100</v>
      </c>
      <c r="T28" s="773" t="s">
        <v>17</v>
      </c>
      <c r="U28" s="774">
        <f t="shared" si="11"/>
        <v>100</v>
      </c>
      <c r="V28" s="773" t="s">
        <v>17</v>
      </c>
      <c r="W28" s="774">
        <f t="shared" si="12"/>
        <v>100</v>
      </c>
      <c r="X28" s="1811"/>
      <c r="Y28" s="3227"/>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27"/>
      <c r="Q29" s="1808"/>
      <c r="R29" s="773"/>
      <c r="S29" s="774"/>
      <c r="T29" s="773"/>
      <c r="U29" s="774"/>
      <c r="V29" s="773"/>
      <c r="W29" s="774"/>
      <c r="X29" s="1811"/>
      <c r="Y29" s="3227"/>
      <c r="Z29" s="1812"/>
      <c r="AA29" s="1809">
        <v>1</v>
      </c>
      <c r="AB29" s="1809">
        <v>1</v>
      </c>
      <c r="AC29" s="1809">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27"/>
      <c r="Q30" s="1808" t="str">
        <f t="shared" si="8"/>
        <v>土地级别</v>
      </c>
      <c r="R30" s="773" t="s">
        <v>17</v>
      </c>
      <c r="S30" s="774">
        <f t="shared" si="10"/>
        <v>100</v>
      </c>
      <c r="T30" s="773" t="s">
        <v>17</v>
      </c>
      <c r="U30" s="774">
        <f t="shared" si="11"/>
        <v>100</v>
      </c>
      <c r="V30" s="773" t="s">
        <v>17</v>
      </c>
      <c r="W30" s="774">
        <f t="shared" si="12"/>
        <v>100</v>
      </c>
      <c r="X30" s="1811"/>
      <c r="Y30" s="3227"/>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7"/>
      <c r="Q31" s="1808">
        <f t="shared" si="8"/>
        <v>111</v>
      </c>
      <c r="R31" s="773" t="s">
        <v>17</v>
      </c>
      <c r="S31" s="774">
        <f t="shared" si="10"/>
        <v>100</v>
      </c>
      <c r="T31" s="773" t="s">
        <v>17</v>
      </c>
      <c r="U31" s="774">
        <f t="shared" si="11"/>
        <v>100</v>
      </c>
      <c r="V31" s="773" t="s">
        <v>17</v>
      </c>
      <c r="W31" s="774">
        <f t="shared" si="12"/>
        <v>100</v>
      </c>
      <c r="X31" s="1811"/>
      <c r="Y31" s="3227"/>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6" t="s">
        <v>2554</v>
      </c>
      <c r="Q32" s="1808">
        <f t="shared" si="8"/>
        <v>111</v>
      </c>
      <c r="R32" s="773" t="s">
        <v>17</v>
      </c>
      <c r="S32" s="774">
        <f t="shared" si="10"/>
        <v>100</v>
      </c>
      <c r="T32" s="773" t="s">
        <v>17</v>
      </c>
      <c r="U32" s="774">
        <f t="shared" si="11"/>
        <v>100</v>
      </c>
      <c r="V32" s="773" t="s">
        <v>17</v>
      </c>
      <c r="W32" s="774">
        <f t="shared" si="12"/>
        <v>100</v>
      </c>
      <c r="X32" s="1811"/>
      <c r="Y32" s="3231" t="s">
        <v>2554</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31"/>
      <c r="Q33" s="1808">
        <f t="shared" si="8"/>
        <v>111</v>
      </c>
      <c r="R33" s="776" t="s">
        <v>17</v>
      </c>
      <c r="S33" s="777">
        <f t="shared" si="10"/>
        <v>100</v>
      </c>
      <c r="T33" s="776" t="s">
        <v>17</v>
      </c>
      <c r="U33" s="777">
        <f t="shared" si="11"/>
        <v>100</v>
      </c>
      <c r="V33" s="776" t="s">
        <v>17</v>
      </c>
      <c r="W33" s="777">
        <f t="shared" si="12"/>
        <v>100</v>
      </c>
      <c r="X33" s="778"/>
      <c r="Y33" s="3231"/>
      <c r="Z33" s="779">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31"/>
      <c r="Q34" s="1808" t="str">
        <f>B34</f>
        <v>宗地面积</v>
      </c>
      <c r="R34" s="773" t="s">
        <v>17</v>
      </c>
      <c r="S34" s="774" t="e">
        <f t="shared" si="10"/>
        <v>#N/A</v>
      </c>
      <c r="T34" s="773" t="s">
        <v>17</v>
      </c>
      <c r="U34" s="774" t="e">
        <f t="shared" si="11"/>
        <v>#N/A</v>
      </c>
      <c r="V34" s="773" t="s">
        <v>17</v>
      </c>
      <c r="W34" s="774" t="e">
        <f t="shared" si="12"/>
        <v>#N/A</v>
      </c>
      <c r="X34" s="1811"/>
      <c r="Y34" s="3231"/>
      <c r="Z34" s="1812" t="str">
        <f t="shared" si="13"/>
        <v>宗地面积</v>
      </c>
      <c r="AA34" s="1809" t="e">
        <f t="shared" si="3"/>
        <v>#N/A</v>
      </c>
      <c r="AB34" s="1809" t="e">
        <f t="shared" si="4"/>
        <v>#N/A</v>
      </c>
      <c r="AC34" s="1809" t="e">
        <f t="shared" si="5"/>
        <v>#N/A</v>
      </c>
    </row>
    <row r="35" spans="1:29" ht="15">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31"/>
      <c r="Q35" s="1808" t="str">
        <f t="shared" ref="Q35:Q40" si="14">B35</f>
        <v>宗地形状</v>
      </c>
      <c r="R35" s="773" t="s">
        <v>17</v>
      </c>
      <c r="S35" s="774">
        <f t="shared" si="10"/>
        <v>100</v>
      </c>
      <c r="T35" s="773" t="s">
        <v>17</v>
      </c>
      <c r="U35" s="774">
        <f t="shared" si="11"/>
        <v>100</v>
      </c>
      <c r="V35" s="773" t="s">
        <v>17</v>
      </c>
      <c r="W35" s="774">
        <f t="shared" si="12"/>
        <v>100</v>
      </c>
      <c r="X35" s="1811"/>
      <c r="Y35" s="3231"/>
      <c r="Z35" s="1812" t="str">
        <f t="shared" si="13"/>
        <v>宗地形状</v>
      </c>
      <c r="AA35" s="1809">
        <f t="shared" si="3"/>
        <v>1</v>
      </c>
      <c r="AB35" s="1809">
        <f t="shared" si="4"/>
        <v>1</v>
      </c>
      <c r="AC35" s="1809">
        <f t="shared" si="5"/>
        <v>1</v>
      </c>
    </row>
    <row r="36" spans="1:29" s="117" customFormat="1" ht="15">
      <c r="A36" s="473"/>
      <c r="B36" s="422" t="s">
        <v>2743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31"/>
      <c r="Q36" s="1808" t="str">
        <f t="shared" si="14"/>
        <v>宗地开发程度</v>
      </c>
      <c r="R36" s="769" t="s">
        <v>17</v>
      </c>
      <c r="S36" s="770">
        <f t="shared" si="10"/>
        <v>100</v>
      </c>
      <c r="T36" s="769" t="s">
        <v>17</v>
      </c>
      <c r="U36" s="770">
        <f t="shared" si="11"/>
        <v>100</v>
      </c>
      <c r="V36" s="769" t="s">
        <v>17</v>
      </c>
      <c r="W36" s="770">
        <f t="shared" si="12"/>
        <v>100</v>
      </c>
      <c r="X36" s="771"/>
      <c r="Y36" s="3231"/>
      <c r="Z36" s="55" t="str">
        <f t="shared" si="13"/>
        <v>宗地开发程度</v>
      </c>
      <c r="AA36" s="772">
        <f t="shared" si="3"/>
        <v>1</v>
      </c>
      <c r="AB36" s="772">
        <f t="shared" si="4"/>
        <v>1</v>
      </c>
      <c r="AC36" s="772">
        <f t="shared" si="5"/>
        <v>1</v>
      </c>
    </row>
    <row r="37" spans="1:29" ht="15">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31" t="s">
        <v>2554</v>
      </c>
      <c r="Q37" s="1808" t="str">
        <f t="shared" si="14"/>
        <v>工程地质条件</v>
      </c>
      <c r="R37" s="773" t="s">
        <v>17</v>
      </c>
      <c r="S37" s="774">
        <f t="shared" si="10"/>
        <v>100</v>
      </c>
      <c r="T37" s="773" t="s">
        <v>17</v>
      </c>
      <c r="U37" s="774">
        <f t="shared" si="11"/>
        <v>100</v>
      </c>
      <c r="V37" s="773" t="s">
        <v>17</v>
      </c>
      <c r="W37" s="774">
        <f t="shared" si="12"/>
        <v>100</v>
      </c>
      <c r="X37" s="1811"/>
      <c r="Y37" s="3231" t="s">
        <v>2554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31"/>
      <c r="Q38" s="1808">
        <f t="shared" si="14"/>
        <v>111</v>
      </c>
      <c r="R38" s="773" t="s">
        <v>17</v>
      </c>
      <c r="S38" s="774">
        <f t="shared" si="10"/>
        <v>100</v>
      </c>
      <c r="T38" s="773" t="s">
        <v>17</v>
      </c>
      <c r="U38" s="774">
        <f t="shared" si="11"/>
        <v>100</v>
      </c>
      <c r="V38" s="773" t="s">
        <v>17</v>
      </c>
      <c r="W38" s="774">
        <f t="shared" si="12"/>
        <v>100</v>
      </c>
      <c r="X38" s="1811"/>
      <c r="Y38" s="3231"/>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31"/>
      <c r="Q39" s="1808">
        <f t="shared" si="14"/>
        <v>111</v>
      </c>
      <c r="R39" s="773" t="s">
        <v>17</v>
      </c>
      <c r="S39" s="774">
        <f t="shared" si="10"/>
        <v>100</v>
      </c>
      <c r="T39" s="773" t="s">
        <v>17</v>
      </c>
      <c r="U39" s="774">
        <f t="shared" si="11"/>
        <v>100</v>
      </c>
      <c r="V39" s="773" t="s">
        <v>17</v>
      </c>
      <c r="W39" s="774">
        <f t="shared" si="12"/>
        <v>100</v>
      </c>
      <c r="X39" s="1811"/>
      <c r="Y39" s="3231"/>
      <c r="Z39" s="1812">
        <f t="shared" si="13"/>
        <v>111</v>
      </c>
      <c r="AA39" s="1809">
        <f t="shared" si="3"/>
        <v>1</v>
      </c>
      <c r="AB39" s="1809">
        <f t="shared" si="4"/>
        <v>1</v>
      </c>
      <c r="AC39" s="1809">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31"/>
      <c r="Q40" s="1808">
        <f t="shared" si="14"/>
        <v>111</v>
      </c>
      <c r="R40" s="776" t="s">
        <v>17</v>
      </c>
      <c r="S40" s="777">
        <f t="shared" si="10"/>
        <v>100</v>
      </c>
      <c r="T40" s="776" t="s">
        <v>17</v>
      </c>
      <c r="U40" s="777">
        <f t="shared" si="11"/>
        <v>100</v>
      </c>
      <c r="V40" s="776" t="s">
        <v>17</v>
      </c>
      <c r="W40" s="777">
        <f t="shared" si="12"/>
        <v>100</v>
      </c>
      <c r="X40" s="778"/>
      <c r="Y40" s="3231"/>
      <c r="Z40" s="779">
        <f t="shared" si="13"/>
        <v>111</v>
      </c>
      <c r="AA40" s="1809">
        <f t="shared" si="3"/>
        <v>1</v>
      </c>
      <c r="AB40" s="1809">
        <f t="shared" si="4"/>
        <v>1</v>
      </c>
      <c r="AC40" s="1809">
        <f t="shared" si="5"/>
        <v>1</v>
      </c>
    </row>
    <row r="41" spans="1:29" ht="15">
      <c r="A41" s="479" t="s">
        <v>2709</v>
      </c>
      <c r="B41" s="2699" t="s">
        <v>2789</v>
      </c>
      <c r="C41" s="682" t="s">
        <v>1</v>
      </c>
      <c r="D41" s="481"/>
      <c r="E41" s="482"/>
      <c r="F41" s="483"/>
      <c r="G41" s="484"/>
      <c r="H41" s="485"/>
      <c r="I41" s="482"/>
      <c r="J41" s="485"/>
      <c r="K41" s="782"/>
      <c r="L41" s="1142"/>
      <c r="M41" s="1130"/>
      <c r="N41" s="1130"/>
      <c r="O41" s="1143"/>
      <c r="P41" s="3233" t="str">
        <f>A41</f>
        <v>成交单价</v>
      </c>
      <c r="Q41" s="3233"/>
      <c r="R41" s="3195">
        <f>E41</f>
        <v>0</v>
      </c>
      <c r="S41" s="3195"/>
      <c r="T41" s="3195">
        <f>G41</f>
        <v>0</v>
      </c>
      <c r="U41" s="3195"/>
      <c r="V41" s="3195">
        <f>I41</f>
        <v>0</v>
      </c>
      <c r="W41" s="3195"/>
      <c r="X41" s="758"/>
      <c r="Y41" s="780"/>
      <c r="Z41" s="758"/>
      <c r="AA41" s="758"/>
      <c r="AB41" s="758"/>
      <c r="AC41" s="758"/>
    </row>
    <row r="42" spans="1:29" ht="15.75" thickBot="1">
      <c r="A42" s="486" t="s">
        <v>2658</v>
      </c>
      <c r="B42" s="683"/>
      <c r="C42" s="490" t="e">
        <f>R43</f>
        <v>#DIV/0!</v>
      </c>
      <c r="D42" s="489"/>
      <c r="E42" s="490" t="e">
        <f>R42</f>
        <v>#DIV/0!</v>
      </c>
      <c r="F42" s="491"/>
      <c r="G42" s="488" t="e">
        <f>T42</f>
        <v>#DIV/0!</v>
      </c>
      <c r="H42" s="489"/>
      <c r="I42" s="490" t="e">
        <f>V42</f>
        <v>#DIV/0!</v>
      </c>
      <c r="J42" s="489"/>
      <c r="K42" s="783"/>
      <c r="L42" s="1142"/>
      <c r="M42" s="1130"/>
      <c r="N42" s="1130"/>
      <c r="O42" s="1143"/>
      <c r="P42" s="3233" t="str">
        <f>A42</f>
        <v>比较价值（元/平方米）</v>
      </c>
      <c r="Q42" s="3233"/>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2" t="s">
        <v>2659</v>
      </c>
      <c r="B43" s="493"/>
      <c r="C43" s="494" t="e">
        <f>R43</f>
        <v>#DIV/0!</v>
      </c>
      <c r="D43" s="494"/>
      <c r="E43" s="494"/>
      <c r="F43" s="494"/>
      <c r="G43" s="494"/>
      <c r="H43" s="494"/>
      <c r="I43" s="494"/>
      <c r="J43" s="494"/>
      <c r="K43" s="784"/>
      <c r="L43" s="1142"/>
      <c r="M43" s="1130"/>
      <c r="N43" s="1130"/>
      <c r="O43" s="1143"/>
      <c r="P43" s="3235" t="str">
        <f>A43</f>
        <v>估价对象XX用房的比较价值（楼面单价，元/平方米）</v>
      </c>
      <c r="Q43" s="3236"/>
      <c r="R43" s="3288" t="e">
        <f>ROUND(AVERAGE(R42:V42),0)</f>
        <v>#DIV/0!</v>
      </c>
      <c r="S43" s="3288"/>
      <c r="T43" s="3288"/>
      <c r="U43" s="3288"/>
      <c r="V43" s="3288"/>
      <c r="W43" s="3288"/>
      <c r="X43" s="758"/>
      <c r="Y43" s="758"/>
      <c r="Z43" s="758"/>
      <c r="AA43" s="758"/>
      <c r="AB43" s="758"/>
      <c r="AC43" s="758"/>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2747</v>
      </c>
      <c r="B50" s="685" t="s">
        <v>2748</v>
      </c>
      <c r="C50" s="2700" t="s">
        <v>2749</v>
      </c>
      <c r="D50" s="2701" t="s">
        <v>2750</v>
      </c>
      <c r="E50" s="686" t="s">
        <v>2751</v>
      </c>
      <c r="F50" s="687" t="s">
        <v>2752</v>
      </c>
      <c r="G50" s="3211" t="s">
        <v>2753</v>
      </c>
      <c r="H50" s="3289"/>
      <c r="I50" s="1812" t="s">
        <v>2790</v>
      </c>
      <c r="J50" s="1812">
        <f>项目基本情况!F35</f>
        <v>0</v>
      </c>
      <c r="K50" s="2703" t="s">
        <v>2755</v>
      </c>
      <c r="L50" s="1106"/>
      <c r="M50" s="1143"/>
      <c r="N50" s="1143"/>
      <c r="O50" s="1143"/>
    </row>
    <row r="51" spans="1:17" s="692" customFormat="1">
      <c r="A51" s="688" t="s">
        <v>2756</v>
      </c>
      <c r="B51" s="689" t="e">
        <f>C43</f>
        <v>#DIV/0!</v>
      </c>
      <c r="C51" s="690">
        <v>1</v>
      </c>
      <c r="D51" s="1162">
        <v>1</v>
      </c>
      <c r="E51" s="690">
        <f>'数据-汇总表'!E8+'数据-汇总表'!E9</f>
        <v>2661.36</v>
      </c>
      <c r="F51" s="691" t="e">
        <f t="shared" ref="F51:F60" si="15">ROUND(B51*E51/10000,0)</f>
        <v>#DIV/0!</v>
      </c>
      <c r="G51" s="3210"/>
      <c r="H51" s="3233"/>
      <c r="I51" s="944">
        <v>1</v>
      </c>
      <c r="J51" s="944">
        <v>1</v>
      </c>
      <c r="K51" s="1144"/>
      <c r="L51" s="943"/>
      <c r="M51" s="943"/>
      <c r="N51" s="943"/>
      <c r="O51" s="943"/>
    </row>
    <row r="52" spans="1:17" s="692" customFormat="1">
      <c r="A52" s="693" t="s">
        <v>2757</v>
      </c>
      <c r="B52" s="262" t="e">
        <f>ROUND($C$43*C52*D52,0)</f>
        <v>#DIV/0!</v>
      </c>
      <c r="C52" s="200">
        <f t="shared" ref="C52:C60" si="16">IF($C$50="北京市系数",I52,J52)</f>
        <v>0.7</v>
      </c>
      <c r="D52" s="1163">
        <v>0.25</v>
      </c>
      <c r="E52" s="694"/>
      <c r="F52" s="691" t="e">
        <f t="shared" si="15"/>
        <v>#DIV/0!</v>
      </c>
      <c r="G52" s="3290" t="s">
        <v>2758</v>
      </c>
      <c r="H52" s="1104" t="str">
        <f>项目基本情况!B37</f>
        <v>五级</v>
      </c>
      <c r="I52" s="944">
        <f>SUMIF(修正!A45:A56,H52,修正!B45:B56)</f>
        <v>0.7</v>
      </c>
      <c r="J52" s="945"/>
      <c r="K52" s="1143"/>
      <c r="L52" s="943"/>
      <c r="M52" s="943"/>
      <c r="N52" s="943"/>
      <c r="O52" s="943"/>
    </row>
    <row r="53" spans="1:17" s="692" customFormat="1">
      <c r="A53" s="693" t="s">
        <v>2759</v>
      </c>
      <c r="B53" s="262" t="e">
        <f t="shared" ref="B53:B60" si="17">ROUND($C$43*C53*D53,0)</f>
        <v>#DIV/0!</v>
      </c>
      <c r="C53" s="200">
        <f t="shared" si="16"/>
        <v>0.4</v>
      </c>
      <c r="D53" s="1163">
        <v>0.25</v>
      </c>
      <c r="E53" s="694"/>
      <c r="F53" s="691" t="e">
        <f t="shared" si="15"/>
        <v>#DIV/0!</v>
      </c>
      <c r="G53" s="3290"/>
      <c r="H53" s="1104" t="str">
        <f>项目基本情况!B37</f>
        <v>五级</v>
      </c>
      <c r="I53" s="944">
        <f>SUMIF(修正!A45:A56,H53,修正!C45:C56)</f>
        <v>0.4</v>
      </c>
      <c r="J53" s="945"/>
      <c r="K53" s="1144"/>
      <c r="L53" s="943"/>
      <c r="M53" s="943"/>
      <c r="N53" s="943"/>
      <c r="O53" s="943"/>
    </row>
    <row r="54" spans="1:17" s="692" customFormat="1">
      <c r="A54" s="693" t="s">
        <v>2760</v>
      </c>
      <c r="B54" s="262" t="e">
        <f t="shared" si="17"/>
        <v>#DIV/0!</v>
      </c>
      <c r="C54" s="200">
        <f t="shared" si="16"/>
        <v>0.28000000000000003</v>
      </c>
      <c r="D54" s="1163">
        <v>0.25</v>
      </c>
      <c r="E54" s="694"/>
      <c r="F54" s="691" t="e">
        <f t="shared" si="15"/>
        <v>#DIV/0!</v>
      </c>
      <c r="G54" s="3290"/>
      <c r="H54" s="1104" t="str">
        <f>项目基本情况!B37</f>
        <v>五级</v>
      </c>
      <c r="I54" s="944">
        <f>SUMIF(修正!A45:A56,H54,修正!D45:D56)</f>
        <v>0.28000000000000003</v>
      </c>
      <c r="J54" s="945"/>
      <c r="K54" s="1143"/>
      <c r="L54" s="943"/>
      <c r="M54" s="943"/>
      <c r="N54" s="943"/>
      <c r="O54" s="943"/>
    </row>
    <row r="55" spans="1:17" s="692" customFormat="1">
      <c r="A55" s="693" t="s">
        <v>2761</v>
      </c>
      <c r="B55" s="262" t="e">
        <f t="shared" si="17"/>
        <v>#DIV/0!</v>
      </c>
      <c r="C55" s="200">
        <f t="shared" si="16"/>
        <v>0.25</v>
      </c>
      <c r="D55" s="1163">
        <v>0.25</v>
      </c>
      <c r="E55" s="694"/>
      <c r="F55" s="691" t="e">
        <f t="shared" si="15"/>
        <v>#DIV/0!</v>
      </c>
      <c r="G55" s="3290"/>
      <c r="H55" s="1104" t="str">
        <f>项目基本情况!B37</f>
        <v>五级</v>
      </c>
      <c r="I55" s="944">
        <f>SUMIF(修正!A45:A56,H55,修正!E45:E56)</f>
        <v>0.25</v>
      </c>
      <c r="J55" s="945"/>
      <c r="K55" s="1144"/>
      <c r="L55" s="943"/>
      <c r="M55" s="943"/>
      <c r="N55" s="943"/>
      <c r="O55" s="943"/>
    </row>
    <row r="56" spans="1:17" s="692" customFormat="1">
      <c r="A56" s="693" t="s">
        <v>2762</v>
      </c>
      <c r="B56" s="262" t="e">
        <f t="shared" si="17"/>
        <v>#DIV/0!</v>
      </c>
      <c r="C56" s="200">
        <f t="shared" si="16"/>
        <v>0</v>
      </c>
      <c r="D56" s="1163">
        <v>0.25</v>
      </c>
      <c r="E56" s="261">
        <f>'数据-汇总表'!E11</f>
        <v>0</v>
      </c>
      <c r="F56" s="691" t="e">
        <f t="shared" si="15"/>
        <v>#DIV/0!</v>
      </c>
      <c r="G56" s="2704" t="s">
        <v>2763</v>
      </c>
      <c r="H56" s="1104">
        <f>项目基本情况!C37</f>
        <v>0</v>
      </c>
      <c r="I56" s="944">
        <f>SUMIF(修正!A45:A56,H56,修正!F45:F56)</f>
        <v>0</v>
      </c>
      <c r="J56" s="945"/>
      <c r="K56" s="1143"/>
      <c r="L56" s="943"/>
      <c r="M56" s="943"/>
      <c r="N56" s="943"/>
      <c r="O56" s="943"/>
    </row>
    <row r="57" spans="1:17" s="692" customFormat="1">
      <c r="A57" s="693" t="s">
        <v>2764</v>
      </c>
      <c r="B57" s="262" t="e">
        <f t="shared" si="17"/>
        <v>#DIV/0!</v>
      </c>
      <c r="C57" s="200">
        <f t="shared" si="16"/>
        <v>0</v>
      </c>
      <c r="D57" s="1163">
        <v>0.25</v>
      </c>
      <c r="E57" s="261">
        <f>'数据-汇总表'!E12</f>
        <v>0</v>
      </c>
      <c r="F57" s="691" t="e">
        <f t="shared" si="15"/>
        <v>#DIV/0!</v>
      </c>
      <c r="G57" s="1109" t="s">
        <v>2765</v>
      </c>
      <c r="H57" s="1104">
        <f>IF(G57="商业",项目基本情况!B37,IF(G57="办公",项目基本情况!C37,IF(G57="住宅",项目基本情况!D37,项目基本情况!E37)))</f>
        <v>0</v>
      </c>
      <c r="I57" s="944">
        <f>SUMIF(修正!A45:A56,H57,修正!G45:G56)</f>
        <v>0</v>
      </c>
      <c r="J57" s="945"/>
      <c r="K57" s="1144"/>
      <c r="L57" s="943"/>
      <c r="M57" s="943"/>
      <c r="N57" s="943"/>
      <c r="O57" s="943"/>
    </row>
    <row r="58" spans="1:17" s="692" customFormat="1">
      <c r="A58" s="693" t="s">
        <v>2766</v>
      </c>
      <c r="B58" s="262" t="e">
        <f t="shared" si="17"/>
        <v>#DIV/0!</v>
      </c>
      <c r="C58" s="200">
        <f t="shared" si="16"/>
        <v>0</v>
      </c>
      <c r="D58" s="1163">
        <v>0.25</v>
      </c>
      <c r="E58" s="261">
        <f>'数据-汇总表'!E13</f>
        <v>0</v>
      </c>
      <c r="F58" s="691" t="e">
        <f t="shared" si="15"/>
        <v>#DIV/0!</v>
      </c>
      <c r="G58" s="1109" t="s">
        <v>2767</v>
      </c>
      <c r="H58" s="1104">
        <f>IF(G58="商业",项目基本情况!B37,IF(G58="办公",项目基本情况!C37,IF(G58="住宅",项目基本情况!D37,项目基本情况!E37)))</f>
        <v>0</v>
      </c>
      <c r="I58" s="944">
        <f>SUMIF(修正!A45:A56,H58,修正!H45:H56)</f>
        <v>0</v>
      </c>
      <c r="J58" s="945"/>
      <c r="K58" s="1143"/>
      <c r="L58" s="943"/>
      <c r="M58" s="943"/>
      <c r="N58" s="943"/>
      <c r="O58" s="943"/>
    </row>
    <row r="59" spans="1:17" s="692" customFormat="1">
      <c r="A59" s="693" t="s">
        <v>2768</v>
      </c>
      <c r="B59" s="262" t="e">
        <f t="shared" si="17"/>
        <v>#DIV/0!</v>
      </c>
      <c r="C59" s="200">
        <f t="shared" si="16"/>
        <v>0.2</v>
      </c>
      <c r="D59" s="1163">
        <v>0.25</v>
      </c>
      <c r="E59" s="261">
        <f>'数据-汇总表'!E14</f>
        <v>0</v>
      </c>
      <c r="F59" s="691" t="e">
        <f t="shared" si="15"/>
        <v>#DIV/0!</v>
      </c>
      <c r="G59" s="2704" t="s">
        <v>2758</v>
      </c>
      <c r="H59" s="1104" t="str">
        <f>项目基本情况!B37</f>
        <v>五级</v>
      </c>
      <c r="I59" s="944">
        <f>SUMIF(修正!A45:A56,H59,修正!H45:H56)</f>
        <v>0.2</v>
      </c>
      <c r="J59" s="945"/>
      <c r="K59" s="1144"/>
      <c r="L59" s="943"/>
      <c r="M59" s="943"/>
      <c r="N59" s="943"/>
      <c r="O59" s="943"/>
    </row>
    <row r="60" spans="1:17" s="692" customFormat="1" ht="15" thickBot="1">
      <c r="A60" s="693" t="s">
        <v>2769</v>
      </c>
      <c r="B60" s="262" t="e">
        <f t="shared" si="17"/>
        <v>#DIV/0!</v>
      </c>
      <c r="C60" s="200">
        <f t="shared" si="16"/>
        <v>0</v>
      </c>
      <c r="D60" s="1163">
        <v>0.25</v>
      </c>
      <c r="E60" s="261">
        <f>'数据-汇总表'!E15</f>
        <v>0</v>
      </c>
      <c r="F60" s="691" t="e">
        <f t="shared" si="15"/>
        <v>#DIV/0!</v>
      </c>
      <c r="G60" s="2705" t="s">
        <v>2763</v>
      </c>
      <c r="H60" s="1114">
        <f>项目基本情况!C37</f>
        <v>0</v>
      </c>
      <c r="I60" s="944">
        <f>SUMIF(修正!A45:A56,H60,修正!H45:H56)</f>
        <v>0</v>
      </c>
      <c r="J60" s="945"/>
      <c r="K60" s="1143"/>
      <c r="L60" s="943"/>
      <c r="M60" s="943"/>
      <c r="N60" s="943"/>
      <c r="O60" s="943"/>
    </row>
    <row r="61" spans="1:17" s="692" customFormat="1" ht="15" thickBot="1">
      <c r="A61" s="695" t="s">
        <v>2770</v>
      </c>
      <c r="B61" s="696" t="s">
        <v>28</v>
      </c>
      <c r="C61" s="696" t="s">
        <v>29</v>
      </c>
      <c r="D61" s="696" t="s">
        <v>1029</v>
      </c>
      <c r="E61" s="696">
        <f>IF(B41="楼面地价",SUM(E51:E60),'数据-汇总表'!D3)</f>
        <v>666.75</v>
      </c>
      <c r="F61" s="697" t="e">
        <f>IF(B41="楼面地价",SUM(F51:F60),ROUND(C43*E61/10000,0))</f>
        <v>#DIV/0!</v>
      </c>
      <c r="G61" s="1157"/>
      <c r="H61" s="1157"/>
      <c r="I61" s="1157"/>
      <c r="J61" s="1157"/>
      <c r="K61" s="1105"/>
      <c r="L61" s="943"/>
      <c r="M61" s="943"/>
      <c r="N61" s="943"/>
      <c r="O61" s="943"/>
    </row>
    <row r="62" spans="1:17">
      <c r="A62" s="1143"/>
      <c r="B62" s="1145"/>
      <c r="C62" s="1149"/>
      <c r="D62" s="1143"/>
      <c r="E62" s="1143"/>
      <c r="F62" s="1143"/>
      <c r="G62" s="1143"/>
      <c r="H62" s="1143"/>
      <c r="I62" s="1143"/>
      <c r="J62" s="1143"/>
      <c r="K62" s="1105"/>
      <c r="L62" s="1106"/>
      <c r="M62" s="1143"/>
      <c r="N62" s="1143"/>
      <c r="O62" s="1143"/>
    </row>
    <row r="63" spans="1:17">
      <c r="A63" s="1143"/>
      <c r="B63" s="1145"/>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2663</v>
      </c>
      <c r="B64" s="758"/>
      <c r="C64" s="763"/>
      <c r="D64" s="763"/>
      <c r="E64" s="763"/>
      <c r="F64" s="764"/>
      <c r="G64" s="764"/>
      <c r="H64" s="763"/>
      <c r="I64" s="763"/>
      <c r="J64" s="763"/>
      <c r="K64" s="765"/>
      <c r="L64" s="766"/>
      <c r="M64" s="763"/>
      <c r="N64" s="763"/>
      <c r="O64" s="1158"/>
      <c r="P64" s="503"/>
      <c r="Q64" s="504"/>
    </row>
    <row r="65" spans="1:17" s="508" customFormat="1" ht="15">
      <c r="A65" s="2706" t="s">
        <v>2771</v>
      </c>
      <c r="B65" s="1358"/>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2791</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2793</v>
      </c>
      <c r="B1" s="241"/>
      <c r="C1" s="245" t="s">
        <v>2794</v>
      </c>
      <c r="D1" s="388">
        <f>SUM(D29:D30,D33:D39)</f>
        <v>0</v>
      </c>
      <c r="E1" s="2712"/>
      <c r="F1" s="2712"/>
      <c r="G1" s="2712"/>
      <c r="H1" s="2712"/>
      <c r="I1" s="2712"/>
      <c r="J1" s="2712"/>
      <c r="K1" s="1369"/>
      <c r="L1" s="2713" t="s">
        <v>2795</v>
      </c>
      <c r="M1" s="1080">
        <f>SUMPRODUCT((区片价!B5:B9=I2)*(区片价!C3:F3=E2)*(区片价!C5:F9))</f>
        <v>0</v>
      </c>
      <c r="N1" s="1083">
        <f>SUMPRODUCT((因素修正幅度!B5:B9=I2)*(因素修正幅度!C3:F3=E2)*(因素修正幅度!C5:F9))</f>
        <v>0</v>
      </c>
      <c r="O1" s="2714"/>
      <c r="P1" s="2714"/>
      <c r="Q1" s="1369"/>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5" t="s">
        <v>2801</v>
      </c>
      <c r="B2" s="248" t="e">
        <f>C26</f>
        <v>#DIV/0!</v>
      </c>
      <c r="C2" s="2716" t="s">
        <v>2802</v>
      </c>
      <c r="D2" s="2717" t="s">
        <v>2803</v>
      </c>
      <c r="E2" s="2718"/>
      <c r="F2" s="2717" t="s">
        <v>2804</v>
      </c>
      <c r="G2" s="2719">
        <f>IF(E2="商业",项目基本情况!B37,IF(E2="办公",项目基本情况!C37,IF(E2="住宅",项目基本情况!D37,项目基本情况!E37)))</f>
        <v>0</v>
      </c>
      <c r="H2" s="2717" t="s">
        <v>2805</v>
      </c>
      <c r="I2" s="2719">
        <f>IF(E2="商业",项目基本情况!B38,IF(E2="办公",项目基本情况!C38,IF(E2="住宅",项目基本情况!D38,项目基本情况!E38)))</f>
        <v>0</v>
      </c>
      <c r="J2" s="2720"/>
      <c r="K2" s="1369"/>
      <c r="L2" s="2721" t="s">
        <v>2806</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2807</v>
      </c>
      <c r="B3" s="248" t="e">
        <f>ROUND(B2*10000/D1,0)</f>
        <v>#DIV/0!</v>
      </c>
      <c r="C3" s="2716" t="s">
        <v>2808</v>
      </c>
      <c r="D3" s="2717" t="s">
        <v>2809</v>
      </c>
      <c r="E3" s="2722"/>
      <c r="F3" s="2723" t="s">
        <v>2810</v>
      </c>
      <c r="G3" s="915">
        <f>IF(F3="宗地容积率",'数据-汇总表'!I4,IF(F3="估价对象容积率",'数据-汇总表'!I6,'数据-汇总表'!I7))</f>
        <v>3.99</v>
      </c>
      <c r="H3" s="198" t="s">
        <v>2811</v>
      </c>
      <c r="I3" s="946"/>
      <c r="J3" s="2720" t="s">
        <v>2812</v>
      </c>
      <c r="K3" s="1369"/>
      <c r="L3" s="2721" t="s">
        <v>2813</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9"/>
      <c r="B4" s="3310"/>
      <c r="C4" s="3310"/>
      <c r="D4" s="3311"/>
      <c r="E4" s="3311"/>
      <c r="F4" s="3311"/>
      <c r="G4" s="3311"/>
      <c r="H4" s="3311"/>
      <c r="I4" s="3311"/>
      <c r="J4" s="3312"/>
      <c r="K4" s="1369"/>
      <c r="L4" s="2721" t="s">
        <v>2814</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2815</v>
      </c>
      <c r="C5" s="916" t="e">
        <f>ROUND(IF(E2="商业",IF(F16="增加",C6*C7+C16,C6*C7-C16),IF(E2="住宅",IF(F16="增加",C6*C12+C16,C6*C12-C16),IF(F16="增加",C6+C16,C6-C16))),0)</f>
        <v>#DIV/0!</v>
      </c>
      <c r="D5" s="1785">
        <f>ROUND(IF(E2="商业",IF(F16="增加",C6+C16,C6-C16)),0)</f>
        <v>0</v>
      </c>
      <c r="E5" s="2726"/>
      <c r="F5" s="2726"/>
      <c r="G5" s="2727"/>
      <c r="H5" s="2727"/>
      <c r="I5" s="2727"/>
      <c r="J5" s="2728"/>
      <c r="K5" s="2729"/>
      <c r="L5" s="2721" t="s">
        <v>2816</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5.75" thickBot="1">
      <c r="A6" s="2734" t="s">
        <v>2817</v>
      </c>
      <c r="B6" s="2735" t="s">
        <v>2818</v>
      </c>
      <c r="C6" s="917">
        <f>SUMIF(L1:L12,G2,M1:M12)</f>
        <v>0</v>
      </c>
      <c r="D6" s="2736" t="s">
        <v>2819</v>
      </c>
      <c r="E6" s="2737"/>
      <c r="F6" s="2737"/>
      <c r="G6" s="2738"/>
      <c r="H6" s="2738"/>
      <c r="I6" s="2738"/>
      <c r="J6" s="2739"/>
      <c r="K6" s="1840"/>
      <c r="L6" s="2721" t="s">
        <v>2820</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4">
      <c r="A7" s="3295" t="str">
        <f>IF(E2="商业",IF(C8="不临58条商业街","",2),"")</f>
        <v/>
      </c>
      <c r="B7" s="2740" t="s">
        <v>2821</v>
      </c>
      <c r="C7" s="918" t="e">
        <f>IF(C8="不临58条商业街",1,ROUND(1+(1.6*E8+1.2*E9+0.8*E10+0.4*E11)*C9,4))</f>
        <v>#DIV/0!</v>
      </c>
      <c r="D7" s="2741" t="s">
        <v>2822</v>
      </c>
      <c r="E7" s="947"/>
      <c r="F7" s="2742"/>
      <c r="G7" s="2743"/>
      <c r="H7" s="2743"/>
      <c r="I7" s="2743"/>
      <c r="J7" s="2744"/>
      <c r="K7" s="1840"/>
      <c r="L7" s="2721" t="s">
        <v>2823</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4" t="s">
        <v>2824</v>
      </c>
      <c r="X7" s="1603">
        <f>G2</f>
        <v>0</v>
      </c>
      <c r="Y7" s="1603" t="s">
        <v>2825</v>
      </c>
      <c r="Z7" s="1604">
        <f>G3</f>
        <v>3.99</v>
      </c>
      <c r="AA7" s="1605"/>
      <c r="AB7" s="1605"/>
      <c r="AC7" s="1606"/>
      <c r="AD7" s="1607"/>
      <c r="AE7" s="1607"/>
      <c r="AF7" s="1607"/>
      <c r="AG7" s="1607"/>
      <c r="AH7" s="1607"/>
      <c r="AI7" s="1607"/>
      <c r="AJ7" s="1608"/>
    </row>
    <row r="8" spans="1:36" ht="15">
      <c r="A8" s="3296"/>
      <c r="B8" s="198" t="s">
        <v>2826</v>
      </c>
      <c r="C8" s="2745"/>
      <c r="D8" s="919" t="s">
        <v>139</v>
      </c>
      <c r="E8" s="920" t="e">
        <f>ROUND(C11/E7,4)</f>
        <v>#DIV/0!</v>
      </c>
      <c r="F8" s="2746" t="s">
        <v>2827</v>
      </c>
      <c r="G8" s="2747"/>
      <c r="H8" s="2747"/>
      <c r="I8" s="2747"/>
      <c r="J8" s="2748"/>
      <c r="K8" s="1369"/>
      <c r="L8" s="2721" t="s">
        <v>2828</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06" t="s">
        <v>2829</v>
      </c>
      <c r="X8" s="3307"/>
      <c r="Y8" s="1609" t="s">
        <v>2830</v>
      </c>
      <c r="Z8" s="1609" t="s">
        <v>2831</v>
      </c>
      <c r="AA8" s="1609" t="s">
        <v>2832</v>
      </c>
      <c r="AB8" s="1609" t="s">
        <v>2833</v>
      </c>
      <c r="AC8" s="1609" t="s">
        <v>2834</v>
      </c>
      <c r="AD8" s="1609" t="s">
        <v>2835</v>
      </c>
      <c r="AE8" s="1609" t="s">
        <v>2836</v>
      </c>
      <c r="AF8" s="1609" t="s">
        <v>2837</v>
      </c>
      <c r="AG8" s="1609" t="s">
        <v>2838</v>
      </c>
      <c r="AH8" s="1609" t="s">
        <v>2839</v>
      </c>
      <c r="AI8" s="1609" t="s">
        <v>2840</v>
      </c>
      <c r="AJ8" s="1609" t="s">
        <v>2841</v>
      </c>
    </row>
    <row r="9" spans="1:36" ht="15">
      <c r="A9" s="3296"/>
      <c r="B9" s="198" t="s">
        <v>2842</v>
      </c>
      <c r="C9" s="921">
        <f>SUMIF(修正!C59:C119,C8,修正!E59:E119)</f>
        <v>0</v>
      </c>
      <c r="D9" s="200" t="s">
        <v>140</v>
      </c>
      <c r="E9" s="200" t="e">
        <f>ROUND(C11/E7,4)</f>
        <v>#DIV/0!</v>
      </c>
      <c r="F9" s="2746" t="s">
        <v>2843</v>
      </c>
      <c r="G9" s="2747"/>
      <c r="H9" s="2747"/>
      <c r="I9" s="2747"/>
      <c r="J9" s="2748"/>
      <c r="K9" s="1369"/>
      <c r="L9" s="2721" t="s">
        <v>2844</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08" t="s">
        <v>2845</v>
      </c>
      <c r="X9" s="1610" t="s">
        <v>2846</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6"/>
      <c r="B10" s="198" t="s">
        <v>2847</v>
      </c>
      <c r="C10" s="200">
        <f>SUMIF(修正!C59:C119,C8,修正!F59:F119)</f>
        <v>0</v>
      </c>
      <c r="D10" s="200" t="s">
        <v>141</v>
      </c>
      <c r="E10" s="200" t="e">
        <f>ROUND(C11/E7,4)</f>
        <v>#DIV/0!</v>
      </c>
      <c r="F10" s="2746" t="s">
        <v>2848</v>
      </c>
      <c r="G10" s="2747"/>
      <c r="H10" s="2747"/>
      <c r="I10" s="2747"/>
      <c r="J10" s="2748"/>
      <c r="K10" s="1369"/>
      <c r="L10" s="2721" t="s">
        <v>2849</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0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6"/>
      <c r="B11" s="2749" t="s">
        <v>2850</v>
      </c>
      <c r="C11" s="922">
        <f>C10/4</f>
        <v>0</v>
      </c>
      <c r="D11" s="922" t="s">
        <v>142</v>
      </c>
      <c r="E11" s="922" t="e">
        <f>ROUND(C11/E7,4)</f>
        <v>#DIV/0!</v>
      </c>
      <c r="F11" s="2750" t="s">
        <v>2851</v>
      </c>
      <c r="G11" s="2751"/>
      <c r="H11" s="2751"/>
      <c r="I11" s="2751"/>
      <c r="J11" s="2752"/>
      <c r="K11" s="1369"/>
      <c r="L11" s="2721" t="s">
        <v>2852</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08" t="s">
        <v>2853</v>
      </c>
      <c r="X11" s="1613" t="s">
        <v>2854</v>
      </c>
      <c r="Y11" s="1614">
        <f>$G$3</f>
        <v>3.99</v>
      </c>
      <c r="Z11" s="1614">
        <f t="shared" ref="Z11:AJ11" si="3">$G$3</f>
        <v>3.99</v>
      </c>
      <c r="AA11" s="1614">
        <f t="shared" si="3"/>
        <v>3.99</v>
      </c>
      <c r="AB11" s="1614">
        <f t="shared" si="3"/>
        <v>3.99</v>
      </c>
      <c r="AC11" s="1614">
        <f t="shared" si="3"/>
        <v>3.99</v>
      </c>
      <c r="AD11" s="1614">
        <f t="shared" si="3"/>
        <v>3.99</v>
      </c>
      <c r="AE11" s="1614">
        <f t="shared" si="3"/>
        <v>3.99</v>
      </c>
      <c r="AF11" s="1614">
        <f t="shared" si="3"/>
        <v>3.99</v>
      </c>
      <c r="AG11" s="1614">
        <f t="shared" si="3"/>
        <v>3.99</v>
      </c>
      <c r="AH11" s="1614">
        <f t="shared" si="3"/>
        <v>3.99</v>
      </c>
      <c r="AI11" s="1614">
        <f t="shared" si="3"/>
        <v>3.99</v>
      </c>
      <c r="AJ11" s="1614">
        <f t="shared" si="3"/>
        <v>3.99</v>
      </c>
    </row>
    <row r="12" spans="1:36" ht="25.5" thickBot="1">
      <c r="A12" s="3295" t="s">
        <v>2855</v>
      </c>
      <c r="B12" s="2753" t="s">
        <v>2856</v>
      </c>
      <c r="C12" s="918">
        <f>ROUND(C15*D15*E15*F15*G15*H15*I15*J15,4)</f>
        <v>1</v>
      </c>
      <c r="D12" s="2754" t="s">
        <v>2857</v>
      </c>
      <c r="E12" s="2755"/>
      <c r="F12" s="2755"/>
      <c r="G12" s="2756"/>
      <c r="H12" s="2756"/>
      <c r="I12" s="2756"/>
      <c r="J12" s="2757"/>
      <c r="K12" s="1369"/>
      <c r="L12" s="2758" t="s">
        <v>2858</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08"/>
      <c r="X12" s="1615" t="s">
        <v>2859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3"/>
      <c r="B13" s="2759" t="s">
        <v>2860</v>
      </c>
      <c r="C13" s="2760" t="s">
        <v>2861</v>
      </c>
      <c r="D13" s="1806" t="s">
        <v>2862</v>
      </c>
      <c r="E13" s="1806" t="s">
        <v>2863</v>
      </c>
      <c r="F13" s="30" t="s">
        <v>2864</v>
      </c>
      <c r="G13" s="2761" t="s">
        <v>2865</v>
      </c>
      <c r="H13" s="2761" t="s">
        <v>2865</v>
      </c>
      <c r="I13" s="2761" t="s">
        <v>2865</v>
      </c>
      <c r="J13" s="2762" t="s">
        <v>2865</v>
      </c>
      <c r="K13" s="1369"/>
      <c r="L13" s="1369"/>
      <c r="M13" s="1369"/>
      <c r="N13" s="1369"/>
      <c r="O13" s="1369"/>
      <c r="P13" s="1369"/>
      <c r="Q13" s="1369"/>
      <c r="R13" s="1601">
        <v>12</v>
      </c>
      <c r="S13" s="1602"/>
      <c r="T13" s="1601" t="e">
        <f t="shared" si="0"/>
        <v>#DIV/0!</v>
      </c>
      <c r="U13" s="1602"/>
      <c r="V13" s="1601" t="e">
        <f t="shared" si="1"/>
        <v>#DIV/0!</v>
      </c>
      <c r="W13" s="3308"/>
      <c r="X13" s="1615"/>
      <c r="Y13" s="1612">
        <f>(-0.163*(Y12^2)-0.59*Y12+7617)*(10^(-4))/Y11</f>
        <v>0.19090225563909774</v>
      </c>
      <c r="Z13" s="1612">
        <f t="shared" ref="Z13:AJ13" si="5">(-0.163*(Z12^2)-0.59*Z12+7617)*(10^(-4))/Z11</f>
        <v>0.19090225563909774</v>
      </c>
      <c r="AA13" s="1612">
        <f t="shared" si="5"/>
        <v>0.19090225563909774</v>
      </c>
      <c r="AB13" s="1612">
        <f t="shared" si="5"/>
        <v>0.19090225563909774</v>
      </c>
      <c r="AC13" s="1612">
        <f t="shared" si="5"/>
        <v>0.19090225563909774</v>
      </c>
      <c r="AD13" s="1612">
        <f t="shared" si="5"/>
        <v>0.19090225563909774</v>
      </c>
      <c r="AE13" s="1612">
        <f t="shared" si="5"/>
        <v>0.19090225563909774</v>
      </c>
      <c r="AF13" s="1612">
        <f t="shared" si="5"/>
        <v>0.19090225563909774</v>
      </c>
      <c r="AG13" s="1612">
        <f t="shared" si="5"/>
        <v>0.19090225563909774</v>
      </c>
      <c r="AH13" s="1612">
        <f t="shared" si="5"/>
        <v>0.19090225563909774</v>
      </c>
      <c r="AI13" s="1612">
        <f t="shared" si="5"/>
        <v>0.19090225563909774</v>
      </c>
      <c r="AJ13" s="1612">
        <f t="shared" si="5"/>
        <v>0.19090225563909774</v>
      </c>
    </row>
    <row r="14" spans="1:36" ht="15">
      <c r="A14" s="3313"/>
      <c r="B14" s="2763"/>
      <c r="C14" s="2764"/>
      <c r="D14" s="2765"/>
      <c r="E14" s="2765"/>
      <c r="F14" s="2766"/>
      <c r="G14" s="2767" t="s">
        <v>2866</v>
      </c>
      <c r="H14" s="2768"/>
      <c r="I14" s="2769"/>
      <c r="J14" s="2770"/>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4"/>
      <c r="B15" s="2771" t="s">
        <v>2867</v>
      </c>
      <c r="C15" s="229">
        <f>IF(C14="有",1.1,1)</f>
        <v>1</v>
      </c>
      <c r="D15" s="229">
        <f>IF(D14="有",1.1,1)</f>
        <v>1</v>
      </c>
      <c r="E15" s="229">
        <f>IF(E14="有",1.1,1)</f>
        <v>1</v>
      </c>
      <c r="F15" s="229">
        <f>IF(F14="500米范围内",1.2,IF(F14="500-1000米",1.1,1))</f>
        <v>1</v>
      </c>
      <c r="G15" s="948">
        <v>1</v>
      </c>
      <c r="H15" s="948">
        <v>1</v>
      </c>
      <c r="I15" s="948">
        <v>1</v>
      </c>
      <c r="J15" s="949">
        <v>1</v>
      </c>
      <c r="K15" s="1369"/>
      <c r="L15" s="2772" t="s">
        <v>2803</v>
      </c>
      <c r="M15" s="919" t="s">
        <v>2868</v>
      </c>
      <c r="N15" s="919" t="s">
        <v>2869</v>
      </c>
      <c r="O15" s="919" t="s">
        <v>2870</v>
      </c>
      <c r="P15" s="2773" t="s">
        <v>2871</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5" t="s">
        <v>2872</v>
      </c>
      <c r="B16" s="2740" t="s">
        <v>2873</v>
      </c>
      <c r="C16" s="1799" t="e">
        <f>ROUND(SUM(G17:J17)/C17,0)</f>
        <v>#DIV/0!</v>
      </c>
      <c r="D16" s="2774" t="s">
        <v>2874</v>
      </c>
      <c r="E16" s="2775"/>
      <c r="F16" s="2776"/>
      <c r="G16" s="2777"/>
      <c r="H16" s="2777"/>
      <c r="I16" s="2777"/>
      <c r="J16" s="2778"/>
      <c r="K16" s="1369"/>
      <c r="L16" s="2779" t="s">
        <v>2875</v>
      </c>
      <c r="M16" s="921">
        <v>0.25</v>
      </c>
      <c r="N16" s="921">
        <v>0.2</v>
      </c>
      <c r="O16" s="921">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6"/>
      <c r="B17" s="2780" t="s">
        <v>2876</v>
      </c>
      <c r="C17" s="923">
        <f>SUMPRODUCT((修正!A2:A5=E2)*(修正!B1:M1=G2)*(修正!B2:M5))</f>
        <v>0</v>
      </c>
      <c r="D17" s="2781" t="s">
        <v>2877</v>
      </c>
      <c r="E17" s="922" t="str">
        <f>IF(OR(G2="八级",G2="九级",G2="十级",G2="十一级",G2="十二级"),"五通一平","七通一平")</f>
        <v>七通一平</v>
      </c>
      <c r="F17" s="923" t="s">
        <v>2878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9"/>
      <c r="L17" s="2782" t="s">
        <v>2879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2880</v>
      </c>
      <c r="C18" s="925">
        <f>SUMIF(修正!C18:C39,E3,修正!E18:E39)</f>
        <v>0</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7.75" thickBot="1">
      <c r="A19" s="2784" t="s">
        <v>809</v>
      </c>
      <c r="B19" s="2785" t="s">
        <v>2881</v>
      </c>
      <c r="C19" s="926" t="e">
        <f>ROUND(IF(H19="按公示增长率计算",SUMPRODUCT((地价!A3:A21=YEAR(G19)&amp;"-"&amp;ROUNDUP(MONTH(G19)/3,0))*(地价!X2:AB2=E2)*(地价!X3:AB21)),IF(H19="地价指数",M20/M19,(1+I19)^O19)),4)</f>
        <v>#DIV/0!</v>
      </c>
      <c r="D19" s="2792" t="s">
        <v>2882</v>
      </c>
      <c r="E19" s="927">
        <v>41640</v>
      </c>
      <c r="F19" s="2792" t="s">
        <v>2883</v>
      </c>
      <c r="G19" s="928">
        <f>'数据-取费表'!B2</f>
        <v>43132</v>
      </c>
      <c r="H19" s="2793" t="s">
        <v>2884</v>
      </c>
      <c r="I19" s="929" t="str">
        <f>IF(H19="季度增幅（自定义）",SUMIF(N21:N24,E2,O21:O24),"")</f>
        <v/>
      </c>
      <c r="J19" s="2790"/>
      <c r="K19" s="1376"/>
      <c r="L19" s="2794" t="s">
        <v>2885</v>
      </c>
      <c r="M19" s="1733">
        <f>ROUND(SUMIF(地价!B2:F2,E2,地价!B21:F21),0)</f>
        <v>0</v>
      </c>
      <c r="N19" s="2795" t="s">
        <v>2886</v>
      </c>
      <c r="O19" s="930">
        <f>ROUNDDOWN(DATEDIF(E19,G19,"M")/3,0)</f>
        <v>16</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2887</v>
      </c>
      <c r="C20" s="931" t="e">
        <f>ROUND(POWER(1+G20,J20-I20)*(POWER(1+G20,I20)-1)/(POWER(1+G20,J20)-1),4)</f>
        <v>#DIV/0!</v>
      </c>
      <c r="D20" s="2801" t="s">
        <v>2888</v>
      </c>
      <c r="E20" s="1767">
        <f ca="1">存贷款利率!D4/100</f>
        <v>4.3499999999999997E-2</v>
      </c>
      <c r="F20" s="2801" t="s">
        <v>2879</v>
      </c>
      <c r="G20" s="936">
        <f>SUMIF(M15:P15,E2,M17:P17)</f>
        <v>0</v>
      </c>
      <c r="H20" s="2801" t="s">
        <v>2889</v>
      </c>
      <c r="I20" s="937" t="e">
        <f>SUMIF('数据-取费表'!C6:C15,E2,'数据-取费表'!F6:F15)/COUNTIF('数据-取费表'!C6:C15,E2)</f>
        <v>#DIV/0!</v>
      </c>
      <c r="J20" s="938">
        <f>IF(E2="住宅",70,IF(E2="商业",40,50))</f>
        <v>50</v>
      </c>
      <c r="K20" s="1376"/>
      <c r="L20" s="2802" t="s">
        <v>2890</v>
      </c>
      <c r="M20" s="1734">
        <f>ROUND(SUMPRODUCT((地价!A4:A21=YEAR(G19)&amp;"-"&amp;ROUNDUP(MONTH(G19)/3,0))*(地价!B2:F2=E2)*(地价!B4:F21)),0)</f>
        <v>0</v>
      </c>
      <c r="N20" s="2803" t="s">
        <v>2891</v>
      </c>
      <c r="O20" s="2804" t="s">
        <v>2892</v>
      </c>
      <c r="P20" s="2805" t="s">
        <v>2893</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2894</v>
      </c>
      <c r="C21" s="939">
        <f>IF(B21="容积率修正",IF(G3&lt;=10,D22,J22),C23)</f>
        <v>0</v>
      </c>
      <c r="D21" s="2808"/>
      <c r="E21" s="2808"/>
      <c r="F21" s="2808"/>
      <c r="G21" s="2808"/>
      <c r="H21" s="2808"/>
      <c r="I21" s="2808"/>
      <c r="J21" s="2809"/>
      <c r="K21" s="1376"/>
      <c r="N21" s="2810" t="s">
        <v>2895</v>
      </c>
      <c r="O21" s="1560"/>
      <c r="P21" s="1561">
        <f>SUMPRODUCT((地价!A3:A21=YEAR(G19)&amp;"-"&amp;ROUNDUP(MONTH(G19)/3,0))*(地价!AD2:AH2=N21)*(地价!AD3:AH21))</f>
        <v>1.55E-2</v>
      </c>
      <c r="R21" s="1375"/>
      <c r="S21" s="1375"/>
      <c r="T21" s="1370"/>
      <c r="U21" s="1370"/>
      <c r="V21" s="1370"/>
      <c r="W21" s="1369"/>
      <c r="X21" s="1369"/>
      <c r="Y21" s="1369"/>
      <c r="Z21" s="1376"/>
      <c r="AA21" s="1377"/>
      <c r="AB21" s="1377"/>
      <c r="AC21" s="1377"/>
      <c r="AD21" s="1377"/>
      <c r="AE21" s="1377"/>
      <c r="AF21" s="1377"/>
    </row>
    <row r="22" spans="1:37" s="2733" customFormat="1" ht="14.25">
      <c r="A22" s="2659" t="s">
        <v>2896</v>
      </c>
      <c r="B22" s="2811" t="s">
        <v>2897</v>
      </c>
      <c r="C22" s="1808" t="s">
        <v>2898</v>
      </c>
      <c r="D22" s="1808">
        <f>IF(E22=G22,F22,IF(G3&lt;=10,ROUND(F22+(H22-F22)*(G3-E22)/(G22-E22),4),"——"))</f>
        <v>0</v>
      </c>
      <c r="E22" s="915">
        <f>ROUNDDOWN(G3,1)</f>
        <v>3.9</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40" t="str">
        <f>IF(G3&gt;10,D113,"——")</f>
        <v>——</v>
      </c>
      <c r="K22" s="1376"/>
      <c r="N22" s="2810" t="s">
        <v>2899</v>
      </c>
      <c r="O22" s="1560"/>
      <c r="P22" s="1561">
        <f>SUMPRODUCT((地价!A3:A21=YEAR(G19)&amp;"-"&amp;ROUNDUP(MONTH(G19)/3,0))*(地价!AD2:AH2=N22)*(地价!AD3:AH21))</f>
        <v>1.55E-2</v>
      </c>
      <c r="R22" s="1375"/>
      <c r="S22" s="1375"/>
      <c r="T22" s="1370"/>
      <c r="U22" s="1370"/>
      <c r="V22" s="1370"/>
      <c r="W22" s="1369"/>
      <c r="X22" s="1369"/>
      <c r="Y22" s="1369"/>
      <c r="Z22" s="1376"/>
      <c r="AA22" s="1377"/>
      <c r="AB22" s="1377"/>
      <c r="AC22" s="1377"/>
      <c r="AD22" s="1377"/>
      <c r="AE22" s="1377"/>
      <c r="AF22" s="1377"/>
    </row>
    <row r="23" spans="1:37" ht="27.75" thickBot="1">
      <c r="A23" s="2659" t="s">
        <v>2900</v>
      </c>
      <c r="B23" s="2812" t="s">
        <v>2901</v>
      </c>
      <c r="C23" s="1015">
        <f>ROUND(IF(G3&gt;1,IF(I3&lt;7,SUMPRODUCT((B93:B98=I3)*(C92:N92=G2)*(C93:N98)),SUMIF(C92:N92,G2,C100:N100)),IF(I3&lt;7,SUMPRODUCT((B102:B107=I3)*(C92:N92=G2)*(C102:N107)),SUMIF(C92:N92,G2,C109:N109))),4)</f>
        <v>0</v>
      </c>
      <c r="D23" s="2768"/>
      <c r="E23" s="2768"/>
      <c r="F23" s="2813"/>
      <c r="G23" s="2814"/>
      <c r="H23" s="2815"/>
      <c r="I23" s="2816"/>
      <c r="J23" s="2817"/>
      <c r="K23" s="1369"/>
      <c r="N23" s="2810" t="s">
        <v>2902</v>
      </c>
      <c r="O23" s="1560"/>
      <c r="P23" s="1561">
        <f>SUMPRODUCT((地价!A3:A21=YEAR(G19)&amp;"-"&amp;ROUNDUP(MONTH(G19)/3,0))*(地价!AD2:AH2=N23)*(地价!AD3:AH21))</f>
        <v>2.5499999999999998E-2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2903</v>
      </c>
      <c r="C24" s="926">
        <f>SUMIF(A45:A88,E2,B45:B88)</f>
        <v>0</v>
      </c>
      <c r="D24" s="2788"/>
      <c r="E24" s="2818"/>
      <c r="F24" s="2818"/>
      <c r="G24" s="2818"/>
      <c r="H24" s="2818"/>
      <c r="I24" s="2818"/>
      <c r="J24" s="2819"/>
      <c r="K24" s="1376"/>
      <c r="N24" s="2820" t="s">
        <v>2904</v>
      </c>
      <c r="O24" s="1562"/>
      <c r="P24" s="1563">
        <f>SUMPRODUCT((地价!A3:A21=YEAR(G19)&amp;"-"&amp;ROUNDUP(MONTH(G19)/3,0))*(地价!AD2:AH2=N24)*(地价!AD3:AH21))</f>
        <v>1.3100000000000001E-2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2905</v>
      </c>
      <c r="C25" s="932"/>
      <c r="D25" s="2743"/>
      <c r="E25" s="2743"/>
      <c r="F25" s="2822"/>
      <c r="G25" s="2743"/>
      <c r="H25" s="2743"/>
      <c r="I25" s="2743"/>
      <c r="J25" s="2744"/>
      <c r="K25" s="1369"/>
      <c r="N25" s="2823" t="s">
        <v>2906</v>
      </c>
      <c r="O25" s="1564"/>
      <c r="P25" s="1563">
        <f>SUMPRODUCT((地价!A3:A21=YEAR(G19)&amp;"-"&amp;ROUNDUP(MONTH(G19)/3,0))*(地价!AD2:AH2=N25)*(地价!AD3:AH21))</f>
        <v>2.3E-2</v>
      </c>
      <c r="R25" s="1375"/>
      <c r="S25" s="1375"/>
      <c r="T25" s="1370"/>
      <c r="U25" s="1370"/>
      <c r="V25" s="1370"/>
      <c r="W25" s="1369"/>
      <c r="X25" s="1369"/>
      <c r="Y25" s="1369"/>
      <c r="Z25" s="1376"/>
      <c r="AA25" s="1377"/>
      <c r="AB25" s="1377"/>
      <c r="AC25" s="1377"/>
      <c r="AD25" s="1377"/>
    </row>
    <row r="26" spans="1:37" ht="15">
      <c r="A26" s="2824"/>
      <c r="B26" s="2811" t="s">
        <v>2907</v>
      </c>
      <c r="C26" s="206" t="e">
        <f>E29+SUM(E33:E39)</f>
        <v>#DIV/0!</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2908</v>
      </c>
      <c r="C27" s="933" t="e">
        <f>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2909</v>
      </c>
      <c r="C28" s="2835" t="s">
        <v>2910</v>
      </c>
      <c r="D28" s="2835" t="s">
        <v>2911</v>
      </c>
      <c r="E28" s="2836" t="s">
        <v>2912</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2913</v>
      </c>
      <c r="C29" s="206" t="e">
        <f>ROUND(C5*C18*C19*C20*C21*C24,0)</f>
        <v>#DIV/0!</v>
      </c>
      <c r="D29" s="2840"/>
      <c r="E29" s="944" t="e">
        <f>ROUND(C29*D29/10000,0)</f>
        <v>#DIV/0!</v>
      </c>
      <c r="F29" s="2841" t="s">
        <v>2914</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2915</v>
      </c>
      <c r="C30" s="229" t="e">
        <f>ROUND(IF(E2="工业",C29*M39,C29*M38),0)</f>
        <v>#DIV/0!</v>
      </c>
      <c r="D30" s="2846"/>
      <c r="E30" s="944" t="e">
        <f>ROUND(C30*D30/10000,0)</f>
        <v>#DIV/0!</v>
      </c>
      <c r="F30" s="2847" t="s">
        <v>2916</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2917</v>
      </c>
      <c r="C31" s="2852" t="s">
        <v>2918</v>
      </c>
      <c r="D31" s="2756"/>
      <c r="E31" s="2852"/>
      <c r="F31" s="2852"/>
      <c r="G31" s="2754" t="s">
        <v>2919</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2910</v>
      </c>
      <c r="D32" s="498" t="s">
        <v>2911</v>
      </c>
      <c r="E32" s="498" t="s">
        <v>2912</v>
      </c>
      <c r="F32" s="388" t="s">
        <v>2920</v>
      </c>
      <c r="G32" s="2855" t="s">
        <v>2910</v>
      </c>
      <c r="H32" s="2855" t="s">
        <v>2911</v>
      </c>
      <c r="I32" s="2855"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303" t="s">
        <v>2921</v>
      </c>
      <c r="B33" s="2856" t="s">
        <v>2922</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4"/>
      <c r="B34" s="2760" t="s">
        <v>2923</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4"/>
      <c r="B35" s="2760" t="s">
        <v>2924</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9"/>
      <c r="L35" s="1369"/>
      <c r="M35" s="1369"/>
      <c r="N35" s="1369"/>
      <c r="O35" s="1369"/>
      <c r="P35" s="1369"/>
      <c r="Q35" s="1369"/>
      <c r="R35" s="1369"/>
      <c r="S35" s="1369"/>
      <c r="T35" s="1369"/>
      <c r="U35" s="1369"/>
      <c r="V35" s="1369"/>
      <c r="W35" s="1369"/>
      <c r="X35" s="1369"/>
      <c r="Y35" s="1369"/>
      <c r="Z35" s="1370"/>
    </row>
    <row r="36" spans="1:37" ht="13.5" thickBot="1">
      <c r="A36" s="3305"/>
      <c r="B36" s="2760" t="s">
        <v>2925</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2926</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9"/>
      <c r="L37" s="2859" t="s">
        <v>2927</v>
      </c>
      <c r="M37" s="2860"/>
      <c r="N37" s="1369"/>
      <c r="O37" s="1369"/>
      <c r="P37" s="1369"/>
      <c r="Q37" s="1369"/>
      <c r="R37" s="1369"/>
      <c r="S37" s="1369"/>
      <c r="T37" s="1369"/>
      <c r="U37" s="1369"/>
      <c r="V37" s="1369"/>
      <c r="W37" s="1369"/>
      <c r="X37" s="1369"/>
      <c r="Y37" s="1369"/>
      <c r="Z37" s="1370"/>
    </row>
    <row r="38" spans="1:37">
      <c r="A38" s="2858"/>
      <c r="B38" s="2760" t="s">
        <v>2928</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9"/>
      <c r="L38" s="1885" t="s">
        <v>2929</v>
      </c>
      <c r="M38" s="2861">
        <v>0.25</v>
      </c>
      <c r="N38" s="1369"/>
      <c r="O38" s="1369"/>
      <c r="P38" s="1369"/>
      <c r="Q38" s="1369"/>
      <c r="R38" s="1369"/>
      <c r="S38" s="1369"/>
      <c r="T38" s="1369"/>
      <c r="U38" s="1369"/>
      <c r="V38" s="1369"/>
      <c r="W38" s="1369"/>
      <c r="X38" s="1369"/>
      <c r="Y38" s="1369"/>
      <c r="Z38" s="1370"/>
    </row>
    <row r="39" spans="1:37" ht="13.5" thickBot="1">
      <c r="A39" s="2844"/>
      <c r="B39" s="2862" t="s">
        <v>2930</v>
      </c>
      <c r="C39" s="229" t="e">
        <f>ROUND(C5*C19*C20*C24*F39,0)</f>
        <v>#DIV/0!</v>
      </c>
      <c r="D39" s="2846"/>
      <c r="E39" s="229" t="e">
        <f t="shared" si="7"/>
        <v>#DIV/0!</v>
      </c>
      <c r="F39" s="934">
        <f>SUMIF(修正!A45:A56,G2,修正!H45:H56)</f>
        <v>0</v>
      </c>
      <c r="G39" s="229" t="e">
        <f t="shared" si="6"/>
        <v>#DIV/0!</v>
      </c>
      <c r="H39" s="229">
        <f t="shared" si="8"/>
        <v>0</v>
      </c>
      <c r="I39" s="229" t="e">
        <f t="shared" si="9"/>
        <v>#DIV/0!</v>
      </c>
      <c r="J39" s="2863"/>
      <c r="K39" s="1369"/>
      <c r="L39" s="2864" t="s">
        <v>2871</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2931</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2932</v>
      </c>
      <c r="B46" s="2870">
        <f>1+E48</f>
        <v>1</v>
      </c>
      <c r="C46" s="2871"/>
      <c r="D46" s="813"/>
      <c r="E46" s="814"/>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2933</v>
      </c>
      <c r="B47" s="1807" t="s">
        <v>2934</v>
      </c>
      <c r="C47" s="1807" t="s">
        <v>2935</v>
      </c>
      <c r="D47" s="1807" t="s">
        <v>2936</v>
      </c>
      <c r="E47" s="818" t="s">
        <v>2937</v>
      </c>
      <c r="F47" s="2874" t="s">
        <v>2938</v>
      </c>
      <c r="G47" s="1807" t="s">
        <v>754</v>
      </c>
      <c r="H47" s="2875" t="s">
        <v>2939</v>
      </c>
      <c r="I47" s="1807" t="s">
        <v>2940</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38.25">
      <c r="A48" s="2873" t="s">
        <v>2941</v>
      </c>
      <c r="B48" s="2876" t="str">
        <f>估价对象房地状况!C4</f>
        <v>周边商业有集美家居、银泰百货，人流量一般，商业繁华度一般</v>
      </c>
      <c r="C48" s="2765"/>
      <c r="D48" s="1285">
        <f t="shared" ref="D48:D56" si="10">SUMIF($J$47:$N$47,C48,J48:N48)</f>
        <v>0</v>
      </c>
      <c r="E48" s="820">
        <f>ROUND(SUM(D48:D56),4)</f>
        <v>0</v>
      </c>
      <c r="F48" s="2496"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3" t="s">
        <v>2942</v>
      </c>
      <c r="B49" s="2877" t="str">
        <f>估价对象房地状况!C18</f>
        <v>估价对象周边有485、501、602、736、957路及地铁十号线等、公共交通通达情况较好、停车便捷程度较好，综合评价交通便捷度较好</v>
      </c>
      <c r="C49" s="2765"/>
      <c r="D49" s="1285">
        <f t="shared" si="10"/>
        <v>0</v>
      </c>
      <c r="E49" s="821"/>
      <c r="F49" s="2496"/>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2943</v>
      </c>
      <c r="B50" s="2877">
        <f>估价对象房地状况!C19</f>
        <v>0</v>
      </c>
      <c r="C50" s="2765"/>
      <c r="D50" s="1285">
        <f t="shared" si="10"/>
        <v>0</v>
      </c>
      <c r="E50" s="821"/>
      <c r="F50" s="2496"/>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2944</v>
      </c>
      <c r="B51" s="2878" t="s">
        <v>2945</v>
      </c>
      <c r="C51" s="2765"/>
      <c r="D51" s="1285">
        <f t="shared" si="10"/>
        <v>0</v>
      </c>
      <c r="E51" s="821"/>
      <c r="F51" s="2496"/>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2946</v>
      </c>
      <c r="B52" s="2877" t="str">
        <f>估价对象房地状况!C24</f>
        <v>支路</v>
      </c>
      <c r="C52" s="2765"/>
      <c r="D52" s="1285">
        <f t="shared" si="10"/>
        <v>0</v>
      </c>
      <c r="E52" s="821"/>
      <c r="F52" s="2496"/>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2947</v>
      </c>
      <c r="B53" s="2879" t="s">
        <v>2948</v>
      </c>
      <c r="C53" s="2765"/>
      <c r="D53" s="1285">
        <f t="shared" si="10"/>
        <v>0</v>
      </c>
      <c r="E53" s="821"/>
      <c r="F53" s="2496"/>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63.75">
      <c r="A54" s="2880" t="s">
        <v>2949</v>
      </c>
      <c r="B54" s="1724" t="str">
        <f>估价对象房地状况!C21</f>
        <v>周边有中国建设银行、广东发展银行、集美家居、物美超市、西马金润小学、丰台第一小学远洋分校等，公共配套设施较齐备</v>
      </c>
      <c r="C54" s="2765"/>
      <c r="D54" s="1285">
        <f t="shared" si="10"/>
        <v>0</v>
      </c>
      <c r="E54" s="821"/>
      <c r="F54" s="2496"/>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0" t="s">
        <v>2950</v>
      </c>
      <c r="B55" s="2877" t="str">
        <f>估价对象房地状况!C22</f>
        <v>七通</v>
      </c>
      <c r="C55" s="2765"/>
      <c r="D55" s="1285">
        <f t="shared" si="10"/>
        <v>0</v>
      </c>
      <c r="E55" s="821"/>
      <c r="F55" s="2496"/>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6.25" thickBot="1">
      <c r="A56" s="2881" t="s">
        <v>2951</v>
      </c>
      <c r="B56" s="2882" t="str">
        <f>估价对象房地状况!C20</f>
        <v>周边有桃苑公园自然及人文环境一般</v>
      </c>
      <c r="C56" s="2765"/>
      <c r="D56" s="1285">
        <f t="shared" si="10"/>
        <v>0</v>
      </c>
      <c r="E56" s="824"/>
      <c r="F56" s="2496"/>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2952</v>
      </c>
      <c r="B57" s="2870">
        <f>1+E59</f>
        <v>1</v>
      </c>
      <c r="C57" s="813"/>
      <c r="D57" s="813"/>
      <c r="E57" s="814"/>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2933</v>
      </c>
      <c r="B58" s="1807"/>
      <c r="C58" s="1807" t="s">
        <v>2935</v>
      </c>
      <c r="D58" s="1807" t="s">
        <v>2936</v>
      </c>
      <c r="E58" s="818" t="s">
        <v>2937</v>
      </c>
      <c r="F58" s="2874" t="s">
        <v>2953</v>
      </c>
      <c r="G58" s="1807" t="s">
        <v>754</v>
      </c>
      <c r="H58" s="2875" t="s">
        <v>2939</v>
      </c>
      <c r="I58" s="1807" t="s">
        <v>2940</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73" t="s">
        <v>2954</v>
      </c>
      <c r="B59" s="2876">
        <f>估价对象房地状况!C17</f>
        <v>0</v>
      </c>
      <c r="C59" s="2765"/>
      <c r="D59" s="1285">
        <f t="shared" ref="D59:D67" si="15">SUMIF($J$58:$N$58,C59,J59:N59)</f>
        <v>0</v>
      </c>
      <c r="E59" s="820">
        <f>ROUND(SUM(D59:D67),4)</f>
        <v>0</v>
      </c>
      <c r="F59" s="2496"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3" t="s">
        <v>2942</v>
      </c>
      <c r="B60" s="2877" t="str">
        <f>估价对象房地状况!C18</f>
        <v>估价对象周边有485、501、602、736、957路及地铁十号线等、公共交通通达情况较好、停车便捷程度较好，综合评价交通便捷度较好</v>
      </c>
      <c r="C60" s="2765"/>
      <c r="D60" s="1285">
        <f t="shared" si="15"/>
        <v>0</v>
      </c>
      <c r="E60" s="821"/>
      <c r="F60" s="2496"/>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2943</v>
      </c>
      <c r="B61" s="2877">
        <f>估价对象房地状况!C19</f>
        <v>0</v>
      </c>
      <c r="C61" s="2765"/>
      <c r="D61" s="1285">
        <f t="shared" si="15"/>
        <v>0</v>
      </c>
      <c r="E61" s="821"/>
      <c r="F61" s="2496"/>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2944</v>
      </c>
      <c r="B62" s="2878" t="s">
        <v>2945</v>
      </c>
      <c r="C62" s="2765"/>
      <c r="D62" s="1285">
        <f t="shared" si="15"/>
        <v>0</v>
      </c>
      <c r="E62" s="821"/>
      <c r="F62" s="2496"/>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2946</v>
      </c>
      <c r="B63" s="2877" t="str">
        <f>估价对象房地状况!C24</f>
        <v>支路</v>
      </c>
      <c r="C63" s="2765"/>
      <c r="D63" s="1285">
        <f t="shared" si="15"/>
        <v>0</v>
      </c>
      <c r="E63" s="821"/>
      <c r="F63" s="2496"/>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2947</v>
      </c>
      <c r="B64" s="2879" t="s">
        <v>2948</v>
      </c>
      <c r="C64" s="2765"/>
      <c r="D64" s="1285">
        <f t="shared" si="15"/>
        <v>0</v>
      </c>
      <c r="E64" s="821"/>
      <c r="F64" s="2496"/>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63.75">
      <c r="A65" s="2873" t="s">
        <v>2949</v>
      </c>
      <c r="B65" s="1724" t="str">
        <f>估价对象房地状况!C21</f>
        <v>周边有中国建设银行、广东发展银行、集美家居、物美超市、西马金润小学、丰台第一小学远洋分校等，公共配套设施较齐备</v>
      </c>
      <c r="C65" s="2765"/>
      <c r="D65" s="1285">
        <f t="shared" si="15"/>
        <v>0</v>
      </c>
      <c r="E65" s="821"/>
      <c r="F65" s="2496"/>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3" t="s">
        <v>2950</v>
      </c>
      <c r="B66" s="1724" t="str">
        <f>估价对象房地状况!C22</f>
        <v>七通</v>
      </c>
      <c r="C66" s="2765"/>
      <c r="D66" s="1285">
        <f t="shared" si="15"/>
        <v>0</v>
      </c>
      <c r="E66" s="821"/>
      <c r="F66" s="2496"/>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6.25" thickBot="1">
      <c r="A67" s="2881" t="s">
        <v>2951</v>
      </c>
      <c r="B67" s="2883" t="str">
        <f>估价对象房地状况!C20</f>
        <v>周边有桃苑公园自然及人文环境一般</v>
      </c>
      <c r="C67" s="2765"/>
      <c r="D67" s="1285">
        <f t="shared" si="15"/>
        <v>0</v>
      </c>
      <c r="E67" s="824"/>
      <c r="F67" s="2496"/>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2955</v>
      </c>
      <c r="B68" s="2870">
        <f>1+E70</f>
        <v>1</v>
      </c>
      <c r="C68" s="813"/>
      <c r="D68" s="813"/>
      <c r="E68" s="814"/>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2933</v>
      </c>
      <c r="B69" s="1807"/>
      <c r="C69" s="1807" t="s">
        <v>2935</v>
      </c>
      <c r="D69" s="1807" t="s">
        <v>2936</v>
      </c>
      <c r="E69" s="818" t="s">
        <v>2937</v>
      </c>
      <c r="F69" s="2874" t="s">
        <v>2953</v>
      </c>
      <c r="G69" s="1807" t="s">
        <v>754</v>
      </c>
      <c r="H69" s="2875" t="s">
        <v>2939</v>
      </c>
      <c r="I69" s="1807" t="s">
        <v>2940</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73" t="s">
        <v>2956</v>
      </c>
      <c r="B70" s="2876">
        <f>估价对象房地状况!C15</f>
        <v>0</v>
      </c>
      <c r="C70" s="2765"/>
      <c r="D70" s="1285">
        <f t="shared" ref="D70:D78" si="20">SUMIF($J$69:$N$69,C70,J70:N70)</f>
        <v>0</v>
      </c>
      <c r="E70" s="820">
        <f>ROUND(SUM(D70:D78),4)</f>
        <v>0</v>
      </c>
      <c r="F70" s="2496"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3" t="s">
        <v>2942</v>
      </c>
      <c r="B71" s="2877" t="str">
        <f>估价对象房地状况!C18</f>
        <v>估价对象周边有485、501、602、736、957路及地铁十号线等、公共交通通达情况较好、停车便捷程度较好，综合评价交通便捷度较好</v>
      </c>
      <c r="C71" s="2765"/>
      <c r="D71" s="1285">
        <f t="shared" si="20"/>
        <v>0</v>
      </c>
      <c r="E71" s="825"/>
      <c r="F71" s="2496"/>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2943</v>
      </c>
      <c r="B72" s="2877">
        <f>估价对象房地状况!C19</f>
        <v>0</v>
      </c>
      <c r="C72" s="2765"/>
      <c r="D72" s="1285">
        <f t="shared" si="20"/>
        <v>0</v>
      </c>
      <c r="E72" s="825"/>
      <c r="F72" s="2496"/>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2957</v>
      </c>
      <c r="B73" s="2877" t="str">
        <f>估价对象房地状况!C24</f>
        <v>支路</v>
      </c>
      <c r="C73" s="2765"/>
      <c r="D73" s="1285">
        <f t="shared" si="20"/>
        <v>0</v>
      </c>
      <c r="E73" s="825"/>
      <c r="F73" s="2496"/>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63.75">
      <c r="A74" s="2873" t="s">
        <v>2949</v>
      </c>
      <c r="B74" s="1724" t="str">
        <f>估价对象房地状况!C21</f>
        <v>周边有中国建设银行、广东发展银行、集美家居、物美超市、西马金润小学、丰台第一小学远洋分校等，公共配套设施较齐备</v>
      </c>
      <c r="C74" s="2765"/>
      <c r="D74" s="1285">
        <f t="shared" si="20"/>
        <v>0</v>
      </c>
      <c r="E74" s="825"/>
      <c r="F74" s="2496"/>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3" t="s">
        <v>2950</v>
      </c>
      <c r="B75" s="1724" t="str">
        <f>估价对象房地状况!C22</f>
        <v>七通</v>
      </c>
      <c r="C75" s="2765"/>
      <c r="D75" s="1285">
        <f t="shared" si="20"/>
        <v>0</v>
      </c>
      <c r="E75" s="825"/>
      <c r="F75" s="2496"/>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2947</v>
      </c>
      <c r="B76" s="2879" t="s">
        <v>2948</v>
      </c>
      <c r="C76" s="2765"/>
      <c r="D76" s="1285">
        <f t="shared" si="20"/>
        <v>0</v>
      </c>
      <c r="E76" s="825"/>
      <c r="F76" s="2496"/>
      <c r="G76" s="1283"/>
      <c r="H76" s="1287" t="str">
        <f t="shared" si="21"/>
        <v>——</v>
      </c>
      <c r="I76" s="819">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25.5">
      <c r="A77" s="2873" t="s">
        <v>2951</v>
      </c>
      <c r="B77" s="2876" t="str">
        <f>估价对象房地状况!C20</f>
        <v>周边有桃苑公园自然及人文环境一般</v>
      </c>
      <c r="C77" s="2765"/>
      <c r="D77" s="1285">
        <f t="shared" si="20"/>
        <v>0</v>
      </c>
      <c r="E77" s="825"/>
      <c r="F77" s="2496"/>
      <c r="G77" s="1283"/>
      <c r="H77" s="1287" t="str">
        <f t="shared" si="21"/>
        <v>——</v>
      </c>
      <c r="I77" s="819">
        <v>0.15</v>
      </c>
      <c r="J77" s="1284">
        <f t="shared" si="22"/>
        <v>0</v>
      </c>
      <c r="K77" s="1284">
        <f t="shared" si="23"/>
        <v>0</v>
      </c>
      <c r="L77" s="1284">
        <v>0</v>
      </c>
      <c r="M77" s="1284">
        <f t="shared" si="24"/>
        <v>0</v>
      </c>
      <c r="N77" s="1284">
        <f t="shared" si="24"/>
        <v>0</v>
      </c>
      <c r="Z77" s="2715"/>
      <c r="AA77" s="2791"/>
      <c r="AG77" s="1371"/>
      <c r="AK77" s="2791"/>
    </row>
    <row r="78" spans="1:37" ht="24.75" thickBot="1">
      <c r="A78" s="2881" t="s">
        <v>2958</v>
      </c>
      <c r="B78" s="2885"/>
      <c r="C78" s="2765"/>
      <c r="D78" s="1285">
        <f t="shared" si="20"/>
        <v>0</v>
      </c>
      <c r="E78" s="826"/>
      <c r="F78" s="2496"/>
      <c r="G78" s="1283"/>
      <c r="H78" s="1287" t="str">
        <f t="shared" si="21"/>
        <v>——</v>
      </c>
      <c r="I78" s="823">
        <v>0.04</v>
      </c>
      <c r="J78" s="1284">
        <f t="shared" si="22"/>
        <v>0</v>
      </c>
      <c r="K78" s="1284">
        <f t="shared" si="23"/>
        <v>0</v>
      </c>
      <c r="L78" s="1284">
        <v>0</v>
      </c>
      <c r="M78" s="1284">
        <f t="shared" si="24"/>
        <v>0</v>
      </c>
      <c r="N78" s="1284">
        <f t="shared" si="24"/>
        <v>0</v>
      </c>
      <c r="Z78" s="2715"/>
      <c r="AA78" s="2791"/>
      <c r="AG78" s="1371"/>
      <c r="AK78" s="2791"/>
    </row>
    <row r="79" spans="1:37" ht="15">
      <c r="A79" s="2869" t="s">
        <v>2959</v>
      </c>
      <c r="B79" s="2870">
        <f>1+E81</f>
        <v>1</v>
      </c>
      <c r="C79" s="813"/>
      <c r="D79" s="813"/>
      <c r="E79" s="814"/>
      <c r="F79" s="2872"/>
      <c r="G79" s="6"/>
      <c r="H79" s="6"/>
      <c r="I79" s="6"/>
      <c r="J79" s="7"/>
      <c r="K79" s="7"/>
      <c r="L79" s="7"/>
      <c r="M79" s="7"/>
      <c r="N79" s="7"/>
      <c r="Z79" s="2715"/>
      <c r="AA79" s="2791"/>
      <c r="AG79" s="1371"/>
      <c r="AK79" s="2791"/>
    </row>
    <row r="80" spans="1:37" ht="24.75">
      <c r="A80" s="2873" t="s">
        <v>2933</v>
      </c>
      <c r="B80" s="1807"/>
      <c r="C80" s="1807" t="s">
        <v>2935</v>
      </c>
      <c r="D80" s="1807" t="s">
        <v>2936</v>
      </c>
      <c r="E80" s="818" t="s">
        <v>2937</v>
      </c>
      <c r="F80" s="2874" t="s">
        <v>2953</v>
      </c>
      <c r="G80" s="1807" t="s">
        <v>754</v>
      </c>
      <c r="H80" s="2875" t="s">
        <v>2939</v>
      </c>
      <c r="I80" s="1807" t="s">
        <v>2940</v>
      </c>
      <c r="J80" s="603" t="s">
        <v>2586</v>
      </c>
      <c r="K80" s="603" t="s">
        <v>2587</v>
      </c>
      <c r="L80" s="603" t="s">
        <v>2588</v>
      </c>
      <c r="M80" s="603" t="s">
        <v>2589</v>
      </c>
      <c r="N80" s="603" t="s">
        <v>2590</v>
      </c>
      <c r="Z80" s="2715"/>
      <c r="AA80" s="2791"/>
      <c r="AG80" s="1371"/>
      <c r="AK80" s="2791"/>
    </row>
    <row r="81" spans="1:37" ht="24">
      <c r="A81" s="2873" t="s">
        <v>2960</v>
      </c>
      <c r="B81" s="2877">
        <f>估价对象房地状况!G15</f>
        <v>0</v>
      </c>
      <c r="C81" s="2765"/>
      <c r="D81" s="1285">
        <f t="shared" ref="D81:D88" si="25">SUMIF($J$80:$N$80,C81,J81:N81)</f>
        <v>0</v>
      </c>
      <c r="E81" s="820">
        <f>ROUND(SUM(D81:D88),4)</f>
        <v>0</v>
      </c>
      <c r="F81" s="2496"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14.25">
      <c r="A82" s="2873" t="s">
        <v>2942</v>
      </c>
      <c r="B82" s="2877">
        <f>估价对象房地状况!G16</f>
        <v>0</v>
      </c>
      <c r="C82" s="2765"/>
      <c r="D82" s="1285">
        <f t="shared" si="25"/>
        <v>0</v>
      </c>
      <c r="E82" s="825"/>
      <c r="F82" s="2496"/>
      <c r="G82" s="1283"/>
      <c r="H82" s="1287" t="str">
        <f t="shared" si="26"/>
        <v>——</v>
      </c>
      <c r="I82" s="819">
        <v>0.33</v>
      </c>
      <c r="J82" s="1284">
        <f t="shared" si="27"/>
        <v>0</v>
      </c>
      <c r="K82" s="1284">
        <f t="shared" si="28"/>
        <v>0</v>
      </c>
      <c r="L82" s="1284">
        <v>0</v>
      </c>
      <c r="M82" s="1284">
        <f t="shared" si="29"/>
        <v>0</v>
      </c>
      <c r="N82" s="1284">
        <f t="shared" si="29"/>
        <v>0</v>
      </c>
      <c r="Z82" s="2715"/>
      <c r="AA82" s="2791"/>
      <c r="AG82" s="1371"/>
      <c r="AK82" s="2791"/>
    </row>
    <row r="83" spans="1:37" ht="24">
      <c r="A83" s="2873" t="s">
        <v>2943</v>
      </c>
      <c r="B83" s="2877">
        <f>估价对象房地状况!G17</f>
        <v>0</v>
      </c>
      <c r="C83" s="2765"/>
      <c r="D83" s="1285">
        <f t="shared" si="25"/>
        <v>0</v>
      </c>
      <c r="E83" s="825"/>
      <c r="F83" s="2496"/>
      <c r="G83" s="1283"/>
      <c r="H83" s="1287" t="str">
        <f t="shared" si="26"/>
        <v>——</v>
      </c>
      <c r="I83" s="819">
        <v>0.05</v>
      </c>
      <c r="J83" s="1284">
        <f t="shared" si="27"/>
        <v>0</v>
      </c>
      <c r="K83" s="1284">
        <f t="shared" si="28"/>
        <v>0</v>
      </c>
      <c r="L83" s="1284">
        <v>0</v>
      </c>
      <c r="M83" s="1284">
        <f t="shared" si="29"/>
        <v>0</v>
      </c>
      <c r="N83" s="1284">
        <f t="shared" si="29"/>
        <v>0</v>
      </c>
      <c r="Z83" s="2715"/>
      <c r="AA83" s="2791"/>
      <c r="AG83" s="1371"/>
      <c r="AK83" s="2791"/>
    </row>
    <row r="84" spans="1:37" ht="14.25">
      <c r="A84" s="2873" t="s">
        <v>2957</v>
      </c>
      <c r="B84" s="2877">
        <f>估价对象房地状况!G22</f>
        <v>0</v>
      </c>
      <c r="C84" s="2765"/>
      <c r="D84" s="1285">
        <f t="shared" si="25"/>
        <v>0</v>
      </c>
      <c r="E84" s="825"/>
      <c r="F84" s="2496"/>
      <c r="G84" s="1283"/>
      <c r="H84" s="1287" t="str">
        <f t="shared" si="26"/>
        <v>——</v>
      </c>
      <c r="I84" s="819">
        <v>0.04</v>
      </c>
      <c r="J84" s="1284">
        <f t="shared" si="27"/>
        <v>0</v>
      </c>
      <c r="K84" s="1284">
        <f t="shared" si="28"/>
        <v>0</v>
      </c>
      <c r="L84" s="1284">
        <v>0</v>
      </c>
      <c r="M84" s="1284">
        <f t="shared" si="29"/>
        <v>0</v>
      </c>
      <c r="N84" s="1284">
        <f t="shared" si="29"/>
        <v>0</v>
      </c>
      <c r="Z84" s="2715"/>
      <c r="AA84" s="2791"/>
      <c r="AG84" s="1371"/>
      <c r="AK84" s="2791"/>
    </row>
    <row r="85" spans="1:37" ht="24">
      <c r="A85" s="2873" t="s">
        <v>2949</v>
      </c>
      <c r="B85" s="1724">
        <f>估价对象房地状况!G19</f>
        <v>0</v>
      </c>
      <c r="C85" s="2765"/>
      <c r="D85" s="1285">
        <f t="shared" si="25"/>
        <v>0</v>
      </c>
      <c r="E85" s="825"/>
      <c r="F85" s="2496"/>
      <c r="G85" s="1283"/>
      <c r="H85" s="1287" t="str">
        <f t="shared" si="26"/>
        <v>——</v>
      </c>
      <c r="I85" s="819">
        <v>0.06</v>
      </c>
      <c r="J85" s="1284">
        <f t="shared" si="27"/>
        <v>0</v>
      </c>
      <c r="K85" s="1284">
        <f t="shared" si="28"/>
        <v>0</v>
      </c>
      <c r="L85" s="1284">
        <v>0</v>
      </c>
      <c r="M85" s="1284">
        <f t="shared" si="29"/>
        <v>0</v>
      </c>
      <c r="N85" s="1284">
        <f t="shared" si="29"/>
        <v>0</v>
      </c>
      <c r="Z85" s="2715"/>
      <c r="AA85" s="2791"/>
      <c r="AG85" s="1371"/>
      <c r="AK85" s="2791"/>
    </row>
    <row r="86" spans="1:37" ht="24">
      <c r="A86" s="2873" t="s">
        <v>2950</v>
      </c>
      <c r="B86" s="1724">
        <f>估价对象房地状况!G20</f>
        <v>0</v>
      </c>
      <c r="C86" s="2765"/>
      <c r="D86" s="1285">
        <f t="shared" si="25"/>
        <v>0</v>
      </c>
      <c r="E86" s="825"/>
      <c r="F86" s="2496"/>
      <c r="G86" s="1283"/>
      <c r="H86" s="1287" t="str">
        <f t="shared" si="26"/>
        <v>——</v>
      </c>
      <c r="I86" s="819">
        <v>0.15</v>
      </c>
      <c r="J86" s="1284">
        <f t="shared" si="27"/>
        <v>0</v>
      </c>
      <c r="K86" s="1284">
        <f t="shared" si="28"/>
        <v>0</v>
      </c>
      <c r="L86" s="1284">
        <v>0</v>
      </c>
      <c r="M86" s="1284">
        <f t="shared" si="29"/>
        <v>0</v>
      </c>
      <c r="N86" s="1284">
        <f t="shared" si="29"/>
        <v>0</v>
      </c>
      <c r="Z86" s="2715"/>
      <c r="AA86" s="2791"/>
      <c r="AG86" s="1371"/>
      <c r="AK86" s="2791"/>
    </row>
    <row r="87" spans="1:37" ht="24">
      <c r="A87" s="2873" t="s">
        <v>2947</v>
      </c>
      <c r="B87" s="2879" t="s">
        <v>2961</v>
      </c>
      <c r="C87" s="2765"/>
      <c r="D87" s="1285">
        <f t="shared" si="25"/>
        <v>0</v>
      </c>
      <c r="E87" s="825"/>
      <c r="F87" s="2496"/>
      <c r="G87" s="1283"/>
      <c r="H87" s="1287" t="str">
        <f t="shared" si="26"/>
        <v>——</v>
      </c>
      <c r="I87" s="819">
        <v>0.05</v>
      </c>
      <c r="J87" s="1284">
        <f t="shared" si="27"/>
        <v>0</v>
      </c>
      <c r="K87" s="1284">
        <f t="shared" si="28"/>
        <v>0</v>
      </c>
      <c r="L87" s="1284">
        <v>0</v>
      </c>
      <c r="M87" s="1284">
        <f t="shared" si="29"/>
        <v>0</v>
      </c>
      <c r="N87" s="1284">
        <f t="shared" si="29"/>
        <v>0</v>
      </c>
      <c r="Z87" s="2715"/>
      <c r="AA87" s="2791"/>
      <c r="AG87" s="1371"/>
      <c r="AK87" s="2791"/>
    </row>
    <row r="88" spans="1:37" ht="15" thickBot="1">
      <c r="A88" s="2881" t="s">
        <v>2962</v>
      </c>
      <c r="B88" s="2886">
        <f>估价对象房地状况!G18</f>
        <v>0</v>
      </c>
      <c r="C88" s="2765"/>
      <c r="D88" s="1285">
        <f t="shared" si="25"/>
        <v>0</v>
      </c>
      <c r="E88" s="826"/>
      <c r="F88" s="2496"/>
      <c r="G88" s="1283"/>
      <c r="H88" s="1287" t="str">
        <f t="shared" si="26"/>
        <v>——</v>
      </c>
      <c r="I88" s="823">
        <v>0.06</v>
      </c>
      <c r="J88" s="1284">
        <f t="shared" si="27"/>
        <v>0</v>
      </c>
      <c r="K88" s="1284">
        <f t="shared" si="28"/>
        <v>0</v>
      </c>
      <c r="L88" s="1284">
        <v>0</v>
      </c>
      <c r="M88" s="1284">
        <f t="shared" si="29"/>
        <v>0</v>
      </c>
      <c r="N88" s="1284">
        <f t="shared" si="29"/>
        <v>0</v>
      </c>
      <c r="Z88" s="2715"/>
      <c r="AA88" s="2791"/>
      <c r="AG88" s="1371"/>
      <c r="AK88" s="2791"/>
    </row>
    <row r="90" spans="1:37">
      <c r="A90" s="3297" t="s">
        <v>2963</v>
      </c>
      <c r="B90" s="3297"/>
      <c r="C90" s="3297"/>
      <c r="D90" s="3297"/>
      <c r="E90" s="3297"/>
      <c r="F90" s="3297"/>
      <c r="G90" s="3297"/>
      <c r="H90" s="3297"/>
      <c r="I90" s="3297"/>
      <c r="J90" s="3297"/>
      <c r="K90" s="2887"/>
      <c r="L90" s="2887"/>
      <c r="M90" s="2887"/>
      <c r="N90" s="2887"/>
    </row>
    <row r="91" spans="1:37">
      <c r="A91" s="3299" t="s">
        <v>2964</v>
      </c>
      <c r="B91" s="3299" t="s">
        <v>2965</v>
      </c>
      <c r="C91" s="2841" t="s">
        <v>2966</v>
      </c>
      <c r="D91" s="2842"/>
      <c r="E91" s="2842"/>
      <c r="F91" s="2842"/>
      <c r="G91" s="2842"/>
      <c r="H91" s="2842"/>
      <c r="I91" s="2842"/>
      <c r="J91" s="2888"/>
      <c r="K91" s="2889"/>
      <c r="L91" s="2889"/>
      <c r="M91" s="2889"/>
      <c r="N91" s="2889"/>
    </row>
    <row r="92" spans="1:37">
      <c r="A92" s="3299"/>
      <c r="B92" s="3299"/>
      <c r="C92" s="944" t="s">
        <v>2830</v>
      </c>
      <c r="D92" s="944" t="s">
        <v>2831</v>
      </c>
      <c r="E92" s="944" t="s">
        <v>2832</v>
      </c>
      <c r="F92" s="944" t="s">
        <v>2833</v>
      </c>
      <c r="G92" s="944" t="s">
        <v>2834</v>
      </c>
      <c r="H92" s="944" t="s">
        <v>2835</v>
      </c>
      <c r="I92" s="944" t="s">
        <v>2836</v>
      </c>
      <c r="J92" s="944" t="s">
        <v>2837</v>
      </c>
      <c r="K92" s="944" t="s">
        <v>2838</v>
      </c>
      <c r="L92" s="944" t="s">
        <v>2839</v>
      </c>
      <c r="M92" s="944" t="s">
        <v>2840</v>
      </c>
      <c r="N92" s="944" t="s">
        <v>2841</v>
      </c>
    </row>
    <row r="93" spans="1:37">
      <c r="A93" s="3300" t="s">
        <v>2967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0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0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0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0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0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01"/>
      <c r="B99" s="2890" t="s">
        <v>2846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0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00" t="s">
        <v>2968</v>
      </c>
      <c r="B101" s="2894" t="s">
        <v>2969</v>
      </c>
      <c r="C101" s="2895">
        <f>$G$3</f>
        <v>3.99</v>
      </c>
      <c r="D101" s="2895">
        <f t="shared" ref="D101:N101" si="31">$G$3</f>
        <v>3.99</v>
      </c>
      <c r="E101" s="2895">
        <f t="shared" si="31"/>
        <v>3.99</v>
      </c>
      <c r="F101" s="2895">
        <f t="shared" si="31"/>
        <v>3.99</v>
      </c>
      <c r="G101" s="2895">
        <f t="shared" si="31"/>
        <v>3.99</v>
      </c>
      <c r="H101" s="2895">
        <f t="shared" si="31"/>
        <v>3.99</v>
      </c>
      <c r="I101" s="2895">
        <f t="shared" si="31"/>
        <v>3.99</v>
      </c>
      <c r="J101" s="2895">
        <f t="shared" si="31"/>
        <v>3.99</v>
      </c>
      <c r="K101" s="2895">
        <f t="shared" si="31"/>
        <v>3.99</v>
      </c>
      <c r="L101" s="2895">
        <f t="shared" si="31"/>
        <v>3.99</v>
      </c>
      <c r="M101" s="2895">
        <f t="shared" si="31"/>
        <v>3.99</v>
      </c>
      <c r="N101" s="2895">
        <f t="shared" si="31"/>
        <v>3.99</v>
      </c>
    </row>
    <row r="102" spans="1:14">
      <c r="A102" s="3301"/>
      <c r="B102" s="2890">
        <v>1</v>
      </c>
      <c r="C102" s="2891">
        <f>1.9362/C101</f>
        <v>0.48526315789473679</v>
      </c>
      <c r="D102" s="2891">
        <f>1.9362/D101</f>
        <v>0.48526315789473679</v>
      </c>
      <c r="E102" s="2891">
        <f>1.8629/E101</f>
        <v>0.46689223057644108</v>
      </c>
      <c r="F102" s="2891">
        <f>1.8629/F101</f>
        <v>0.46689223057644108</v>
      </c>
      <c r="G102" s="2891">
        <f>1.8629/G101</f>
        <v>0.46689223057644108</v>
      </c>
      <c r="H102" s="2891">
        <f>1.8629/H101</f>
        <v>0.46689223057644108</v>
      </c>
      <c r="I102" s="2891">
        <f>1.8629/I101</f>
        <v>0.46689223057644108</v>
      </c>
      <c r="J102" s="2891">
        <f>1.942/J101</f>
        <v>0.48671679197994983</v>
      </c>
      <c r="K102" s="2891">
        <f>1.942/K101</f>
        <v>0.48671679197994983</v>
      </c>
      <c r="L102" s="2891">
        <f>1.942/L101</f>
        <v>0.48671679197994983</v>
      </c>
      <c r="M102" s="2891">
        <f>1.942/M101</f>
        <v>0.48671679197994983</v>
      </c>
      <c r="N102" s="2891">
        <f>1.942/N101</f>
        <v>0.48671679197994983</v>
      </c>
    </row>
    <row r="103" spans="1:14">
      <c r="A103" s="3301"/>
      <c r="B103" s="2890">
        <v>2</v>
      </c>
      <c r="C103" s="2891">
        <f>1.4198/C101</f>
        <v>0.35583959899749368</v>
      </c>
      <c r="D103" s="2891">
        <f>1.4198/D101</f>
        <v>0.35583959899749368</v>
      </c>
      <c r="E103" s="2891">
        <f>1.3372/E101</f>
        <v>0.33513784461152879</v>
      </c>
      <c r="F103" s="2891">
        <f>1.3372/F101</f>
        <v>0.33513784461152879</v>
      </c>
      <c r="G103" s="2891">
        <f>1.3372/G101</f>
        <v>0.33513784461152879</v>
      </c>
      <c r="H103" s="2891">
        <f>1.3372/H101</f>
        <v>0.33513784461152879</v>
      </c>
      <c r="I103" s="2891">
        <f>1.3372/I101</f>
        <v>0.33513784461152879</v>
      </c>
      <c r="J103" s="2891">
        <f>1.2799/J101</f>
        <v>0.32077694235588972</v>
      </c>
      <c r="K103" s="2891">
        <f>1.2799/K101</f>
        <v>0.32077694235588972</v>
      </c>
      <c r="L103" s="2891">
        <f>1.2799/L101</f>
        <v>0.32077694235588972</v>
      </c>
      <c r="M103" s="2891">
        <f>1.2799/M101</f>
        <v>0.32077694235588972</v>
      </c>
      <c r="N103" s="2891">
        <f>1.2799/N101</f>
        <v>0.32077694235588972</v>
      </c>
    </row>
    <row r="104" spans="1:14">
      <c r="A104" s="3301"/>
      <c r="B104" s="2890">
        <v>3</v>
      </c>
      <c r="C104" s="2891">
        <f>1.1594/C101</f>
        <v>0.29057644110275688</v>
      </c>
      <c r="D104" s="2891">
        <f>1.1594/D101</f>
        <v>0.29057644110275688</v>
      </c>
      <c r="E104" s="2891">
        <f>1.0788/E101</f>
        <v>0.27037593984962405</v>
      </c>
      <c r="F104" s="2891">
        <f>1.0788/F101</f>
        <v>0.27037593984962405</v>
      </c>
      <c r="G104" s="2891">
        <f>1.0788/G101</f>
        <v>0.27037593984962405</v>
      </c>
      <c r="H104" s="2891">
        <f>1.0788/H101</f>
        <v>0.27037593984962405</v>
      </c>
      <c r="I104" s="2891">
        <f>1.0788/I101</f>
        <v>0.27037593984962405</v>
      </c>
      <c r="J104" s="2891">
        <f>1.0072/J101</f>
        <v>0.25243107769423562</v>
      </c>
      <c r="K104" s="2891">
        <f>1.0072/K101</f>
        <v>0.25243107769423562</v>
      </c>
      <c r="L104" s="2891">
        <f>1.0072/L101</f>
        <v>0.25243107769423562</v>
      </c>
      <c r="M104" s="2891">
        <f>1.0072/M101</f>
        <v>0.25243107769423562</v>
      </c>
      <c r="N104" s="2891">
        <f>1.0072/N101</f>
        <v>0.25243107769423562</v>
      </c>
    </row>
    <row r="105" spans="1:14">
      <c r="A105" s="3301"/>
      <c r="B105" s="2890">
        <v>4</v>
      </c>
      <c r="C105" s="2891">
        <f>0.9622/C101</f>
        <v>0.24115288220551379</v>
      </c>
      <c r="D105" s="2891">
        <f>0.9622/D101</f>
        <v>0.24115288220551379</v>
      </c>
      <c r="E105" s="2891">
        <f>0.8656/E101</f>
        <v>0.2169423558897243</v>
      </c>
      <c r="F105" s="2891">
        <f>0.8656/F101</f>
        <v>0.2169423558897243</v>
      </c>
      <c r="G105" s="2891">
        <f>0.8656/G101</f>
        <v>0.2169423558897243</v>
      </c>
      <c r="H105" s="2891">
        <f>0.8656/H101</f>
        <v>0.2169423558897243</v>
      </c>
      <c r="I105" s="2891">
        <f>0.8656/I101</f>
        <v>0.2169423558897243</v>
      </c>
      <c r="J105" s="2891">
        <f>0.7525/J101</f>
        <v>0.18859649122807015</v>
      </c>
      <c r="K105" s="2891">
        <f>0.7525/K101</f>
        <v>0.18859649122807015</v>
      </c>
      <c r="L105" s="2891">
        <f>0.7525/L101</f>
        <v>0.18859649122807015</v>
      </c>
      <c r="M105" s="2891">
        <f>0.7525/M101</f>
        <v>0.18859649122807015</v>
      </c>
      <c r="N105" s="2891">
        <f>0.7525/N101</f>
        <v>0.18859649122807015</v>
      </c>
    </row>
    <row r="106" spans="1:14">
      <c r="A106" s="3301"/>
      <c r="B106" s="2890">
        <v>5</v>
      </c>
      <c r="C106" s="2891">
        <f>0.8417/C101</f>
        <v>0.21095238095238095</v>
      </c>
      <c r="D106" s="2891">
        <f>0.8417/D101</f>
        <v>0.21095238095238095</v>
      </c>
      <c r="E106" s="2891">
        <f>0.7371/E101</f>
        <v>0.18473684210526314</v>
      </c>
      <c r="F106" s="2891">
        <f>0.7371/F101</f>
        <v>0.18473684210526314</v>
      </c>
      <c r="G106" s="2891">
        <f>0.7371/G101</f>
        <v>0.18473684210526314</v>
      </c>
      <c r="H106" s="2891">
        <f>0.7371/H101</f>
        <v>0.18473684210526314</v>
      </c>
      <c r="I106" s="2891">
        <f>0.7371/I101</f>
        <v>0.18473684210526314</v>
      </c>
      <c r="J106" s="2891">
        <f>0.5659/J101</f>
        <v>0.14182957393483708</v>
      </c>
      <c r="K106" s="2891">
        <f>0.5659/K101</f>
        <v>0.14182957393483708</v>
      </c>
      <c r="L106" s="2891">
        <f>0.5659/L101</f>
        <v>0.14182957393483708</v>
      </c>
      <c r="M106" s="2891">
        <f>0.5659/M101</f>
        <v>0.14182957393483708</v>
      </c>
      <c r="N106" s="2891">
        <f>0.5659/N101</f>
        <v>0.14182957393483708</v>
      </c>
    </row>
    <row r="107" spans="1:14">
      <c r="A107" s="3301"/>
      <c r="B107" s="2890">
        <v>6</v>
      </c>
      <c r="C107" s="2891">
        <f>0.7608/C101</f>
        <v>0.19067669172932331</v>
      </c>
      <c r="D107" s="2891">
        <f>0.7608/D101</f>
        <v>0.19067669172932331</v>
      </c>
      <c r="E107" s="2891">
        <f>0.6482/E101</f>
        <v>0.16245614035087719</v>
      </c>
      <c r="F107" s="2891">
        <f>0.6482/F101</f>
        <v>0.16245614035087719</v>
      </c>
      <c r="G107" s="2891">
        <f>0.6482/G101</f>
        <v>0.16245614035087719</v>
      </c>
      <c r="H107" s="2891">
        <f>0.6482/H101</f>
        <v>0.16245614035087719</v>
      </c>
      <c r="I107" s="2891">
        <f>0.6482/I101</f>
        <v>0.16245614035087719</v>
      </c>
      <c r="J107" s="2891">
        <f>0.4525/J101</f>
        <v>0.11340852130325814</v>
      </c>
      <c r="K107" s="2891">
        <f>0.4525/K101</f>
        <v>0.11340852130325814</v>
      </c>
      <c r="L107" s="2891">
        <f>0.4525/L101</f>
        <v>0.11340852130325814</v>
      </c>
      <c r="M107" s="2891">
        <f>0.4525/M101</f>
        <v>0.11340852130325814</v>
      </c>
      <c r="N107" s="2891">
        <f>0.4525/N101</f>
        <v>0.11340852130325814</v>
      </c>
    </row>
    <row r="108" spans="1:14">
      <c r="A108" s="3301"/>
      <c r="B108" s="3123" t="s">
        <v>2970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02"/>
      <c r="B109" s="3124"/>
      <c r="C109" s="2893">
        <f>(-0.163*(C108^2)-0.59*C108+7617)*(10^(-4))/C101</f>
        <v>0.19090225563909774</v>
      </c>
      <c r="D109" s="2893">
        <f>(-0.163*(D108^2)-0.59*D108+7617)*(10^(-4))/D101</f>
        <v>0.19090225563909774</v>
      </c>
      <c r="E109" s="2893">
        <f>(-0.161*(E108^2)-7.509*E108+6533)*(10^(-4))/E101</f>
        <v>0.16373433583959898</v>
      </c>
      <c r="F109" s="2893">
        <f>(-0.161*(F108^2)-7.509*F108+6533)*(10^(-4))/F101</f>
        <v>0.16373433583959898</v>
      </c>
      <c r="G109" s="2893">
        <f>(-0.161*(G108^2)-7.509*G108+6533)*(10^(-4))/G101</f>
        <v>0.16373433583959898</v>
      </c>
      <c r="H109" s="2893">
        <f>(-0.161*(H108^2)-7.509*H108+6533)*(10^(-4))/H101</f>
        <v>0.16373433583959898</v>
      </c>
      <c r="I109" s="2893">
        <f>(-0.161*(I108^2)-7.509*I108+6533)*(10^(-4))/I101</f>
        <v>0.16373433583959898</v>
      </c>
      <c r="J109" s="2893">
        <f>(-0.214*(J108^2)-21.991*J108+4665)*(10^(-4))/J101</f>
        <v>0.11691729323308271</v>
      </c>
      <c r="K109" s="2893">
        <f>(-0.214*(K108^2)-21.991*K108+4665)*(10^(-4))/K101</f>
        <v>0.11691729323308271</v>
      </c>
      <c r="L109" s="2893">
        <f>(-0.214*(L108^2)-21.991*L108+4665)*(10^(-4))/L101</f>
        <v>0.11691729323308271</v>
      </c>
      <c r="M109" s="2893">
        <f>(-0.214*(M108^2)-21.991*M108+4665)*(10^(-4))/M101</f>
        <v>0.11691729323308271</v>
      </c>
      <c r="N109" s="2893">
        <f>(-0.214*(N108^2)-21.991*N108+4665)*(10^(-4))/N101</f>
        <v>0.11691729323308271</v>
      </c>
    </row>
    <row r="110" spans="1:14">
      <c r="A110" s="3298" t="s">
        <v>2971</v>
      </c>
      <c r="B110" s="3298"/>
      <c r="C110" s="3298"/>
      <c r="D110" s="3298"/>
      <c r="E110" s="3298"/>
      <c r="F110" s="3298"/>
      <c r="G110" s="3298"/>
      <c r="H110" s="3298"/>
      <c r="I110" s="3298"/>
      <c r="J110" s="3298"/>
      <c r="K110" s="2896"/>
      <c r="L110" s="2896"/>
      <c r="M110" s="2896"/>
      <c r="N110" s="2896"/>
    </row>
    <row r="112" spans="1:14" ht="13.5" thickBot="1"/>
    <row r="113" spans="1:13" ht="25.5" thickBot="1">
      <c r="A113" s="902" t="s">
        <v>2972</v>
      </c>
      <c r="B113" s="1286">
        <f>G3</f>
        <v>3.99</v>
      </c>
      <c r="C113" s="903" t="s">
        <v>2973</v>
      </c>
      <c r="D113" s="904">
        <f>SUMPRODUCT((A115:A118=F113)*(B114:M114=H113)*B115:M118)</f>
        <v>0</v>
      </c>
      <c r="E113" s="2719" t="s">
        <v>2803</v>
      </c>
      <c r="F113" s="2898">
        <f>E2</f>
        <v>0</v>
      </c>
      <c r="G113" s="2719" t="s">
        <v>2804</v>
      </c>
      <c r="H113" s="2898">
        <f>G2</f>
        <v>0</v>
      </c>
      <c r="I113" s="2719"/>
      <c r="J113" s="2899"/>
      <c r="K113" s="2899"/>
      <c r="L113" s="2899"/>
      <c r="M113" s="2899"/>
    </row>
    <row r="114" spans="1:13">
      <c r="A114" s="907"/>
      <c r="B114" s="2900" t="s">
        <v>2974</v>
      </c>
      <c r="C114" s="2900" t="s">
        <v>2975</v>
      </c>
      <c r="D114" s="2900" t="s">
        <v>2976</v>
      </c>
      <c r="E114" s="2901" t="s">
        <v>2977</v>
      </c>
      <c r="F114" s="2901" t="s">
        <v>2978</v>
      </c>
      <c r="G114" s="2901" t="s">
        <v>2979</v>
      </c>
      <c r="H114" s="2902" t="s">
        <v>2980</v>
      </c>
      <c r="I114" s="2902" t="s">
        <v>2981</v>
      </c>
      <c r="J114" s="2903" t="s">
        <v>2982</v>
      </c>
      <c r="K114" s="2903" t="s">
        <v>2983</v>
      </c>
      <c r="L114" s="2903" t="s">
        <v>2984</v>
      </c>
      <c r="M114" s="2904" t="s">
        <v>2985</v>
      </c>
    </row>
    <row r="115" spans="1:13">
      <c r="A115" s="908" t="s">
        <v>2868</v>
      </c>
      <c r="B115" s="909">
        <f>ROUND(0.9335-0.0094*B113,4)</f>
        <v>0.89600000000000002</v>
      </c>
      <c r="C115" s="909">
        <f>B115</f>
        <v>0.89600000000000002</v>
      </c>
      <c r="D115" s="909">
        <f>ROUND(0.8331-0.0109*B113,4)</f>
        <v>0.78959999999999997</v>
      </c>
      <c r="E115" s="909">
        <f>D115</f>
        <v>0.78959999999999997</v>
      </c>
      <c r="F115" s="909">
        <f>E115</f>
        <v>0.78959999999999997</v>
      </c>
      <c r="G115" s="909">
        <f>F115</f>
        <v>0.78959999999999997</v>
      </c>
      <c r="H115" s="909">
        <f>G115</f>
        <v>0.78959999999999997</v>
      </c>
      <c r="I115" s="909">
        <f>ROUND(0.689-0.0155*B113,4)</f>
        <v>0.62719999999999998</v>
      </c>
      <c r="J115" s="909">
        <f t="shared" ref="J115:M118" si="33">I115</f>
        <v>0.62719999999999998</v>
      </c>
      <c r="K115" s="909">
        <f t="shared" si="33"/>
        <v>0.62719999999999998</v>
      </c>
      <c r="L115" s="909">
        <f t="shared" si="33"/>
        <v>0.62719999999999998</v>
      </c>
      <c r="M115" s="910">
        <f t="shared" si="33"/>
        <v>0.62719999999999998</v>
      </c>
    </row>
    <row r="116" spans="1:13">
      <c r="A116" s="908" t="s">
        <v>2869</v>
      </c>
      <c r="B116" s="909">
        <f>ROUND(0.949-0.012*B113,4)</f>
        <v>0.90110000000000001</v>
      </c>
      <c r="C116" s="909">
        <f>B116</f>
        <v>0.90110000000000001</v>
      </c>
      <c r="D116" s="909">
        <f>ROUND(0.8567-0.013*B113,4)</f>
        <v>0.80479999999999996</v>
      </c>
      <c r="E116" s="909">
        <f t="shared" ref="E116:H117" si="34">D116</f>
        <v>0.80479999999999996</v>
      </c>
      <c r="F116" s="909">
        <f t="shared" si="34"/>
        <v>0.80479999999999996</v>
      </c>
      <c r="G116" s="909">
        <f t="shared" si="34"/>
        <v>0.80479999999999996</v>
      </c>
      <c r="H116" s="909">
        <f t="shared" si="34"/>
        <v>0.80479999999999996</v>
      </c>
      <c r="I116" s="909">
        <f>ROUND(0.7694-0.014*B113,4)</f>
        <v>0.71350000000000002</v>
      </c>
      <c r="J116" s="909">
        <f t="shared" si="33"/>
        <v>0.71350000000000002</v>
      </c>
      <c r="K116" s="909">
        <f t="shared" si="33"/>
        <v>0.71350000000000002</v>
      </c>
      <c r="L116" s="909">
        <f t="shared" si="33"/>
        <v>0.71350000000000002</v>
      </c>
      <c r="M116" s="910">
        <f t="shared" si="33"/>
        <v>0.71350000000000002</v>
      </c>
    </row>
    <row r="117" spans="1:13">
      <c r="A117" s="908" t="s">
        <v>2870</v>
      </c>
      <c r="B117" s="909">
        <f>ROUND(0.8808-0.006*B113,4)</f>
        <v>0.8569</v>
      </c>
      <c r="C117" s="909">
        <f>B117</f>
        <v>0.8569</v>
      </c>
      <c r="D117" s="909">
        <f>ROUND(0.8748-0.008*B113,4)</f>
        <v>0.84289999999999998</v>
      </c>
      <c r="E117" s="909">
        <f t="shared" si="34"/>
        <v>0.84289999999999998</v>
      </c>
      <c r="F117" s="909">
        <f t="shared" si="34"/>
        <v>0.84289999999999998</v>
      </c>
      <c r="G117" s="909">
        <f t="shared" si="34"/>
        <v>0.84289999999999998</v>
      </c>
      <c r="H117" s="909">
        <f t="shared" si="34"/>
        <v>0.84289999999999998</v>
      </c>
      <c r="I117" s="909">
        <f>ROUND(0.7412-0.0095*B113,4)</f>
        <v>0.70330000000000004</v>
      </c>
      <c r="J117" s="909">
        <f t="shared" si="33"/>
        <v>0.70330000000000004</v>
      </c>
      <c r="K117" s="909">
        <f t="shared" si="33"/>
        <v>0.70330000000000004</v>
      </c>
      <c r="L117" s="909">
        <f t="shared" si="33"/>
        <v>0.70330000000000004</v>
      </c>
      <c r="M117" s="910">
        <f t="shared" si="33"/>
        <v>0.70330000000000004</v>
      </c>
    </row>
    <row r="118" spans="1:13" ht="13.5" thickBot="1">
      <c r="A118" s="713" t="s">
        <v>2871</v>
      </c>
      <c r="B118" s="911">
        <f>ROUND(0.7275-0.01*B113,4)</f>
        <v>0.68759999999999999</v>
      </c>
      <c r="C118" s="911">
        <f>B118</f>
        <v>0.68759999999999999</v>
      </c>
      <c r="D118" s="911">
        <f>ROUND(0.7043-0.012*B113,4)</f>
        <v>0.65639999999999998</v>
      </c>
      <c r="E118" s="911">
        <f>D118</f>
        <v>0.65639999999999998</v>
      </c>
      <c r="F118" s="911">
        <f>E118</f>
        <v>0.65639999999999998</v>
      </c>
      <c r="G118" s="911">
        <f>ROUND(0.6299-0.0122*B113,4)</f>
        <v>0.58120000000000005</v>
      </c>
      <c r="H118" s="911">
        <f>G118</f>
        <v>0.58120000000000005</v>
      </c>
      <c r="I118" s="911">
        <f>ROUND(0.5667-0.0136*B113,4)</f>
        <v>0.51239999999999997</v>
      </c>
      <c r="J118" s="911">
        <f t="shared" si="33"/>
        <v>0.51239999999999997</v>
      </c>
      <c r="K118" s="911">
        <f t="shared" si="33"/>
        <v>0.51239999999999997</v>
      </c>
      <c r="L118" s="911">
        <f t="shared" si="33"/>
        <v>0.51239999999999997</v>
      </c>
      <c r="M118" s="912">
        <f t="shared" si="33"/>
        <v>0.51239999999999997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5" t="s">
        <v>183</v>
      </c>
      <c r="B18" s="881" t="s">
        <v>560</v>
      </c>
      <c r="C18" s="882" t="s">
        <v>561</v>
      </c>
      <c r="D18" s="883"/>
      <c r="E18" s="881">
        <v>1</v>
      </c>
      <c r="F18" s="884" t="s">
        <v>562</v>
      </c>
      <c r="G18" s="885"/>
      <c r="H18" s="877"/>
      <c r="I18" s="877"/>
    </row>
    <row r="19" spans="1:9" s="886" customFormat="1" ht="19.5" customHeight="1">
      <c r="A19" s="3315"/>
      <c r="B19" s="3315" t="s">
        <v>563</v>
      </c>
      <c r="C19" s="882" t="s">
        <v>564</v>
      </c>
      <c r="D19" s="883"/>
      <c r="E19" s="881">
        <v>0.9</v>
      </c>
      <c r="F19" s="884" t="s">
        <v>565</v>
      </c>
      <c r="G19" s="885"/>
      <c r="H19" s="877"/>
      <c r="I19" s="877"/>
    </row>
    <row r="20" spans="1:9" s="886" customFormat="1" ht="19.5" customHeight="1">
      <c r="A20" s="3315"/>
      <c r="B20" s="3315"/>
      <c r="C20" s="882" t="s">
        <v>566</v>
      </c>
      <c r="D20" s="883"/>
      <c r="E20" s="881">
        <v>1.1000000000000001</v>
      </c>
      <c r="F20" s="884" t="s">
        <v>567</v>
      </c>
      <c r="G20" s="885"/>
      <c r="H20" s="877"/>
      <c r="I20" s="877"/>
    </row>
    <row r="21" spans="1:9" s="886" customFormat="1" ht="19.5" customHeight="1">
      <c r="A21" s="3315"/>
      <c r="B21" s="3315"/>
      <c r="C21" s="882" t="s">
        <v>568</v>
      </c>
      <c r="D21" s="883"/>
      <c r="E21" s="881">
        <v>0.8</v>
      </c>
      <c r="F21" s="884" t="s">
        <v>569</v>
      </c>
      <c r="G21" s="885"/>
      <c r="H21" s="877"/>
      <c r="I21" s="877"/>
    </row>
    <row r="22" spans="1:9" s="886" customFormat="1" ht="19.5" customHeight="1">
      <c r="A22" s="3315"/>
      <c r="B22" s="3315"/>
      <c r="C22" s="882" t="s">
        <v>570</v>
      </c>
      <c r="D22" s="883"/>
      <c r="E22" s="881">
        <v>0.5</v>
      </c>
      <c r="F22" s="884"/>
      <c r="G22" s="885"/>
      <c r="H22" s="877"/>
      <c r="I22" s="877"/>
    </row>
    <row r="23" spans="1:9" s="886" customFormat="1" ht="19.5" customHeight="1">
      <c r="A23" s="3315" t="s">
        <v>184</v>
      </c>
      <c r="B23" s="881" t="s">
        <v>560</v>
      </c>
      <c r="C23" s="882" t="s">
        <v>571</v>
      </c>
      <c r="D23" s="883"/>
      <c r="E23" s="881">
        <v>1</v>
      </c>
      <c r="F23" s="884" t="s">
        <v>572</v>
      </c>
      <c r="G23" s="885"/>
      <c r="H23" s="877"/>
      <c r="I23" s="877"/>
    </row>
    <row r="24" spans="1:9" s="886" customFormat="1" ht="19.5" customHeight="1">
      <c r="A24" s="3315"/>
      <c r="B24" s="3315" t="s">
        <v>563</v>
      </c>
      <c r="C24" s="882" t="s">
        <v>573</v>
      </c>
      <c r="D24" s="883"/>
      <c r="E24" s="881">
        <v>0.5</v>
      </c>
      <c r="F24" s="884"/>
      <c r="G24" s="885"/>
      <c r="H24" s="877"/>
      <c r="I24" s="877"/>
    </row>
    <row r="25" spans="1:9" s="886" customFormat="1" ht="19.5" customHeight="1">
      <c r="A25" s="3315"/>
      <c r="B25" s="3315"/>
      <c r="C25" s="882" t="s">
        <v>574</v>
      </c>
      <c r="D25" s="883"/>
      <c r="E25" s="881">
        <v>1.1000000000000001</v>
      </c>
      <c r="F25" s="884"/>
      <c r="G25" s="885"/>
      <c r="H25" s="877"/>
      <c r="I25" s="877"/>
    </row>
    <row r="26" spans="1:9" s="886" customFormat="1" ht="19.5" customHeight="1">
      <c r="A26" s="3315"/>
      <c r="B26" s="3315"/>
      <c r="C26" s="882" t="s">
        <v>575</v>
      </c>
      <c r="D26" s="883"/>
      <c r="E26" s="881">
        <v>1.1000000000000001</v>
      </c>
      <c r="F26" s="884"/>
      <c r="G26" s="885"/>
      <c r="H26" s="877"/>
      <c r="I26" s="877"/>
    </row>
    <row r="27" spans="1:9" s="886" customFormat="1" ht="19.5" customHeight="1">
      <c r="A27" s="3315"/>
      <c r="B27" s="3315"/>
      <c r="C27" s="882" t="s">
        <v>576</v>
      </c>
      <c r="D27" s="883"/>
      <c r="E27" s="881">
        <v>0.9</v>
      </c>
      <c r="F27" s="884" t="s">
        <v>577</v>
      </c>
      <c r="G27" s="885"/>
      <c r="H27" s="877"/>
      <c r="I27" s="877"/>
    </row>
    <row r="28" spans="1:9" s="886" customFormat="1" ht="19.5" customHeight="1">
      <c r="A28" s="3315"/>
      <c r="B28" s="3315"/>
      <c r="C28" s="882" t="s">
        <v>578</v>
      </c>
      <c r="D28" s="883"/>
      <c r="E28" s="881">
        <v>0.9</v>
      </c>
      <c r="F28" s="884" t="s">
        <v>579</v>
      </c>
      <c r="G28" s="885"/>
      <c r="H28" s="877"/>
      <c r="I28" s="877"/>
    </row>
    <row r="29" spans="1:9" s="886" customFormat="1" ht="19.5" customHeight="1">
      <c r="A29" s="3315"/>
      <c r="B29" s="3315"/>
      <c r="C29" s="882" t="s">
        <v>580</v>
      </c>
      <c r="D29" s="883"/>
      <c r="E29" s="881">
        <v>0.9</v>
      </c>
      <c r="F29" s="884" t="s">
        <v>581</v>
      </c>
      <c r="G29" s="885"/>
      <c r="H29" s="877"/>
      <c r="I29" s="877"/>
    </row>
    <row r="30" spans="1:9" s="886" customFormat="1" ht="19.5" customHeight="1">
      <c r="A30" s="3315"/>
      <c r="B30" s="3315"/>
      <c r="C30" s="882" t="s">
        <v>582</v>
      </c>
      <c r="D30" s="883"/>
      <c r="E30" s="881">
        <v>0.9</v>
      </c>
      <c r="F30" s="884" t="s">
        <v>583</v>
      </c>
      <c r="G30" s="885"/>
      <c r="H30" s="877"/>
      <c r="I30" s="877"/>
    </row>
    <row r="31" spans="1:9" s="886" customFormat="1" ht="19.5" customHeight="1">
      <c r="A31" s="3315"/>
      <c r="B31" s="3315"/>
      <c r="C31" s="882" t="s">
        <v>584</v>
      </c>
      <c r="D31" s="883"/>
      <c r="E31" s="881">
        <v>0.8</v>
      </c>
      <c r="F31" s="884" t="s">
        <v>585</v>
      </c>
      <c r="G31" s="885"/>
      <c r="H31" s="877"/>
      <c r="I31" s="877"/>
    </row>
    <row r="32" spans="1:9" s="886" customFormat="1" ht="19.5" customHeight="1">
      <c r="A32" s="3315"/>
      <c r="B32" s="3315"/>
      <c r="C32" s="882" t="s">
        <v>586</v>
      </c>
      <c r="D32" s="883"/>
      <c r="E32" s="881">
        <v>0.8</v>
      </c>
      <c r="F32" s="884" t="s">
        <v>587</v>
      </c>
      <c r="G32" s="885"/>
      <c r="H32" s="877"/>
      <c r="I32" s="877"/>
    </row>
    <row r="33" spans="1:9" s="886" customFormat="1" ht="19.5" customHeight="1">
      <c r="A33" s="3315" t="s">
        <v>185</v>
      </c>
      <c r="B33" s="881" t="s">
        <v>560</v>
      </c>
      <c r="C33" s="882" t="s">
        <v>588</v>
      </c>
      <c r="D33" s="883"/>
      <c r="E33" s="881">
        <v>1</v>
      </c>
      <c r="F33" s="884" t="s">
        <v>589</v>
      </c>
      <c r="G33" s="885"/>
      <c r="H33" s="877"/>
      <c r="I33" s="877"/>
    </row>
    <row r="34" spans="1:9" s="886" customFormat="1" ht="19.5" customHeight="1">
      <c r="A34" s="3315"/>
      <c r="B34" s="881" t="s">
        <v>563</v>
      </c>
      <c r="C34" s="882" t="s">
        <v>590</v>
      </c>
      <c r="D34" s="883"/>
      <c r="E34" s="881">
        <v>1.5</v>
      </c>
      <c r="F34" s="884" t="s">
        <v>591</v>
      </c>
      <c r="G34" s="885"/>
      <c r="H34" s="877"/>
      <c r="I34" s="877"/>
    </row>
    <row r="35" spans="1:9" s="886" customFormat="1" ht="19.5" customHeight="1">
      <c r="A35" s="3315" t="s">
        <v>186</v>
      </c>
      <c r="B35" s="881" t="s">
        <v>560</v>
      </c>
      <c r="C35" s="882" t="s">
        <v>592</v>
      </c>
      <c r="D35" s="883"/>
      <c r="E35" s="881">
        <v>1</v>
      </c>
      <c r="F35" s="884" t="s">
        <v>593</v>
      </c>
      <c r="G35" s="885"/>
      <c r="H35" s="877"/>
      <c r="I35" s="877"/>
    </row>
    <row r="36" spans="1:9" s="886" customFormat="1" ht="19.5" customHeight="1">
      <c r="A36" s="3315"/>
      <c r="B36" s="3315" t="s">
        <v>563</v>
      </c>
      <c r="C36" s="882" t="s">
        <v>594</v>
      </c>
      <c r="D36" s="883"/>
      <c r="E36" s="881">
        <v>1</v>
      </c>
      <c r="F36" s="884" t="s">
        <v>595</v>
      </c>
      <c r="G36" s="885"/>
      <c r="H36" s="877"/>
      <c r="I36" s="877"/>
    </row>
    <row r="37" spans="1:9" s="886" customFormat="1" ht="19.5" customHeight="1">
      <c r="A37" s="3315"/>
      <c r="B37" s="3315"/>
      <c r="C37" s="882" t="s">
        <v>596</v>
      </c>
      <c r="D37" s="883"/>
      <c r="E37" s="881">
        <v>1.5</v>
      </c>
      <c r="F37" s="884" t="s">
        <v>597</v>
      </c>
      <c r="G37" s="885"/>
      <c r="H37" s="877"/>
      <c r="I37" s="877"/>
    </row>
    <row r="38" spans="1:9" s="886" customFormat="1" ht="19.5" customHeight="1">
      <c r="A38" s="3315"/>
      <c r="B38" s="3315"/>
      <c r="C38" s="882" t="s">
        <v>598</v>
      </c>
      <c r="D38" s="883"/>
      <c r="E38" s="881">
        <v>1</v>
      </c>
      <c r="F38" s="884" t="s">
        <v>599</v>
      </c>
      <c r="G38" s="885"/>
      <c r="H38" s="877"/>
      <c r="I38" s="877"/>
    </row>
    <row r="39" spans="1:9" s="886" customFormat="1" ht="19.5" customHeight="1">
      <c r="A39" s="3315"/>
      <c r="B39" s="331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5" t="s">
        <v>614</v>
      </c>
      <c r="C61" s="817" t="s">
        <v>615</v>
      </c>
      <c r="D61" s="817" t="s">
        <v>616</v>
      </c>
      <c r="E61" s="894">
        <v>0.5</v>
      </c>
      <c r="F61" s="881">
        <v>80</v>
      </c>
    </row>
    <row r="62" spans="1:8" s="877" customFormat="1" ht="24">
      <c r="A62" s="881">
        <v>2</v>
      </c>
      <c r="B62" s="3315"/>
      <c r="C62" s="817" t="s">
        <v>617</v>
      </c>
      <c r="D62" s="817" t="s">
        <v>618</v>
      </c>
      <c r="E62" s="894">
        <v>0.5</v>
      </c>
      <c r="F62" s="881">
        <v>80</v>
      </c>
    </row>
    <row r="63" spans="1:8" s="877" customFormat="1" ht="36">
      <c r="A63" s="881">
        <v>3</v>
      </c>
      <c r="B63" s="3315"/>
      <c r="C63" s="817" t="s">
        <v>619</v>
      </c>
      <c r="D63" s="817" t="s">
        <v>620</v>
      </c>
      <c r="E63" s="894">
        <v>0.5</v>
      </c>
      <c r="F63" s="881">
        <v>80</v>
      </c>
    </row>
    <row r="64" spans="1:8" s="877" customFormat="1" ht="36">
      <c r="A64" s="881">
        <v>4</v>
      </c>
      <c r="B64" s="3315"/>
      <c r="C64" s="817" t="s">
        <v>621</v>
      </c>
      <c r="D64" s="817" t="s">
        <v>622</v>
      </c>
      <c r="E64" s="894">
        <v>0.4</v>
      </c>
      <c r="F64" s="881">
        <v>60</v>
      </c>
    </row>
    <row r="65" spans="1:6" s="877" customFormat="1" ht="36">
      <c r="A65" s="881">
        <v>5</v>
      </c>
      <c r="B65" s="3315"/>
      <c r="C65" s="817" t="s">
        <v>623</v>
      </c>
      <c r="D65" s="817" t="s">
        <v>624</v>
      </c>
      <c r="E65" s="894">
        <v>0.2</v>
      </c>
      <c r="F65" s="881">
        <v>30</v>
      </c>
    </row>
    <row r="66" spans="1:6" s="877" customFormat="1" ht="36">
      <c r="A66" s="881">
        <v>6</v>
      </c>
      <c r="B66" s="3315"/>
      <c r="C66" s="817" t="s">
        <v>625</v>
      </c>
      <c r="D66" s="817" t="s">
        <v>626</v>
      </c>
      <c r="E66" s="894">
        <v>0.3</v>
      </c>
      <c r="F66" s="881">
        <v>50</v>
      </c>
    </row>
    <row r="67" spans="1:6" s="877" customFormat="1" ht="36">
      <c r="A67" s="881">
        <v>7</v>
      </c>
      <c r="B67" s="3315"/>
      <c r="C67" s="817" t="s">
        <v>627</v>
      </c>
      <c r="D67" s="817" t="s">
        <v>628</v>
      </c>
      <c r="E67" s="894">
        <v>0.2</v>
      </c>
      <c r="F67" s="881">
        <v>30</v>
      </c>
    </row>
    <row r="68" spans="1:6" s="877" customFormat="1" ht="36">
      <c r="A68" s="881">
        <v>8</v>
      </c>
      <c r="B68" s="3315"/>
      <c r="C68" s="817" t="s">
        <v>629</v>
      </c>
      <c r="D68" s="817" t="s">
        <v>630</v>
      </c>
      <c r="E68" s="894">
        <v>0.2</v>
      </c>
      <c r="F68" s="881">
        <v>30</v>
      </c>
    </row>
    <row r="69" spans="1:6" s="877" customFormat="1" ht="36">
      <c r="A69" s="881">
        <v>9</v>
      </c>
      <c r="B69" s="3315"/>
      <c r="C69" s="817" t="s">
        <v>631</v>
      </c>
      <c r="D69" s="817" t="s">
        <v>632</v>
      </c>
      <c r="E69" s="894">
        <v>0.2</v>
      </c>
      <c r="F69" s="881">
        <v>30</v>
      </c>
    </row>
    <row r="70" spans="1:6" s="877" customFormat="1" ht="48">
      <c r="A70" s="881">
        <v>10</v>
      </c>
      <c r="B70" s="3315"/>
      <c r="C70" s="817" t="s">
        <v>633</v>
      </c>
      <c r="D70" s="817" t="s">
        <v>634</v>
      </c>
      <c r="E70" s="894">
        <v>0.2</v>
      </c>
      <c r="F70" s="881">
        <v>30</v>
      </c>
    </row>
    <row r="71" spans="1:6" s="877" customFormat="1" ht="48">
      <c r="A71" s="881">
        <v>11</v>
      </c>
      <c r="B71" s="3315"/>
      <c r="C71" s="817" t="s">
        <v>635</v>
      </c>
      <c r="D71" s="817" t="s">
        <v>636</v>
      </c>
      <c r="E71" s="894">
        <v>0.2</v>
      </c>
      <c r="F71" s="881">
        <v>30</v>
      </c>
    </row>
    <row r="72" spans="1:6" s="877" customFormat="1" ht="36">
      <c r="A72" s="881">
        <v>12</v>
      </c>
      <c r="B72" s="3315"/>
      <c r="C72" s="817" t="s">
        <v>637</v>
      </c>
      <c r="D72" s="817" t="s">
        <v>638</v>
      </c>
      <c r="E72" s="894">
        <v>0.5</v>
      </c>
      <c r="F72" s="881">
        <v>80</v>
      </c>
    </row>
    <row r="73" spans="1:6" s="877" customFormat="1" ht="24">
      <c r="A73" s="881">
        <v>13</v>
      </c>
      <c r="B73" s="3315"/>
      <c r="C73" s="817" t="s">
        <v>639</v>
      </c>
      <c r="D73" s="817" t="s">
        <v>640</v>
      </c>
      <c r="E73" s="894">
        <v>0.4</v>
      </c>
      <c r="F73" s="881">
        <v>60</v>
      </c>
    </row>
    <row r="74" spans="1:6" s="877" customFormat="1" ht="24">
      <c r="A74" s="881">
        <v>14</v>
      </c>
      <c r="B74" s="3315"/>
      <c r="C74" s="817" t="s">
        <v>641</v>
      </c>
      <c r="D74" s="817" t="s">
        <v>642</v>
      </c>
      <c r="E74" s="894">
        <v>0.2</v>
      </c>
      <c r="F74" s="881">
        <v>30</v>
      </c>
    </row>
    <row r="75" spans="1:6" s="877" customFormat="1" ht="24">
      <c r="A75" s="881">
        <v>15</v>
      </c>
      <c r="B75" s="3315"/>
      <c r="C75" s="817" t="s">
        <v>643</v>
      </c>
      <c r="D75" s="817" t="s">
        <v>644</v>
      </c>
      <c r="E75" s="894">
        <v>0.2</v>
      </c>
      <c r="F75" s="881">
        <v>30</v>
      </c>
    </row>
    <row r="76" spans="1:6" s="877" customFormat="1" ht="24">
      <c r="A76" s="881">
        <v>16</v>
      </c>
      <c r="B76" s="3315" t="s">
        <v>645</v>
      </c>
      <c r="C76" s="817" t="s">
        <v>646</v>
      </c>
      <c r="D76" s="817" t="s">
        <v>647</v>
      </c>
      <c r="E76" s="894">
        <v>0.5</v>
      </c>
      <c r="F76" s="881">
        <v>80</v>
      </c>
    </row>
    <row r="77" spans="1:6" s="877" customFormat="1" ht="24">
      <c r="A77" s="881">
        <v>17</v>
      </c>
      <c r="B77" s="3315"/>
      <c r="C77" s="817" t="s">
        <v>648</v>
      </c>
      <c r="D77" s="817" t="s">
        <v>649</v>
      </c>
      <c r="E77" s="894">
        <v>0.5</v>
      </c>
      <c r="F77" s="881">
        <v>80</v>
      </c>
    </row>
    <row r="78" spans="1:6" s="877" customFormat="1" ht="24">
      <c r="A78" s="881">
        <v>18</v>
      </c>
      <c r="B78" s="3315"/>
      <c r="C78" s="817" t="s">
        <v>650</v>
      </c>
      <c r="D78" s="817" t="s">
        <v>651</v>
      </c>
      <c r="E78" s="894">
        <v>0.2</v>
      </c>
      <c r="F78" s="881">
        <v>30</v>
      </c>
    </row>
    <row r="79" spans="1:6" s="877" customFormat="1" ht="24">
      <c r="A79" s="881">
        <v>19</v>
      </c>
      <c r="B79" s="3315"/>
      <c r="C79" s="817" t="s">
        <v>652</v>
      </c>
      <c r="D79" s="817" t="s">
        <v>653</v>
      </c>
      <c r="E79" s="894">
        <v>0.5</v>
      </c>
      <c r="F79" s="881">
        <v>80</v>
      </c>
    </row>
    <row r="80" spans="1:6" s="877" customFormat="1" ht="36">
      <c r="A80" s="881">
        <v>20</v>
      </c>
      <c r="B80" s="3315"/>
      <c r="C80" s="817" t="s">
        <v>654</v>
      </c>
      <c r="D80" s="817" t="s">
        <v>655</v>
      </c>
      <c r="E80" s="894">
        <v>0.2</v>
      </c>
      <c r="F80" s="881">
        <v>30</v>
      </c>
    </row>
    <row r="81" spans="1:6" s="877" customFormat="1" ht="36">
      <c r="A81" s="881">
        <v>21</v>
      </c>
      <c r="B81" s="3315"/>
      <c r="C81" s="817" t="s">
        <v>656</v>
      </c>
      <c r="D81" s="817" t="s">
        <v>657</v>
      </c>
      <c r="E81" s="894">
        <v>0.2</v>
      </c>
      <c r="F81" s="881">
        <v>30</v>
      </c>
    </row>
    <row r="82" spans="1:6" s="877" customFormat="1" ht="48">
      <c r="A82" s="881">
        <v>22</v>
      </c>
      <c r="B82" s="3315"/>
      <c r="C82" s="817" t="s">
        <v>658</v>
      </c>
      <c r="D82" s="817" t="s">
        <v>659</v>
      </c>
      <c r="E82" s="894">
        <v>0.2</v>
      </c>
      <c r="F82" s="881">
        <v>30</v>
      </c>
    </row>
    <row r="83" spans="1:6" s="877" customFormat="1" ht="48">
      <c r="A83" s="881">
        <v>23</v>
      </c>
      <c r="B83" s="3315"/>
      <c r="C83" s="817" t="s">
        <v>660</v>
      </c>
      <c r="D83" s="817" t="s">
        <v>661</v>
      </c>
      <c r="E83" s="894">
        <v>0.2</v>
      </c>
      <c r="F83" s="881">
        <v>30</v>
      </c>
    </row>
    <row r="84" spans="1:6" s="877" customFormat="1" ht="36">
      <c r="A84" s="881">
        <v>24</v>
      </c>
      <c r="B84" s="3315"/>
      <c r="C84" s="817" t="s">
        <v>662</v>
      </c>
      <c r="D84" s="817" t="s">
        <v>663</v>
      </c>
      <c r="E84" s="894">
        <v>0.2</v>
      </c>
      <c r="F84" s="881">
        <v>30</v>
      </c>
    </row>
    <row r="85" spans="1:6" s="877" customFormat="1" ht="36">
      <c r="A85" s="881">
        <v>25</v>
      </c>
      <c r="B85" s="3315"/>
      <c r="C85" s="817" t="s">
        <v>664</v>
      </c>
      <c r="D85" s="817" t="s">
        <v>665</v>
      </c>
      <c r="E85" s="894">
        <v>0.5</v>
      </c>
      <c r="F85" s="881">
        <v>80</v>
      </c>
    </row>
    <row r="86" spans="1:6" s="877" customFormat="1" ht="36">
      <c r="A86" s="881">
        <v>26</v>
      </c>
      <c r="B86" s="3315"/>
      <c r="C86" s="817" t="s">
        <v>666</v>
      </c>
      <c r="D86" s="817" t="s">
        <v>667</v>
      </c>
      <c r="E86" s="894">
        <v>0.2</v>
      </c>
      <c r="F86" s="881">
        <v>30</v>
      </c>
    </row>
    <row r="87" spans="1:6" s="877" customFormat="1" ht="36">
      <c r="A87" s="881">
        <v>27</v>
      </c>
      <c r="B87" s="3315"/>
      <c r="C87" s="817" t="s">
        <v>668</v>
      </c>
      <c r="D87" s="817" t="s">
        <v>669</v>
      </c>
      <c r="E87" s="894">
        <v>0.2</v>
      </c>
      <c r="F87" s="881">
        <v>30</v>
      </c>
    </row>
    <row r="88" spans="1:6" s="877" customFormat="1" ht="36">
      <c r="A88" s="881">
        <v>28</v>
      </c>
      <c r="B88" s="3315"/>
      <c r="C88" s="817" t="s">
        <v>670</v>
      </c>
      <c r="D88" s="817" t="s">
        <v>671</v>
      </c>
      <c r="E88" s="894">
        <v>0.2</v>
      </c>
      <c r="F88" s="881">
        <v>30</v>
      </c>
    </row>
    <row r="89" spans="1:6" s="877" customFormat="1" ht="24">
      <c r="A89" s="881">
        <v>29</v>
      </c>
      <c r="B89" s="3315"/>
      <c r="C89" s="817" t="s">
        <v>672</v>
      </c>
      <c r="D89" s="817" t="s">
        <v>673</v>
      </c>
      <c r="E89" s="894">
        <v>0.2</v>
      </c>
      <c r="F89" s="881">
        <v>30</v>
      </c>
    </row>
    <row r="90" spans="1:6" s="877" customFormat="1" ht="24">
      <c r="A90" s="881">
        <v>30</v>
      </c>
      <c r="B90" s="3315"/>
      <c r="C90" s="817" t="s">
        <v>674</v>
      </c>
      <c r="D90" s="817" t="s">
        <v>675</v>
      </c>
      <c r="E90" s="894">
        <v>0.2</v>
      </c>
      <c r="F90" s="881">
        <v>30</v>
      </c>
    </row>
    <row r="91" spans="1:6" s="877" customFormat="1" ht="36">
      <c r="A91" s="881">
        <v>31</v>
      </c>
      <c r="B91" s="3315"/>
      <c r="C91" s="817" t="s">
        <v>676</v>
      </c>
      <c r="D91" s="817" t="s">
        <v>677</v>
      </c>
      <c r="E91" s="894">
        <v>0.2</v>
      </c>
      <c r="F91" s="881">
        <v>30</v>
      </c>
    </row>
    <row r="92" spans="1:6" s="877" customFormat="1" ht="24">
      <c r="A92" s="881">
        <v>32</v>
      </c>
      <c r="B92" s="3315" t="s">
        <v>678</v>
      </c>
      <c r="C92" s="881" t="s">
        <v>679</v>
      </c>
      <c r="D92" s="817" t="s">
        <v>680</v>
      </c>
      <c r="E92" s="894">
        <v>0.2</v>
      </c>
      <c r="F92" s="881">
        <v>30</v>
      </c>
    </row>
    <row r="93" spans="1:6" s="877" customFormat="1" ht="36">
      <c r="A93" s="881">
        <v>33</v>
      </c>
      <c r="B93" s="3315"/>
      <c r="C93" s="881" t="s">
        <v>681</v>
      </c>
      <c r="D93" s="817" t="s">
        <v>682</v>
      </c>
      <c r="E93" s="894">
        <v>0.2</v>
      </c>
      <c r="F93" s="881">
        <v>30</v>
      </c>
    </row>
    <row r="94" spans="1:6" s="877" customFormat="1" ht="48">
      <c r="A94" s="881">
        <v>34</v>
      </c>
      <c r="B94" s="3315"/>
      <c r="C94" s="881" t="s">
        <v>683</v>
      </c>
      <c r="D94" s="817" t="s">
        <v>684</v>
      </c>
      <c r="E94" s="894">
        <v>0.2</v>
      </c>
      <c r="F94" s="881">
        <v>30</v>
      </c>
    </row>
    <row r="95" spans="1:6" s="877" customFormat="1" ht="36">
      <c r="A95" s="881">
        <v>35</v>
      </c>
      <c r="B95" s="3315"/>
      <c r="C95" s="881" t="s">
        <v>685</v>
      </c>
      <c r="D95" s="817" t="s">
        <v>686</v>
      </c>
      <c r="E95" s="894">
        <v>0.2</v>
      </c>
      <c r="F95" s="881">
        <v>30</v>
      </c>
    </row>
    <row r="96" spans="1:6" s="877" customFormat="1" ht="48">
      <c r="A96" s="881">
        <v>36</v>
      </c>
      <c r="B96" s="3315"/>
      <c r="C96" s="817" t="s">
        <v>687</v>
      </c>
      <c r="D96" s="817" t="s">
        <v>688</v>
      </c>
      <c r="E96" s="894">
        <v>0.2</v>
      </c>
      <c r="F96" s="881">
        <v>30</v>
      </c>
    </row>
    <row r="97" spans="1:6" s="877" customFormat="1" ht="36">
      <c r="A97" s="881">
        <v>37</v>
      </c>
      <c r="B97" s="3315"/>
      <c r="C97" s="881" t="s">
        <v>689</v>
      </c>
      <c r="D97" s="817" t="s">
        <v>690</v>
      </c>
      <c r="E97" s="894">
        <v>0.2</v>
      </c>
      <c r="F97" s="881">
        <v>30</v>
      </c>
    </row>
    <row r="98" spans="1:6" s="877" customFormat="1" ht="36">
      <c r="A98" s="881">
        <v>38</v>
      </c>
      <c r="B98" s="3315"/>
      <c r="C98" s="881" t="s">
        <v>691</v>
      </c>
      <c r="D98" s="817" t="s">
        <v>692</v>
      </c>
      <c r="E98" s="894">
        <v>0.2</v>
      </c>
      <c r="F98" s="881">
        <v>30</v>
      </c>
    </row>
    <row r="99" spans="1:6" s="877" customFormat="1" ht="36">
      <c r="A99" s="881">
        <v>39</v>
      </c>
      <c r="B99" s="3315" t="s">
        <v>693</v>
      </c>
      <c r="C99" s="881" t="s">
        <v>694</v>
      </c>
      <c r="D99" s="817" t="s">
        <v>695</v>
      </c>
      <c r="E99" s="894">
        <v>0.3</v>
      </c>
      <c r="F99" s="881">
        <v>50</v>
      </c>
    </row>
    <row r="100" spans="1:6" s="877" customFormat="1" ht="24">
      <c r="A100" s="881">
        <v>40</v>
      </c>
      <c r="B100" s="3315"/>
      <c r="C100" s="881" t="s">
        <v>696</v>
      </c>
      <c r="D100" s="817" t="s">
        <v>697</v>
      </c>
      <c r="E100" s="894">
        <v>0.2</v>
      </c>
      <c r="F100" s="881">
        <v>30</v>
      </c>
    </row>
    <row r="101" spans="1:6" s="877" customFormat="1" ht="36">
      <c r="A101" s="881">
        <v>41</v>
      </c>
      <c r="B101" s="331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5" t="s">
        <v>708</v>
      </c>
      <c r="C105" s="881" t="s">
        <v>709</v>
      </c>
      <c r="D105" s="817" t="s">
        <v>710</v>
      </c>
      <c r="E105" s="894">
        <v>0.2</v>
      </c>
      <c r="F105" s="881">
        <v>30</v>
      </c>
    </row>
    <row r="106" spans="1:6" s="877" customFormat="1" ht="36">
      <c r="A106" s="881">
        <v>46</v>
      </c>
      <c r="B106" s="3315"/>
      <c r="C106" s="881" t="s">
        <v>711</v>
      </c>
      <c r="D106" s="817" t="s">
        <v>712</v>
      </c>
      <c r="E106" s="894">
        <v>0.2</v>
      </c>
      <c r="F106" s="881">
        <v>30</v>
      </c>
    </row>
    <row r="107" spans="1:6" s="877" customFormat="1" ht="36">
      <c r="A107" s="881">
        <v>47</v>
      </c>
      <c r="B107" s="3315" t="s">
        <v>713</v>
      </c>
      <c r="C107" s="881" t="s">
        <v>714</v>
      </c>
      <c r="D107" s="817" t="s">
        <v>715</v>
      </c>
      <c r="E107" s="894">
        <v>0.3</v>
      </c>
      <c r="F107" s="881">
        <v>50</v>
      </c>
    </row>
    <row r="108" spans="1:6" s="877" customFormat="1" ht="36">
      <c r="A108" s="881">
        <v>48</v>
      </c>
      <c r="B108" s="331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5" t="s">
        <v>724</v>
      </c>
      <c r="C111" s="881" t="s">
        <v>725</v>
      </c>
      <c r="D111" s="817" t="s">
        <v>726</v>
      </c>
      <c r="E111" s="894">
        <v>0.2</v>
      </c>
      <c r="F111" s="881">
        <v>30</v>
      </c>
    </row>
    <row r="112" spans="1:6" s="877" customFormat="1" ht="24">
      <c r="A112" s="881">
        <v>52</v>
      </c>
      <c r="B112" s="3315"/>
      <c r="C112" s="881" t="s">
        <v>727</v>
      </c>
      <c r="D112" s="817" t="s">
        <v>728</v>
      </c>
      <c r="E112" s="894">
        <v>0.2</v>
      </c>
      <c r="F112" s="881">
        <v>30</v>
      </c>
    </row>
    <row r="113" spans="1:6" s="877" customFormat="1" ht="24">
      <c r="A113" s="881">
        <v>53</v>
      </c>
      <c r="B113" s="331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5" t="s">
        <v>737</v>
      </c>
      <c r="C116" s="881" t="s">
        <v>738</v>
      </c>
      <c r="D116" s="817" t="s">
        <v>739</v>
      </c>
      <c r="E116" s="894">
        <v>0.2</v>
      </c>
      <c r="F116" s="881">
        <v>30</v>
      </c>
    </row>
    <row r="117" spans="1:6" ht="36">
      <c r="A117" s="881">
        <v>57</v>
      </c>
      <c r="B117" s="331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2994</v>
      </c>
    </row>
    <row r="2" spans="1:5" ht="15.75">
      <c r="A2" s="2905" t="s">
        <v>2986</v>
      </c>
      <c r="B2" s="2906" t="e">
        <f ca="1">SUMIF(B6:B13,"&lt;&gt;#ref!",B6:B13)</f>
        <v>#DIV/0!</v>
      </c>
      <c r="C2" s="2905" t="s">
        <v>2987</v>
      </c>
      <c r="D2" s="2905" t="s">
        <v>2988</v>
      </c>
      <c r="E2" s="2906" t="e">
        <f ca="1">SUM(E6:E13)</f>
        <v>#REF!</v>
      </c>
    </row>
    <row r="3" spans="1:5" ht="15.75">
      <c r="A3" s="2905" t="s">
        <v>2989</v>
      </c>
      <c r="B3" s="2906" t="e">
        <f ca="1">ROUND(B2*10000/E2,0)</f>
        <v>#DIV/0!</v>
      </c>
      <c r="C3" s="2905" t="s">
        <v>2995</v>
      </c>
      <c r="D3" s="2907"/>
      <c r="E3" s="2907"/>
    </row>
    <row r="4" spans="1:5" ht="15.75">
      <c r="A4" s="2908"/>
      <c r="B4" s="2907"/>
      <c r="C4" s="2907"/>
      <c r="D4" s="2907"/>
      <c r="E4" s="2907"/>
    </row>
    <row r="5" spans="1:5" ht="28.5">
      <c r="A5" s="2909" t="s">
        <v>2990</v>
      </c>
      <c r="B5" s="2905" t="s">
        <v>2991</v>
      </c>
      <c r="C5" s="2906"/>
      <c r="D5" s="2907"/>
      <c r="E5" s="2905" t="s">
        <v>2992</v>
      </c>
    </row>
    <row r="6" spans="1:5" ht="15.75">
      <c r="A6" s="2910" t="s">
        <v>2993</v>
      </c>
      <c r="B6" s="2906" t="e">
        <f ca="1">SUMIF(INDIRECT("'"&amp;A6&amp;"'"&amp;"!A:A"),"总价",INDIRECT("'"&amp;A6&amp;"'"&amp;"!B:B"))</f>
        <v>#DIV/0!</v>
      </c>
      <c r="C6" s="2905" t="s">
        <v>2987</v>
      </c>
      <c r="D6" s="2907"/>
      <c r="E6" s="2570">
        <f ca="1">SUMIF(INDIRECT("'"&amp;A6&amp;"'"&amp;"!C:C"),"建筑面积",INDIRECT("'"&amp;A6&amp;"'"&amp;"!D:D"))</f>
        <v>0</v>
      </c>
    </row>
    <row r="7" spans="1:5" ht="15.75">
      <c r="A7" s="2910"/>
      <c r="B7" s="2906" t="e">
        <f ca="1">SUMIF(INDIRECT("'"&amp;A7&amp;"'"&amp;"!A:A"),"总价",INDIRECT("'"&amp;A7&amp;"'"&amp;"!B:B"))</f>
        <v>#REF!</v>
      </c>
      <c r="C7" s="2905" t="s">
        <v>2987</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2987</v>
      </c>
      <c r="D8" s="2907"/>
      <c r="E8" s="2570" t="e">
        <f t="shared" ca="1" si="0"/>
        <v>#REF!</v>
      </c>
    </row>
    <row r="9" spans="1:5" ht="15.75">
      <c r="A9" s="2910"/>
      <c r="B9" s="2906" t="e">
        <f t="shared" ca="1" si="1"/>
        <v>#REF!</v>
      </c>
      <c r="C9" s="2905" t="s">
        <v>2987</v>
      </c>
      <c r="D9" s="2907"/>
      <c r="E9" s="2570" t="e">
        <f t="shared" ca="1" si="0"/>
        <v>#REF!</v>
      </c>
    </row>
    <row r="10" spans="1:5" ht="15.75">
      <c r="A10" s="2910"/>
      <c r="B10" s="2906" t="e">
        <f t="shared" ca="1" si="1"/>
        <v>#REF!</v>
      </c>
      <c r="C10" s="2905" t="s">
        <v>2987</v>
      </c>
      <c r="D10" s="2907"/>
      <c r="E10" s="2570" t="e">
        <f t="shared" ca="1" si="0"/>
        <v>#REF!</v>
      </c>
    </row>
    <row r="11" spans="1:5" ht="15.75">
      <c r="A11" s="2910"/>
      <c r="B11" s="2906" t="e">
        <f t="shared" ca="1" si="1"/>
        <v>#REF!</v>
      </c>
      <c r="C11" s="2905" t="s">
        <v>2987</v>
      </c>
      <c r="D11" s="2907"/>
      <c r="E11" s="2570" t="e">
        <f t="shared" ca="1" si="0"/>
        <v>#REF!</v>
      </c>
    </row>
    <row r="12" spans="1:5" ht="15.75">
      <c r="A12" s="2910"/>
      <c r="B12" s="2906" t="e">
        <f t="shared" ca="1" si="1"/>
        <v>#REF!</v>
      </c>
      <c r="C12" s="2905" t="s">
        <v>2987</v>
      </c>
      <c r="D12" s="2907"/>
      <c r="E12" s="2570" t="e">
        <f t="shared" ca="1" si="0"/>
        <v>#REF!</v>
      </c>
    </row>
    <row r="13" spans="1:5" ht="15.75">
      <c r="A13" s="2910"/>
      <c r="B13" s="2906" t="e">
        <f t="shared" ca="1" si="1"/>
        <v>#REF!</v>
      </c>
      <c r="C13" s="2905" t="s">
        <v>2987</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1" t="s">
        <v>1150</v>
      </c>
      <c r="C1" s="3321"/>
      <c r="D1" s="3321"/>
      <c r="E1" s="3321"/>
      <c r="F1" s="3321"/>
      <c r="G1" s="3317" t="s">
        <v>1151</v>
      </c>
      <c r="H1" s="3317"/>
      <c r="I1" s="3317"/>
      <c r="J1" s="3317"/>
      <c r="K1" s="3317"/>
      <c r="L1" s="3317"/>
      <c r="N1" s="3317" t="s">
        <v>1152</v>
      </c>
      <c r="O1" s="3317"/>
      <c r="P1" s="3317"/>
      <c r="Q1" s="3317"/>
      <c r="R1" s="1445"/>
      <c r="S1" s="3317" t="s">
        <v>1153</v>
      </c>
      <c r="T1" s="3317"/>
      <c r="U1" s="3317"/>
      <c r="V1" s="3317"/>
      <c r="X1" s="3316" t="s">
        <v>1154</v>
      </c>
      <c r="Y1" s="3317"/>
      <c r="Z1" s="3317"/>
      <c r="AA1" s="3317"/>
      <c r="AB1" s="3317"/>
      <c r="AD1" s="3316" t="s">
        <v>1155</v>
      </c>
      <c r="AE1" s="3317"/>
      <c r="AF1" s="3317"/>
      <c r="AG1" s="3317"/>
      <c r="AH1" s="3317"/>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3026</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3025</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6">
        <f t="shared" ref="N5:N10" si="7">I5/100</f>
        <v>0</v>
      </c>
      <c r="O5" s="1466">
        <f t="shared" ref="O5" si="8">J5/100</f>
        <v>0</v>
      </c>
      <c r="P5" s="1466">
        <f t="shared" ref="P5" si="9">K5/100</f>
        <v>0</v>
      </c>
      <c r="Q5" s="1466">
        <f t="shared" ref="Q5" si="10">L5/100</f>
        <v>0</v>
      </c>
      <c r="R5" s="1731"/>
      <c r="S5" s="1732"/>
      <c r="T5" s="1731"/>
      <c r="U5" s="1731"/>
      <c r="V5" s="1731"/>
      <c r="W5" s="2923" t="s">
        <v>3027</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3022</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21">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5" thickBot="1">
      <c r="A7" s="1460" t="s">
        <v>3023</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17"/>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0" t="s">
        <v>1386</v>
      </c>
      <c r="B8" s="1476">
        <f t="shared" si="21"/>
        <v>419.31181600000002</v>
      </c>
      <c r="C8" s="1476">
        <f t="shared" si="22"/>
        <v>313.95436800000004</v>
      </c>
      <c r="D8" s="1476">
        <f t="shared" si="23"/>
        <v>313.95436800000004</v>
      </c>
      <c r="E8" s="1476">
        <f t="shared" si="24"/>
        <v>596.63028431999999</v>
      </c>
      <c r="F8" s="1476">
        <f t="shared" si="25"/>
        <v>274.74220703999998</v>
      </c>
      <c r="G8" s="2916"/>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2"/>
      <c r="AD8" s="1787">
        <f>ROUND(AVERAGE(I8:I$21)/100,4)</f>
        <v>2.46E-2</v>
      </c>
      <c r="AE8" s="1787">
        <f>ROUND(AVERAGE(J8:J$21)/100,4)</f>
        <v>1.6E-2</v>
      </c>
      <c r="AF8" s="1787">
        <f t="shared" si="1"/>
        <v>1.6E-2</v>
      </c>
      <c r="AG8" s="1787">
        <f>ROUND(AVERAGE(K8:K$21)/100,4)</f>
        <v>2.75E-2</v>
      </c>
      <c r="AH8" s="1787">
        <f>ROUND(AVERAGE(L8:L$21)/100,4)</f>
        <v>1.37E-2</v>
      </c>
    </row>
    <row r="9" spans="1:34" s="1465" customFormat="1" ht="13.5" thickBot="1">
      <c r="A9" s="1460" t="s">
        <v>1161</v>
      </c>
      <c r="B9" s="1476">
        <f>B10*(1+N9)</f>
        <v>405.524</v>
      </c>
      <c r="C9" s="1476">
        <f>C10*(1+O9)</f>
        <v>307.79840000000002</v>
      </c>
      <c r="D9" s="1476">
        <f>C9</f>
        <v>307.79840000000002</v>
      </c>
      <c r="E9" s="1476">
        <f>E10*(1+P9)</f>
        <v>574.67759999999998</v>
      </c>
      <c r="F9" s="1476">
        <f>F10*(1+Q9)</f>
        <v>270.20280000000002</v>
      </c>
      <c r="G9" s="2917"/>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0" t="s">
        <v>154</v>
      </c>
      <c r="B10" s="1468">
        <v>392</v>
      </c>
      <c r="C10" s="1468">
        <v>302</v>
      </c>
      <c r="D10" s="1468">
        <f>C10</f>
        <v>302</v>
      </c>
      <c r="E10" s="1468">
        <v>553</v>
      </c>
      <c r="F10" s="1469">
        <v>266</v>
      </c>
      <c r="G10" s="3322">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19"/>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19"/>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5"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20"/>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5" thickBot="1">
      <c r="A14" s="1460" t="s">
        <v>151</v>
      </c>
      <c r="B14" s="1468">
        <v>333</v>
      </c>
      <c r="C14" s="1468">
        <v>277</v>
      </c>
      <c r="D14" s="1468">
        <f t="shared" si="35"/>
        <v>277</v>
      </c>
      <c r="E14" s="1468">
        <v>459</v>
      </c>
      <c r="F14" s="1469">
        <v>249</v>
      </c>
      <c r="G14" s="3318">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19"/>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19"/>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20"/>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5" thickBot="1">
      <c r="A18" s="1460" t="s">
        <v>147</v>
      </c>
      <c r="B18" s="1489">
        <v>318</v>
      </c>
      <c r="C18" s="1489">
        <v>268</v>
      </c>
      <c r="D18" s="1489">
        <f t="shared" si="35"/>
        <v>268</v>
      </c>
      <c r="E18" s="1489">
        <v>437</v>
      </c>
      <c r="F18" s="1490">
        <v>237</v>
      </c>
      <c r="G18" s="3318">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19"/>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5"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19"/>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5"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20"/>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1162</v>
      </c>
      <c r="X21" s="1504">
        <v>1</v>
      </c>
      <c r="Y21" s="1504">
        <v>1</v>
      </c>
      <c r="Z21" s="1504">
        <v>1</v>
      </c>
      <c r="AA21" s="1504">
        <v>1</v>
      </c>
      <c r="AB21" s="1504">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0" t="s">
        <v>1163</v>
      </c>
      <c r="B22" s="1468">
        <v>299</v>
      </c>
      <c r="C22" s="1468">
        <v>252</v>
      </c>
      <c r="D22" s="1468">
        <f t="shared" si="35"/>
        <v>252</v>
      </c>
      <c r="E22" s="1468">
        <v>409</v>
      </c>
      <c r="F22" s="1469">
        <v>227</v>
      </c>
      <c r="G22" s="3323">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1164</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24"/>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1165</v>
      </c>
      <c r="B24" s="1476">
        <f t="shared" si="44"/>
        <v>288.2649053828776</v>
      </c>
      <c r="C24" s="1476">
        <f t="shared" si="44"/>
        <v>243.64564425013293</v>
      </c>
      <c r="D24" s="1476">
        <f t="shared" si="35"/>
        <v>243.64564425013293</v>
      </c>
      <c r="E24" s="1476">
        <f t="shared" si="45"/>
        <v>393.31080825986544</v>
      </c>
      <c r="F24" s="1476">
        <f t="shared" si="45"/>
        <v>223.07903790551154</v>
      </c>
      <c r="G24" s="3324"/>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1166</v>
      </c>
      <c r="B25" s="1476">
        <f t="shared" si="44"/>
        <v>282.50186729015837</v>
      </c>
      <c r="C25" s="1476">
        <f t="shared" si="44"/>
        <v>238.09796174155468</v>
      </c>
      <c r="D25" s="1476">
        <f t="shared" si="35"/>
        <v>238.09796174155468</v>
      </c>
      <c r="E25" s="1476">
        <f t="shared" si="45"/>
        <v>385.33438646014054</v>
      </c>
      <c r="F25" s="1476">
        <f t="shared" si="45"/>
        <v>221.55034055567739</v>
      </c>
      <c r="G25" s="3325"/>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5" thickBot="1">
      <c r="A26" s="1460" t="s">
        <v>1167</v>
      </c>
      <c r="B26" s="1510">
        <v>278</v>
      </c>
      <c r="C26" s="1510">
        <v>234</v>
      </c>
      <c r="D26" s="1510">
        <f t="shared" si="35"/>
        <v>234</v>
      </c>
      <c r="E26" s="1510">
        <v>379</v>
      </c>
      <c r="F26" s="1511">
        <v>220</v>
      </c>
      <c r="G26" s="3318">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1168</v>
      </c>
      <c r="B27" s="1476">
        <f>B26/(1+N26)</f>
        <v>275.49301357645425</v>
      </c>
      <c r="C27" s="1476">
        <f>C26/(1+O26)</f>
        <v>232.41954707985698</v>
      </c>
      <c r="D27" s="1476">
        <f t="shared" si="35"/>
        <v>232.41954707985698</v>
      </c>
      <c r="E27" s="1476">
        <f t="shared" ref="E27:F29" si="46">E26/(1+P26)</f>
        <v>375.32184591008121</v>
      </c>
      <c r="F27" s="1476">
        <f t="shared" si="46"/>
        <v>218.03766105054513</v>
      </c>
      <c r="G27" s="3319"/>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1169</v>
      </c>
      <c r="B28" s="1476">
        <f>B27/(1+N27)</f>
        <v>275.24529281292263</v>
      </c>
      <c r="C28" s="1476">
        <f>C27/(1+O27)</f>
        <v>231.74747938962707</v>
      </c>
      <c r="D28" s="1476">
        <f t="shared" si="35"/>
        <v>231.74747938962707</v>
      </c>
      <c r="E28" s="1476">
        <f t="shared" si="46"/>
        <v>375.35938184826603</v>
      </c>
      <c r="F28" s="1476">
        <f t="shared" si="46"/>
        <v>216.78033510692495</v>
      </c>
      <c r="G28" s="3319"/>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5" thickBot="1">
      <c r="A29" s="1460" t="s">
        <v>1170</v>
      </c>
      <c r="B29" s="1476">
        <f>B28/(1+N28)</f>
        <v>275.19025476197027</v>
      </c>
      <c r="C29" s="1512">
        <v>232</v>
      </c>
      <c r="D29" s="1512">
        <f t="shared" si="35"/>
        <v>232</v>
      </c>
      <c r="E29" s="1476">
        <f t="shared" si="46"/>
        <v>375.65990977608692</v>
      </c>
      <c r="F29" s="1476">
        <f t="shared" si="46"/>
        <v>214.12518283971252</v>
      </c>
      <c r="G29" s="3320"/>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5" thickBot="1">
      <c r="A30" s="1460" t="s">
        <v>1171</v>
      </c>
      <c r="B30" s="1468">
        <v>275</v>
      </c>
      <c r="C30" s="1468">
        <v>232</v>
      </c>
      <c r="D30" s="1468">
        <f t="shared" si="35"/>
        <v>232</v>
      </c>
      <c r="E30" s="1468">
        <v>376</v>
      </c>
      <c r="F30" s="1469">
        <v>213</v>
      </c>
      <c r="G30" s="3318">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1172</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19">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1173</v>
      </c>
      <c r="B32" s="1476">
        <f t="shared" si="47"/>
        <v>275.19335084830601</v>
      </c>
      <c r="C32" s="1476">
        <f t="shared" si="47"/>
        <v>230.18088050139744</v>
      </c>
      <c r="D32" s="1476">
        <f t="shared" si="35"/>
        <v>230.18088050139744</v>
      </c>
      <c r="E32" s="1476">
        <f t="shared" si="48"/>
        <v>377.58482925212331</v>
      </c>
      <c r="F32" s="1476">
        <f t="shared" si="48"/>
        <v>210.90687997847917</v>
      </c>
      <c r="G32" s="3319">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5" thickBot="1">
      <c r="A33" s="1460" t="s">
        <v>1174</v>
      </c>
      <c r="B33" s="1476">
        <f t="shared" si="47"/>
        <v>276.29854502841971</v>
      </c>
      <c r="C33" s="1476">
        <f t="shared" si="47"/>
        <v>229.79023709833027</v>
      </c>
      <c r="D33" s="1476">
        <f t="shared" si="35"/>
        <v>229.79023709833027</v>
      </c>
      <c r="E33" s="1476">
        <f t="shared" si="48"/>
        <v>379.78759731655936</v>
      </c>
      <c r="F33" s="1476">
        <f t="shared" si="48"/>
        <v>211.32953905659235</v>
      </c>
      <c r="G33" s="3320">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5" thickBot="1">
      <c r="A34" s="1460" t="s">
        <v>1175</v>
      </c>
      <c r="B34" s="1468">
        <v>269</v>
      </c>
      <c r="C34" s="1468">
        <v>221</v>
      </c>
      <c r="D34" s="1468">
        <f t="shared" si="35"/>
        <v>221</v>
      </c>
      <c r="E34" s="1468">
        <v>373</v>
      </c>
      <c r="F34" s="1469">
        <v>196</v>
      </c>
      <c r="G34" s="3318">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1176</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19">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1177</v>
      </c>
      <c r="B36" s="1476">
        <f t="shared" si="49"/>
        <v>242.95398227588385</v>
      </c>
      <c r="C36" s="1476">
        <f t="shared" si="49"/>
        <v>199.59137053614126</v>
      </c>
      <c r="D36" s="1476">
        <f t="shared" si="35"/>
        <v>199.59137053614126</v>
      </c>
      <c r="E36" s="1476">
        <f t="shared" si="50"/>
        <v>335.92189522342125</v>
      </c>
      <c r="F36" s="1476">
        <f t="shared" si="50"/>
        <v>183.10139991109489</v>
      </c>
      <c r="G36" s="3319">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5" thickBot="1">
      <c r="A37" s="1460" t="s">
        <v>1178</v>
      </c>
      <c r="B37" s="1476">
        <f t="shared" si="49"/>
        <v>232.06990378821649</v>
      </c>
      <c r="C37" s="1476">
        <f t="shared" si="49"/>
        <v>192.74878854286936</v>
      </c>
      <c r="D37" s="1476">
        <f t="shared" si="35"/>
        <v>192.74878854286936</v>
      </c>
      <c r="E37" s="1476">
        <f t="shared" si="50"/>
        <v>319.71247284992984</v>
      </c>
      <c r="F37" s="1476">
        <f t="shared" si="50"/>
        <v>175.67053622862409</v>
      </c>
      <c r="G37" s="3320">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5" thickBot="1">
      <c r="A38" s="1460" t="s">
        <v>1179</v>
      </c>
      <c r="B38" s="1468">
        <v>220</v>
      </c>
      <c r="C38" s="1468">
        <v>187</v>
      </c>
      <c r="D38" s="1468">
        <f t="shared" si="35"/>
        <v>187</v>
      </c>
      <c r="E38" s="1468">
        <v>301</v>
      </c>
      <c r="F38" s="1469">
        <v>168</v>
      </c>
      <c r="G38" s="3318">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1180</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19">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1181</v>
      </c>
      <c r="B40" s="1476">
        <f t="shared" si="51"/>
        <v>210.630522469011</v>
      </c>
      <c r="C40" s="1476">
        <f t="shared" si="51"/>
        <v>181.69567812247232</v>
      </c>
      <c r="D40" s="1476">
        <f t="shared" si="35"/>
        <v>181.69567812247232</v>
      </c>
      <c r="E40" s="1476">
        <f t="shared" si="52"/>
        <v>286.13517466736738</v>
      </c>
      <c r="F40" s="1476">
        <f t="shared" si="52"/>
        <v>165.47535084591149</v>
      </c>
      <c r="G40" s="3319">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1182</v>
      </c>
      <c r="B41" s="1476">
        <f t="shared" si="51"/>
        <v>208.83454537875372</v>
      </c>
      <c r="C41" s="1476">
        <f t="shared" si="51"/>
        <v>183.77230517090351</v>
      </c>
      <c r="D41" s="1476">
        <f t="shared" si="35"/>
        <v>183.77230517090351</v>
      </c>
      <c r="E41" s="1476">
        <f t="shared" si="52"/>
        <v>281.10342338870947</v>
      </c>
      <c r="F41" s="1476">
        <f t="shared" si="52"/>
        <v>168.97309388942256</v>
      </c>
      <c r="G41" s="3320">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5" thickBot="1">
      <c r="A42" s="1460" t="s">
        <v>1183</v>
      </c>
      <c r="B42" s="1510">
        <v>214</v>
      </c>
      <c r="C42" s="1510">
        <v>188</v>
      </c>
      <c r="D42" s="1510">
        <f t="shared" si="35"/>
        <v>188</v>
      </c>
      <c r="E42" s="1510">
        <v>289</v>
      </c>
      <c r="F42" s="1511">
        <v>166</v>
      </c>
      <c r="G42" s="3318">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1184</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19">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1185</v>
      </c>
      <c r="B44" s="1476">
        <f t="shared" si="53"/>
        <v>206.31694671589116</v>
      </c>
      <c r="C44" s="1476">
        <f t="shared" si="53"/>
        <v>183.61041121036101</v>
      </c>
      <c r="D44" s="1476">
        <f t="shared" si="35"/>
        <v>183.61041121036101</v>
      </c>
      <c r="E44" s="1476">
        <f t="shared" si="54"/>
        <v>276.66850301795557</v>
      </c>
      <c r="F44" s="1476">
        <f t="shared" si="54"/>
        <v>165.1360938278614</v>
      </c>
      <c r="G44" s="3319">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5" thickBot="1">
      <c r="A45" s="1460" t="s">
        <v>1186</v>
      </c>
      <c r="B45" s="1513">
        <f t="shared" si="53"/>
        <v>196.62341248059772</v>
      </c>
      <c r="C45" s="1513">
        <f t="shared" si="53"/>
        <v>170.99125648199012</v>
      </c>
      <c r="D45" s="1513">
        <f t="shared" si="35"/>
        <v>170.99125648199012</v>
      </c>
      <c r="E45" s="1513">
        <f t="shared" si="54"/>
        <v>266.07857570490052</v>
      </c>
      <c r="F45" s="1513">
        <f t="shared" si="54"/>
        <v>154.53499328828505</v>
      </c>
      <c r="G45" s="3320">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5" thickBot="1">
      <c r="A46" s="1460" t="s">
        <v>1187</v>
      </c>
      <c r="B46" s="1468">
        <v>188</v>
      </c>
      <c r="C46" s="1468">
        <v>165</v>
      </c>
      <c r="D46" s="1468">
        <f t="shared" si="35"/>
        <v>165</v>
      </c>
      <c r="E46" s="1468">
        <v>254</v>
      </c>
      <c r="F46" s="1469">
        <v>148</v>
      </c>
      <c r="G46" s="3318">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1188</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19">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1189</v>
      </c>
      <c r="B48" s="1476">
        <f t="shared" si="57"/>
        <v>168.82017748715555</v>
      </c>
      <c r="C48" s="1476">
        <f t="shared" si="57"/>
        <v>148.06267029972753</v>
      </c>
      <c r="D48" s="1476">
        <f t="shared" si="35"/>
        <v>148.06267029972753</v>
      </c>
      <c r="E48" s="1476">
        <f t="shared" si="58"/>
        <v>216.46288379323747</v>
      </c>
      <c r="F48" s="1476">
        <f t="shared" si="58"/>
        <v>134.23529411764704</v>
      </c>
      <c r="G48" s="3319">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1190</v>
      </c>
      <c r="B49" s="1476">
        <f t="shared" si="57"/>
        <v>163.84913591779542</v>
      </c>
      <c r="C49" s="1476">
        <f t="shared" si="57"/>
        <v>145.0283378746594</v>
      </c>
      <c r="D49" s="1476">
        <f t="shared" si="35"/>
        <v>145.0283378746594</v>
      </c>
      <c r="E49" s="1476">
        <f t="shared" si="58"/>
        <v>204.95180722891567</v>
      </c>
      <c r="F49" s="1476">
        <f t="shared" si="58"/>
        <v>125.95920303605313</v>
      </c>
      <c r="G49" s="3320">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5" thickBot="1">
      <c r="A50" s="1460" t="s">
        <v>1191</v>
      </c>
      <c r="B50" s="1489">
        <v>159</v>
      </c>
      <c r="C50" s="1489">
        <v>141</v>
      </c>
      <c r="D50" s="1489">
        <f t="shared" si="35"/>
        <v>141</v>
      </c>
      <c r="E50" s="1489">
        <v>195</v>
      </c>
      <c r="F50" s="1490">
        <v>122</v>
      </c>
      <c r="G50" s="3318">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1192</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19">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1193</v>
      </c>
      <c r="B52" s="1476">
        <f t="shared" si="61"/>
        <v>146.57412060301507</v>
      </c>
      <c r="C52" s="1476">
        <f t="shared" si="61"/>
        <v>136.46831955922866</v>
      </c>
      <c r="D52" s="1476">
        <f t="shared" si="35"/>
        <v>136.46831955922866</v>
      </c>
      <c r="E52" s="1476">
        <f t="shared" si="62"/>
        <v>166.73864894795128</v>
      </c>
      <c r="F52" s="1476">
        <f t="shared" si="62"/>
        <v>115.05882352941177</v>
      </c>
      <c r="G52" s="3319">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1194</v>
      </c>
      <c r="B53" s="1476">
        <f t="shared" si="61"/>
        <v>144.04145728643215</v>
      </c>
      <c r="C53" s="1476">
        <f t="shared" si="61"/>
        <v>136.12396694214877</v>
      </c>
      <c r="D53" s="1476">
        <f t="shared" si="35"/>
        <v>136.12396694214877</v>
      </c>
      <c r="E53" s="1476">
        <f t="shared" si="62"/>
        <v>158.32225913621264</v>
      </c>
      <c r="F53" s="1476">
        <f t="shared" si="62"/>
        <v>114.04278074866311</v>
      </c>
      <c r="G53" s="3320">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5" thickBot="1">
      <c r="A54" s="1460" t="s">
        <v>1195</v>
      </c>
      <c r="B54" s="1489">
        <v>138</v>
      </c>
      <c r="C54" s="1489">
        <v>131</v>
      </c>
      <c r="D54" s="1489">
        <f t="shared" si="35"/>
        <v>131</v>
      </c>
      <c r="E54" s="1489">
        <v>155</v>
      </c>
      <c r="F54" s="1490">
        <v>114</v>
      </c>
      <c r="G54" s="3318">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1196</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19">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1197</v>
      </c>
      <c r="B56" s="1476">
        <f t="shared" si="65"/>
        <v>124.29032258064517</v>
      </c>
      <c r="C56" s="1476">
        <f t="shared" si="65"/>
        <v>123.8968609865471</v>
      </c>
      <c r="D56" s="1476">
        <f t="shared" si="35"/>
        <v>123.8968609865471</v>
      </c>
      <c r="E56" s="1476">
        <f t="shared" si="66"/>
        <v>138.00507614213197</v>
      </c>
      <c r="F56" s="1476">
        <f t="shared" si="66"/>
        <v>107.96106557377048</v>
      </c>
      <c r="G56" s="3319">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1198</v>
      </c>
      <c r="B57" s="1476">
        <f t="shared" si="65"/>
        <v>122.57204301075269</v>
      </c>
      <c r="C57" s="1476">
        <f t="shared" si="65"/>
        <v>123.4932735426009</v>
      </c>
      <c r="D57" s="1476">
        <f t="shared" si="35"/>
        <v>123.4932735426009</v>
      </c>
      <c r="E57" s="1476">
        <f t="shared" si="66"/>
        <v>129.82233502538071</v>
      </c>
      <c r="F57" s="1476">
        <f t="shared" si="66"/>
        <v>107.39446721311475</v>
      </c>
      <c r="G57" s="3320">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5" thickBot="1">
      <c r="A58" s="1460" t="s">
        <v>1199</v>
      </c>
      <c r="B58" s="1510">
        <v>121</v>
      </c>
      <c r="C58" s="1510">
        <v>122</v>
      </c>
      <c r="D58" s="1510">
        <f t="shared" si="35"/>
        <v>122</v>
      </c>
      <c r="E58" s="1510">
        <v>124</v>
      </c>
      <c r="F58" s="1511">
        <v>107</v>
      </c>
      <c r="G58" s="3318">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1200</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19">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1201</v>
      </c>
      <c r="B60" s="1476">
        <f t="shared" si="69"/>
        <v>116.99099099099099</v>
      </c>
      <c r="C60" s="1476">
        <f t="shared" si="69"/>
        <v>118.84848484848486</v>
      </c>
      <c r="D60" s="1476">
        <f t="shared" si="35"/>
        <v>118.84848484848486</v>
      </c>
      <c r="E60" s="1476">
        <f t="shared" si="70"/>
        <v>117.60960960960961</v>
      </c>
      <c r="F60" s="1476">
        <f t="shared" si="70"/>
        <v>104</v>
      </c>
      <c r="G60" s="3319">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5" thickBot="1">
      <c r="A61" s="1460" t="s">
        <v>1202</v>
      </c>
      <c r="B61" s="1513">
        <f t="shared" si="69"/>
        <v>112.48648648648648</v>
      </c>
      <c r="C61" s="1513">
        <f t="shared" si="69"/>
        <v>115.21212121212122</v>
      </c>
      <c r="D61" s="1513">
        <f t="shared" si="35"/>
        <v>115.21212121212122</v>
      </c>
      <c r="E61" s="1513">
        <f t="shared" si="70"/>
        <v>110.4024024024024</v>
      </c>
      <c r="F61" s="1513">
        <f t="shared" si="70"/>
        <v>104</v>
      </c>
      <c r="G61" s="3320">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5" thickBot="1">
      <c r="A62" s="1460" t="s">
        <v>1203</v>
      </c>
      <c r="B62" s="1531">
        <v>111</v>
      </c>
      <c r="C62" s="1531">
        <v>114</v>
      </c>
      <c r="D62" s="1531">
        <f t="shared" si="35"/>
        <v>114</v>
      </c>
      <c r="E62" s="1531">
        <v>108</v>
      </c>
      <c r="F62" s="1532">
        <v>104</v>
      </c>
      <c r="G62" s="3318">
        <v>2003</v>
      </c>
      <c r="H62" s="1521">
        <v>4</v>
      </c>
      <c r="I62" s="1533"/>
      <c r="J62" s="1533"/>
      <c r="K62" s="1533"/>
      <c r="L62" s="1533"/>
      <c r="N62" s="1534"/>
      <c r="O62" s="1533"/>
      <c r="P62" s="1533"/>
      <c r="Q62" s="1533"/>
      <c r="S62" s="1534"/>
      <c r="T62" s="1533"/>
      <c r="U62" s="1533"/>
      <c r="V62" s="1533"/>
      <c r="X62" s="1525"/>
      <c r="Y62" s="1525"/>
      <c r="Z62" s="1525"/>
    </row>
    <row r="63" spans="1:26">
      <c r="A63" s="1460" t="s">
        <v>1204</v>
      </c>
      <c r="B63" s="1535">
        <f t="shared" ref="B63:C65" si="71">B64+(B$62-B$66)/4</f>
        <v>109.75</v>
      </c>
      <c r="C63" s="1535">
        <f t="shared" si="71"/>
        <v>112.25</v>
      </c>
      <c r="D63" s="1535">
        <f t="shared" si="35"/>
        <v>112.25</v>
      </c>
      <c r="E63" s="1535">
        <f t="shared" ref="E63:F65" si="72">E64+(E$62-E$66)/4</f>
        <v>107.25</v>
      </c>
      <c r="F63" s="1535">
        <f t="shared" si="72"/>
        <v>103.5</v>
      </c>
      <c r="G63" s="3319">
        <v>2003</v>
      </c>
      <c r="H63" s="1486">
        <v>3</v>
      </c>
      <c r="I63" s="1533"/>
      <c r="J63" s="1533"/>
      <c r="K63" s="1533"/>
      <c r="L63" s="1533"/>
      <c r="X63" s="1525"/>
      <c r="Y63" s="1525"/>
      <c r="Z63" s="1525"/>
    </row>
    <row r="64" spans="1:26">
      <c r="A64" s="1460" t="s">
        <v>1205</v>
      </c>
      <c r="B64" s="1535">
        <f t="shared" si="71"/>
        <v>108.5</v>
      </c>
      <c r="C64" s="1535">
        <f t="shared" si="71"/>
        <v>110.5</v>
      </c>
      <c r="D64" s="1535">
        <f t="shared" si="35"/>
        <v>110.5</v>
      </c>
      <c r="E64" s="1535">
        <f t="shared" si="72"/>
        <v>106.5</v>
      </c>
      <c r="F64" s="1535">
        <f t="shared" si="72"/>
        <v>103</v>
      </c>
      <c r="G64" s="3319">
        <v>2003</v>
      </c>
      <c r="H64" s="1464">
        <v>2</v>
      </c>
      <c r="I64" s="1533"/>
      <c r="J64" s="1533"/>
      <c r="K64" s="1533"/>
      <c r="L64" s="1533"/>
      <c r="X64" s="1525"/>
      <c r="Y64" s="1525"/>
      <c r="Z64" s="1525"/>
    </row>
    <row r="65" spans="1:26" ht="13.5" thickBot="1">
      <c r="A65" s="1460" t="s">
        <v>1206</v>
      </c>
      <c r="B65" s="1535">
        <f t="shared" si="71"/>
        <v>107.25</v>
      </c>
      <c r="C65" s="1535">
        <f t="shared" si="71"/>
        <v>108.75</v>
      </c>
      <c r="D65" s="1535">
        <f t="shared" si="35"/>
        <v>108.75</v>
      </c>
      <c r="E65" s="1535">
        <f t="shared" si="72"/>
        <v>105.75</v>
      </c>
      <c r="F65" s="1535">
        <f t="shared" si="72"/>
        <v>102.5</v>
      </c>
      <c r="G65" s="3320">
        <v>2003</v>
      </c>
      <c r="H65" s="1536">
        <v>1</v>
      </c>
      <c r="I65" s="1533"/>
      <c r="J65" s="1533"/>
      <c r="K65" s="1533"/>
      <c r="L65" s="1533"/>
      <c r="S65" s="1471"/>
      <c r="T65" s="1472"/>
      <c r="U65" s="1472"/>
      <c r="X65" s="1525"/>
      <c r="Y65" s="1525"/>
      <c r="Z65" s="1525"/>
    </row>
    <row r="66" spans="1:26" ht="13.5" thickBot="1">
      <c r="A66" s="1460" t="s">
        <v>1207</v>
      </c>
      <c r="B66" s="1537">
        <v>106</v>
      </c>
      <c r="C66" s="1537">
        <v>107</v>
      </c>
      <c r="D66" s="1537">
        <f t="shared" si="35"/>
        <v>107</v>
      </c>
      <c r="E66" s="1537">
        <v>105</v>
      </c>
      <c r="F66" s="1538">
        <v>102</v>
      </c>
      <c r="G66" s="3318">
        <v>2002</v>
      </c>
      <c r="H66" s="1481">
        <v>4</v>
      </c>
      <c r="I66" s="1533"/>
      <c r="J66" s="1533"/>
      <c r="K66" s="1533"/>
      <c r="L66" s="1533"/>
      <c r="N66" s="1534"/>
      <c r="O66" s="1533"/>
      <c r="P66" s="1533"/>
      <c r="Q66" s="1533"/>
      <c r="S66" s="1534"/>
      <c r="T66" s="1533"/>
      <c r="U66" s="1533"/>
      <c r="V66" s="1533"/>
      <c r="X66" s="1525"/>
      <c r="Y66" s="1525"/>
      <c r="Z66" s="1525"/>
    </row>
    <row r="67" spans="1:26">
      <c r="A67" s="1460" t="s">
        <v>1208</v>
      </c>
      <c r="B67" s="1535">
        <f t="shared" ref="B67:C69" si="73">B68+(B$66-B$70)/4</f>
        <v>105</v>
      </c>
      <c r="C67" s="1535">
        <f t="shared" si="73"/>
        <v>106</v>
      </c>
      <c r="D67" s="1535">
        <f t="shared" si="35"/>
        <v>106</v>
      </c>
      <c r="E67" s="1535">
        <f t="shared" ref="E67:F69" si="74">E68+(E$66-E$70)/4</f>
        <v>104.5</v>
      </c>
      <c r="F67" s="1535">
        <f t="shared" si="74"/>
        <v>101.5</v>
      </c>
      <c r="G67" s="3319">
        <v>2002</v>
      </c>
      <c r="H67" s="1486">
        <v>3</v>
      </c>
      <c r="I67" s="1533"/>
      <c r="J67" s="1533"/>
      <c r="K67" s="1533"/>
      <c r="L67" s="1533"/>
      <c r="X67" s="1525"/>
      <c r="Y67" s="1525"/>
      <c r="Z67" s="1525"/>
    </row>
    <row r="68" spans="1:26">
      <c r="A68" s="1460" t="s">
        <v>1209</v>
      </c>
      <c r="B68" s="1535">
        <f t="shared" si="73"/>
        <v>104</v>
      </c>
      <c r="C68" s="1535">
        <f t="shared" si="73"/>
        <v>105</v>
      </c>
      <c r="D68" s="1535">
        <f t="shared" si="35"/>
        <v>105</v>
      </c>
      <c r="E68" s="1535">
        <f t="shared" si="74"/>
        <v>104</v>
      </c>
      <c r="F68" s="1535">
        <f t="shared" si="74"/>
        <v>101</v>
      </c>
      <c r="G68" s="3319">
        <v>2002</v>
      </c>
      <c r="H68" s="1464">
        <v>2</v>
      </c>
      <c r="I68" s="1533"/>
      <c r="J68" s="1533"/>
      <c r="K68" s="1533"/>
      <c r="L68" s="1533"/>
      <c r="X68" s="1525"/>
      <c r="Y68" s="1525"/>
      <c r="Z68" s="1525"/>
    </row>
    <row r="69" spans="1:26" s="1497" customFormat="1" ht="13.5" thickBot="1">
      <c r="A69" s="1493" t="s">
        <v>1210</v>
      </c>
      <c r="B69" s="1539">
        <f t="shared" si="73"/>
        <v>103</v>
      </c>
      <c r="C69" s="1539">
        <f t="shared" si="73"/>
        <v>104</v>
      </c>
      <c r="D69" s="1539">
        <f t="shared" si="35"/>
        <v>104</v>
      </c>
      <c r="E69" s="1539">
        <f t="shared" si="74"/>
        <v>103.5</v>
      </c>
      <c r="F69" s="1539">
        <f t="shared" si="74"/>
        <v>100.5</v>
      </c>
      <c r="G69" s="3320">
        <v>2002</v>
      </c>
      <c r="H69" s="1540">
        <v>1</v>
      </c>
      <c r="I69" s="1541"/>
      <c r="J69" s="1541"/>
      <c r="K69" s="1541"/>
      <c r="L69" s="1541"/>
      <c r="N69" s="1542"/>
      <c r="S69" s="1542"/>
      <c r="X69" s="1543"/>
      <c r="Y69" s="1543"/>
      <c r="Z69" s="1543"/>
    </row>
    <row r="70" spans="1:26" ht="13.5"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1211</v>
      </c>
      <c r="G72" s="1549"/>
      <c r="N72" s="1549"/>
      <c r="S72" s="1549"/>
    </row>
    <row r="73" spans="1:26" s="1548" customFormat="1">
      <c r="A73" s="1548" t="s">
        <v>1212</v>
      </c>
      <c r="G73" s="1549"/>
      <c r="N73" s="1549"/>
      <c r="S73" s="1549"/>
    </row>
    <row r="74" spans="1:26" s="1548" customFormat="1">
      <c r="A74" s="1548" t="s">
        <v>1213</v>
      </c>
      <c r="G74" s="1549"/>
      <c r="I74" s="1550"/>
      <c r="J74" s="1550"/>
      <c r="K74" s="1550"/>
      <c r="L74" s="1550"/>
      <c r="N74" s="1551"/>
      <c r="O74" s="1550"/>
      <c r="P74" s="1550"/>
      <c r="Q74" s="1550"/>
      <c r="S74" s="1551"/>
      <c r="T74" s="1550"/>
      <c r="U74" s="1550"/>
      <c r="V74" s="1550"/>
    </row>
    <row r="75" spans="1:26" s="1548" customFormat="1">
      <c r="A75" s="1548" t="s">
        <v>1214</v>
      </c>
      <c r="G75" s="1549"/>
      <c r="N75" s="1549"/>
      <c r="S75" s="1549"/>
    </row>
    <row r="82" spans="7:22" ht="13.5" thickBot="1"/>
    <row r="83" spans="7:22">
      <c r="G83" s="1470"/>
      <c r="S83" s="1552" t="s">
        <v>1215</v>
      </c>
      <c r="T83" s="1553" t="s">
        <v>1216</v>
      </c>
      <c r="U83" s="1553" t="s">
        <v>1217</v>
      </c>
      <c r="V83" s="1553" t="s">
        <v>1218</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5"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1" zoomScale="90" zoomScaleNormal="90" zoomScaleSheetLayoutView="90" workbookViewId="0">
      <selection activeCell="K57" sqref="K5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3146</v>
      </c>
      <c r="D1" s="1818" t="s">
        <v>70</v>
      </c>
      <c r="E1" s="1819" t="s">
        <v>1387</v>
      </c>
      <c r="F1" s="1282">
        <f ca="1">J53</f>
        <v>30.17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6429</v>
      </c>
      <c r="C2" s="1843" t="s">
        <v>1517</v>
      </c>
      <c r="D2" s="1843"/>
      <c r="E2" s="1844"/>
      <c r="F2" s="1845"/>
      <c r="G2" s="1846"/>
      <c r="H2" s="1838"/>
      <c r="I2" s="1838"/>
      <c r="J2" s="1838"/>
      <c r="K2" s="1839"/>
      <c r="L2" s="1838"/>
      <c r="M2" s="1838"/>
    </row>
    <row r="3" spans="1:37" ht="18" customHeight="1" thickBot="1">
      <c r="A3" s="1847" t="s">
        <v>1518</v>
      </c>
      <c r="B3" s="1848">
        <f ca="1">IF(ISERROR(B2*10000/F43),0,ROUND(B2*10000/F43,0))</f>
        <v>28499</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256</v>
      </c>
      <c r="D5" s="1820" t="s">
        <v>1402</v>
      </c>
      <c r="E5" s="1292"/>
      <c r="F5" s="1293"/>
      <c r="G5" s="1849"/>
      <c r="H5" s="344">
        <v>1</v>
      </c>
      <c r="I5" s="345" t="s">
        <v>1401</v>
      </c>
      <c r="J5" s="1291">
        <f ca="1">J6+J10+J12</f>
        <v>446</v>
      </c>
      <c r="K5" s="1820" t="s">
        <v>1402</v>
      </c>
      <c r="L5" s="1292"/>
      <c r="M5" s="1293"/>
    </row>
    <row r="6" spans="1:37" ht="18" customHeight="1">
      <c r="A6" s="1290" t="s">
        <v>1035</v>
      </c>
      <c r="B6" s="3242" t="s">
        <v>1403</v>
      </c>
      <c r="C6" s="1295">
        <f ca="1">ROUND(F6*F8*F7*(1-F9)/10000,0)</f>
        <v>255</v>
      </c>
      <c r="D6" s="164" t="s">
        <v>3018</v>
      </c>
      <c r="E6" s="347" t="s">
        <v>1405</v>
      </c>
      <c r="F6" s="348">
        <f ca="1">INDIRECT("'数据-取费表'!u"&amp;$G$1)</f>
        <v>3.1</v>
      </c>
      <c r="G6" s="1849"/>
      <c r="H6" s="1290" t="s">
        <v>1035</v>
      </c>
      <c r="I6" s="3242" t="s">
        <v>1403</v>
      </c>
      <c r="J6" s="346">
        <f ca="1">ROUND(M6*M8*M7*(1-M9)/10000,0)</f>
        <v>445</v>
      </c>
      <c r="K6" s="164" t="s">
        <v>3017</v>
      </c>
      <c r="L6" s="347" t="s">
        <v>1405</v>
      </c>
      <c r="M6" s="348">
        <f ca="1">INDIRECT("'数据-取费表'!z"&amp;$G$1)</f>
        <v>6</v>
      </c>
    </row>
    <row r="7" spans="1:37" ht="18" customHeight="1">
      <c r="A7" s="1294"/>
      <c r="B7" s="3243"/>
      <c r="C7" s="1296"/>
      <c r="D7" s="352"/>
      <c r="E7" s="1297" t="s">
        <v>1406</v>
      </c>
      <c r="F7" s="348">
        <f ca="1">IF(INDIRECT("'数据-取费表'!ah"&amp;$G$1)="",INDIRECT("'数据-取费表'!k"&amp;$G$1),INDIRECT("'数据-取费表'!ah"&amp;$G$1))</f>
        <v>2255.8900000000003</v>
      </c>
      <c r="G7" s="1849"/>
      <c r="H7" s="349"/>
      <c r="I7" s="3243"/>
      <c r="J7" s="351"/>
      <c r="K7" s="352"/>
      <c r="L7" s="347" t="s">
        <v>1406</v>
      </c>
      <c r="M7" s="348">
        <f ca="1">F7</f>
        <v>2255.8900000000003</v>
      </c>
    </row>
    <row r="8" spans="1:37" ht="18" customHeight="1">
      <c r="A8" s="349"/>
      <c r="B8" s="3243"/>
      <c r="C8" s="351"/>
      <c r="D8" s="352"/>
      <c r="E8" s="347" t="s">
        <v>1407</v>
      </c>
      <c r="F8" s="348">
        <f ca="1">INDIRECT("'数据-取费表'!ai"&amp;$G$1)</f>
        <v>365</v>
      </c>
      <c r="G8" s="1849"/>
      <c r="H8" s="349"/>
      <c r="I8" s="3243"/>
      <c r="J8" s="351"/>
      <c r="K8" s="352"/>
      <c r="L8" s="347" t="s">
        <v>1407</v>
      </c>
      <c r="M8" s="348">
        <f ca="1">INDIRECT("'数据-取费表'!ai"&amp;$G$1)</f>
        <v>365</v>
      </c>
    </row>
    <row r="9" spans="1:37" ht="18" customHeight="1">
      <c r="A9" s="349"/>
      <c r="B9" s="3244"/>
      <c r="C9" s="351"/>
      <c r="D9" s="352"/>
      <c r="E9" s="347" t="s">
        <v>1408</v>
      </c>
      <c r="F9" s="357">
        <f ca="1">INDIRECT("'数据-取费表'!w"&amp;$G$1)</f>
        <v>0</v>
      </c>
      <c r="G9" s="1849"/>
      <c r="H9" s="349"/>
      <c r="I9" s="3244"/>
      <c r="J9" s="351"/>
      <c r="K9" s="352"/>
      <c r="L9" s="358" t="s">
        <v>1408</v>
      </c>
      <c r="M9" s="359">
        <f ca="1">INDIRECT("'数据-取费表'!ab"&amp;$G$1)</f>
        <v>0.1</v>
      </c>
    </row>
    <row r="10" spans="1:37" ht="18" customHeight="1">
      <c r="A10" s="1290" t="s">
        <v>1039</v>
      </c>
      <c r="B10" s="1821" t="s">
        <v>1409</v>
      </c>
      <c r="C10" s="361">
        <f ca="1">ROUND(IF(F10="押一",F6*F8*F7/12*F11,IF(F10="押二",F6*F8*F7/12*2*F11,IF(F10="押三",F6*F8*F7/12*3*F11,C11*F11)))/10000,0)</f>
        <v>1</v>
      </c>
      <c r="D10" s="1822" t="s">
        <v>3019</v>
      </c>
      <c r="E10" s="358" t="s">
        <v>1411</v>
      </c>
      <c r="F10" s="1365" t="s">
        <v>3184</v>
      </c>
      <c r="G10" s="1849"/>
      <c r="H10" s="1290" t="s">
        <v>1039</v>
      </c>
      <c r="I10" s="1821" t="s">
        <v>1409</v>
      </c>
      <c r="J10" s="346">
        <f ca="1">ROUND(IF(M10="押一",M6*M8*M7/12*M11,IF(M10="押二",M6*M8*M7/12*2*M11,IF(M10="押三",M6*M8*M7/12*3*M11,J11*M11)))/10000,0)</f>
        <v>1</v>
      </c>
      <c r="K10" s="1822" t="s">
        <v>3020</v>
      </c>
      <c r="L10" s="358" t="s">
        <v>1411</v>
      </c>
      <c r="M10" s="1365" t="s">
        <v>3112</v>
      </c>
    </row>
    <row r="11" spans="1:37" ht="18" customHeight="1">
      <c r="A11" s="353"/>
      <c r="B11" s="1823" t="s">
        <v>1388</v>
      </c>
      <c r="C11" s="1177"/>
      <c r="D11" s="1824"/>
      <c r="E11" s="358" t="s">
        <v>1413</v>
      </c>
      <c r="F11" s="359">
        <f ca="1">'数据-取费表'!B39</f>
        <v>1.4999999999999999E-2</v>
      </c>
      <c r="G11" s="1849"/>
      <c r="H11" s="1298"/>
      <c r="I11" s="1823" t="s">
        <v>1388</v>
      </c>
      <c r="J11" s="1177"/>
      <c r="K11" s="747"/>
      <c r="L11" s="358"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5">
        <f ca="1">ROUND(C29*F13,0)</f>
        <v>899</v>
      </c>
      <c r="D13" s="1330" t="s">
        <v>1416</v>
      </c>
      <c r="E13" s="1330" t="s">
        <v>1417</v>
      </c>
      <c r="F13" s="1331">
        <f ca="1">INDIRECT("'数据-取费表'!y"&amp;$G$1)</f>
        <v>0.87</v>
      </c>
      <c r="G13" s="1849"/>
      <c r="H13" s="1328">
        <v>2</v>
      </c>
      <c r="I13" s="1329" t="s">
        <v>1415</v>
      </c>
      <c r="J13" s="1289">
        <f ca="1">ROUND(J14*J15,0)</f>
        <v>847</v>
      </c>
      <c r="K13" s="1336" t="s">
        <v>1416</v>
      </c>
      <c r="L13" s="1850"/>
      <c r="M13" s="1851"/>
    </row>
    <row r="14" spans="1:37" ht="18" customHeight="1">
      <c r="A14" s="1200" t="s">
        <v>1034</v>
      </c>
      <c r="B14" s="347" t="s">
        <v>1418</v>
      </c>
      <c r="C14" s="363">
        <f ca="1">INDIRECT("'数据-取费表'!m"&amp;$G$1)+INDIRECT("'数据-取费表'!t"&amp;$G$1)</f>
        <v>677</v>
      </c>
      <c r="D14" s="1798" t="s">
        <v>1419</v>
      </c>
      <c r="E14" s="1792"/>
      <c r="F14" s="364"/>
      <c r="G14" s="1849"/>
      <c r="H14" s="1200" t="s">
        <v>1035</v>
      </c>
      <c r="I14" s="347" t="s">
        <v>1420</v>
      </c>
      <c r="J14" s="24">
        <f ca="1">C29</f>
        <v>1033</v>
      </c>
      <c r="K14" s="15"/>
      <c r="L14" s="981"/>
      <c r="M14" s="982"/>
    </row>
    <row r="15" spans="1:37" s="1856" customFormat="1" ht="18" customHeight="1" thickBot="1">
      <c r="A15" s="1200" t="s">
        <v>1036</v>
      </c>
      <c r="B15" s="347" t="s">
        <v>1421</v>
      </c>
      <c r="C15" s="24">
        <f ca="1">ROUND(C14*F15,0)</f>
        <v>34</v>
      </c>
      <c r="D15" s="365" t="s">
        <v>1422</v>
      </c>
      <c r="E15" s="365" t="s">
        <v>1423</v>
      </c>
      <c r="F15" s="366">
        <f>'数据-取费表'!B33</f>
        <v>0.05</v>
      </c>
      <c r="G15" s="1852"/>
      <c r="H15" s="1338" t="s">
        <v>1039</v>
      </c>
      <c r="I15" s="1339" t="s">
        <v>1417</v>
      </c>
      <c r="J15" s="1348">
        <f ca="1">INDIRECT("'数据-取费表'!ad"&amp;$G$1)</f>
        <v>0.82</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1424</v>
      </c>
      <c r="C16" s="24">
        <f ca="1">ROUND(INDIRECT("'数据-取费表'!m"&amp;$G$1)*F16,0)</f>
        <v>0</v>
      </c>
      <c r="D16" s="347" t="s">
        <v>1422</v>
      </c>
      <c r="E16" s="347" t="s">
        <v>1423</v>
      </c>
      <c r="F16" s="367">
        <f ca="1">IF(INDIRECT("'数据-取费表'!c"&amp;$G$1)="住宅",'数据-取费表'!B34,0)</f>
        <v>0</v>
      </c>
      <c r="G16" s="1849"/>
      <c r="H16" s="1328" t="s">
        <v>1030</v>
      </c>
      <c r="I16" s="1329" t="s">
        <v>1425</v>
      </c>
      <c r="J16" s="355">
        <f ca="1">ROUND(J17+J22+J23+J24,0)</f>
        <v>54</v>
      </c>
      <c r="K16" s="1336" t="s">
        <v>1426</v>
      </c>
      <c r="L16" s="1337"/>
      <c r="M16" s="1293"/>
    </row>
    <row r="17" spans="1:37" s="1856" customFormat="1" ht="18" customHeight="1">
      <c r="A17" s="1200" t="s">
        <v>1390</v>
      </c>
      <c r="B17" s="347" t="s">
        <v>1427</v>
      </c>
      <c r="C17" s="24">
        <f ca="1">ROUND(F17*(F43+INDIRECT("'数据-取费表'!S"&amp;$G$1))/10000,0)</f>
        <v>45</v>
      </c>
      <c r="D17" s="347" t="s">
        <v>1428</v>
      </c>
      <c r="E17" s="347" t="s">
        <v>1429</v>
      </c>
      <c r="F17" s="26">
        <f>'数据-取费表'!B35</f>
        <v>200</v>
      </c>
      <c r="G17" s="1852"/>
      <c r="H17" s="1200" t="s">
        <v>1035</v>
      </c>
      <c r="I17" s="347" t="s">
        <v>1430</v>
      </c>
      <c r="J17" s="24">
        <f ca="1">ROUND(IF(项目基本情况!B11="自然人",J5*M17,J18+J19+J20),1)</f>
        <v>32.6</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1433</v>
      </c>
      <c r="C18" s="24">
        <f ca="1">ROUND(C14*F18,0)</f>
        <v>10</v>
      </c>
      <c r="D18" s="347" t="s">
        <v>1422</v>
      </c>
      <c r="E18" s="347" t="s">
        <v>1423</v>
      </c>
      <c r="F18" s="367">
        <f>'数据-取费表'!B36</f>
        <v>1.4999999999999999E-2</v>
      </c>
      <c r="G18" s="1852"/>
      <c r="H18" s="1200" t="s">
        <v>1034</v>
      </c>
      <c r="I18" s="347" t="s">
        <v>1434</v>
      </c>
      <c r="J18" s="24">
        <f ca="1">ROUND(J5*M18/(1+'数据-取费表'!C42),2)</f>
        <v>23.79</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1436</v>
      </c>
      <c r="C19" s="24">
        <f ca="1">SUM(C14:C18)</f>
        <v>766</v>
      </c>
      <c r="D19" s="140" t="s">
        <v>1437</v>
      </c>
      <c r="E19" s="1816"/>
      <c r="F19" s="26"/>
      <c r="G19" s="1849"/>
      <c r="H19" s="1200" t="s">
        <v>1036</v>
      </c>
      <c r="I19" s="347" t="s">
        <v>1438</v>
      </c>
      <c r="J19" s="24">
        <f ca="1">IF(K19="按租金收入计税",ROUND(J5*M19,2),ROUND(C29*M19*0.7,2))</f>
        <v>8.68</v>
      </c>
      <c r="K19" s="1826" t="s">
        <v>1439</v>
      </c>
      <c r="L19" s="347" t="s">
        <v>1423</v>
      </c>
      <c r="M19" s="367">
        <f>IF(K19="按租金收入计税",'数据-取费表'!B51,'数据-取费表'!B50)</f>
        <v>1.2E-2</v>
      </c>
    </row>
    <row r="20" spans="1:37" s="1856" customFormat="1" ht="18" customHeight="1">
      <c r="A20" s="1200" t="s">
        <v>1039</v>
      </c>
      <c r="B20" s="347" t="s">
        <v>1440</v>
      </c>
      <c r="C20" s="24">
        <f ca="1">ROUND(C19*F20,0)</f>
        <v>8</v>
      </c>
      <c r="D20" s="369" t="s">
        <v>1441</v>
      </c>
      <c r="E20" s="347" t="s">
        <v>1423</v>
      </c>
      <c r="F20" s="367">
        <f>'数据-取费表'!B37</f>
        <v>0.01</v>
      </c>
      <c r="G20" s="1852"/>
      <c r="H20" s="1200" t="s">
        <v>1389</v>
      </c>
      <c r="I20" s="164" t="s">
        <v>1442</v>
      </c>
      <c r="J20" s="25">
        <f ca="1">ROUND(M20*M21/10000,2)</f>
        <v>0.17</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565.16999999999996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1449</v>
      </c>
      <c r="C22" s="24"/>
      <c r="D22" s="140" t="str">
        <f>IF(F23&lt;=1,"单利计息。","复利计息。")&amp;"建造成本、管理费用、销售费用产生的利息。"</f>
        <v>复利计息。建造成本、管理费用、销售费用产生的利息。</v>
      </c>
      <c r="E22" s="1816"/>
      <c r="F22" s="26"/>
      <c r="G22" s="1849"/>
      <c r="H22" s="1200" t="s">
        <v>1039</v>
      </c>
      <c r="I22" s="347" t="s">
        <v>1450</v>
      </c>
      <c r="J22" s="24">
        <f ca="1">ROUND(J14*M22,1)</f>
        <v>15.5</v>
      </c>
      <c r="K22" s="1796" t="s">
        <v>1451</v>
      </c>
      <c r="L22" s="347" t="s">
        <v>1423</v>
      </c>
      <c r="M22" s="374">
        <f ca="1">INDIRECT("'数据-取费表'!Ak"&amp;$G$1)</f>
        <v>1.4999999999999999E-2</v>
      </c>
    </row>
    <row r="23" spans="1:37" s="1856" customFormat="1" ht="18" customHeight="1">
      <c r="A23" s="1200" t="s">
        <v>1034</v>
      </c>
      <c r="B23" s="347" t="s">
        <v>1452</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1453</v>
      </c>
      <c r="F23" s="371">
        <f>'数据-取费表'!B20</f>
        <v>2</v>
      </c>
      <c r="G23" s="1852"/>
      <c r="H23" s="1200" t="s">
        <v>1075</v>
      </c>
      <c r="I23" s="347" t="s">
        <v>1454</v>
      </c>
      <c r="J23" s="24">
        <f ca="1">ROUND(J13*M23,1)</f>
        <v>1.3</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8" t="s">
        <v>1393</v>
      </c>
      <c r="I24" s="1339" t="s">
        <v>1440</v>
      </c>
      <c r="J24" s="1340">
        <f ca="1">ROUND(J5*M24,1)</f>
        <v>4.5</v>
      </c>
      <c r="K24" s="1341" t="s">
        <v>1460</v>
      </c>
      <c r="L24" s="1339" t="s">
        <v>1456</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1461</v>
      </c>
      <c r="B25" s="347" t="s">
        <v>1462</v>
      </c>
      <c r="C25" s="24"/>
      <c r="D25" s="140" t="s">
        <v>1463</v>
      </c>
      <c r="E25" s="1816"/>
      <c r="F25" s="26"/>
      <c r="G25" s="1849"/>
      <c r="H25" s="1328" t="s">
        <v>1031</v>
      </c>
      <c r="I25" s="1343" t="s">
        <v>1464</v>
      </c>
      <c r="J25" s="355">
        <f ca="1">J5-J16</f>
        <v>392</v>
      </c>
      <c r="K25" s="1344" t="s">
        <v>1465</v>
      </c>
      <c r="L25" s="1345"/>
      <c r="M25" s="1346"/>
    </row>
    <row r="26" spans="1:37">
      <c r="A26" s="1200" t="s">
        <v>1034</v>
      </c>
      <c r="B26" s="347" t="s">
        <v>1466</v>
      </c>
      <c r="C26" s="24">
        <f ca="1">ROUND((C19+C20)*F26,0)</f>
        <v>155</v>
      </c>
      <c r="D26" s="369" t="s">
        <v>1467</v>
      </c>
      <c r="E26" s="358" t="s">
        <v>1468</v>
      </c>
      <c r="F26" s="357">
        <f ca="1">INDIRECT("'数据-取费表'!q"&amp;$G$1)</f>
        <v>0.2</v>
      </c>
      <c r="G26" s="1849"/>
      <c r="H26" s="344" t="s">
        <v>1032</v>
      </c>
      <c r="I26" s="345" t="s">
        <v>1469</v>
      </c>
      <c r="J26" s="346">
        <f ca="1">IF(J5&lt;&gt;0,ROUND(J25*(1-((1+M28)/(1+M26))^M27)/(M26-M28),0),0)</f>
        <v>7015</v>
      </c>
      <c r="K26" s="370" t="s">
        <v>1470</v>
      </c>
      <c r="L26" s="347" t="s">
        <v>1471</v>
      </c>
      <c r="M26" s="357">
        <f ca="1">INDIRECT("'数据-取费表'!I"&amp;$G$1)</f>
        <v>0.06</v>
      </c>
    </row>
    <row r="27" spans="1:37" ht="18" customHeight="1">
      <c r="A27" s="1200" t="s">
        <v>1036</v>
      </c>
      <c r="B27" s="347" t="s">
        <v>1472</v>
      </c>
      <c r="C27" s="24">
        <f ca="1">ROUND(F21*F26,4)</f>
        <v>2E-3</v>
      </c>
      <c r="D27" s="369" t="s">
        <v>1473</v>
      </c>
      <c r="E27" s="365"/>
      <c r="F27" s="366"/>
      <c r="G27" s="1849"/>
      <c r="H27" s="349"/>
      <c r="I27" s="350"/>
      <c r="J27" s="351"/>
      <c r="K27" s="378" t="s">
        <v>1474</v>
      </c>
      <c r="L27" s="347" t="s">
        <v>1475</v>
      </c>
      <c r="M27" s="379">
        <f ca="1">INDIRECT("'数据-取费表'!ag"&amp;$G$1)</f>
        <v>26.810000000000002</v>
      </c>
    </row>
    <row r="28" spans="1:37" s="1856" customFormat="1" ht="18" customHeight="1">
      <c r="A28" s="1200"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1033</v>
      </c>
      <c r="D29" s="1341"/>
      <c r="E29" s="1339"/>
      <c r="F29" s="1342"/>
      <c r="G29" s="1852"/>
      <c r="H29" s="380" t="s">
        <v>1033</v>
      </c>
      <c r="I29" s="381" t="s">
        <v>1480</v>
      </c>
      <c r="J29" s="382">
        <f ca="1">ROUND(J26/(1+F40)^F41,0)</f>
        <v>5768</v>
      </c>
      <c r="K29" s="383" t="s">
        <v>1481</v>
      </c>
      <c r="L29" s="384"/>
      <c r="M29" s="385">
        <f ca="1">INDIRECT("'数据-取费表'!k"&amp;$G$1)</f>
        <v>2255.8900000000003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5">
        <f ca="1">ROUND(C31+C36+C37+C38,0)</f>
        <v>42</v>
      </c>
      <c r="D30" s="1336" t="s">
        <v>1426</v>
      </c>
      <c r="E30" s="1337"/>
      <c r="F30" s="1293"/>
      <c r="G30" s="1849"/>
      <c r="H30" s="744"/>
      <c r="I30" s="745"/>
      <c r="J30" s="746"/>
      <c r="K30" s="747"/>
      <c r="L30" s="748"/>
      <c r="M30" s="749"/>
    </row>
    <row r="31" spans="1:37" ht="18" customHeight="1">
      <c r="A31" s="1200" t="s">
        <v>1035</v>
      </c>
      <c r="B31" s="347" t="s">
        <v>1430</v>
      </c>
      <c r="C31" s="24">
        <f ca="1">ROUND(IF(项目基本情况!B11="自然人",C5*F31,C32+C33+C34),1)</f>
        <v>22.5</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1434</v>
      </c>
      <c r="C32" s="24">
        <f ca="1">IF(项目基本情况!B11="自然人","——",ROUND(C5*F32/(1+'数据-取费表'!C42),2))</f>
        <v>13.65</v>
      </c>
      <c r="D32" s="1796" t="s">
        <v>1435</v>
      </c>
      <c r="E32" s="347" t="s">
        <v>1423</v>
      </c>
      <c r="F32" s="377">
        <f>'数据-取费表'!B41</f>
        <v>5.6000000000000001E-2</v>
      </c>
      <c r="G32" s="1849"/>
      <c r="H32" s="744"/>
      <c r="I32" s="745"/>
      <c r="J32" s="746"/>
      <c r="K32" s="747"/>
      <c r="L32" s="748"/>
      <c r="M32" s="749"/>
    </row>
    <row r="33" spans="1:18" ht="18" customHeight="1">
      <c r="A33" s="1200" t="s">
        <v>1036</v>
      </c>
      <c r="B33" s="347" t="s">
        <v>1438</v>
      </c>
      <c r="C33" s="24">
        <f ca="1">IF(项目基本情况!B11="自然人","——",IF(D33="按租金收入计税",ROUND(C5*F33,2),IF(D33="按房产原值计税",ROUND(C29*F33*0.7,2),INDIRECT("'数据-取费表'!Aj"&amp;$G$1))))</f>
        <v>8.68</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0" t="s">
        <v>1389</v>
      </c>
      <c r="B34" s="164" t="s">
        <v>1442</v>
      </c>
      <c r="C34" s="25">
        <f ca="1">IF(项目基本情况!B11="自然人","——",ROUND(F34*F35/10000,2))</f>
        <v>0.17</v>
      </c>
      <c r="D34" s="370" t="s">
        <v>1443</v>
      </c>
      <c r="E34" s="347" t="s">
        <v>1444</v>
      </c>
      <c r="F34" s="371">
        <f>'数据-取费表'!B52</f>
        <v>3</v>
      </c>
      <c r="G34" s="1849"/>
      <c r="H34" s="744"/>
      <c r="I34" s="1858"/>
      <c r="J34" s="1859"/>
      <c r="K34" s="1861"/>
      <c r="L34" s="1862"/>
      <c r="M34" s="1862"/>
    </row>
    <row r="35" spans="1:18" ht="18" customHeight="1">
      <c r="A35" s="1352"/>
      <c r="B35" s="1350"/>
      <c r="C35" s="29"/>
      <c r="D35" s="373"/>
      <c r="E35" s="347" t="s">
        <v>1448</v>
      </c>
      <c r="F35" s="348">
        <f ca="1">INDIRECT("'数据-取费表'!r"&amp;$G$1)</f>
        <v>565.16999999999996</v>
      </c>
      <c r="G35" s="1849"/>
      <c r="H35" s="744"/>
      <c r="I35" s="1858"/>
      <c r="J35" s="1859"/>
      <c r="K35" s="1860"/>
      <c r="L35" s="1857"/>
      <c r="M35" s="1857"/>
    </row>
    <row r="36" spans="1:18" ht="18" customHeight="1">
      <c r="A36" s="1351" t="s">
        <v>1039</v>
      </c>
      <c r="B36" s="347" t="s">
        <v>1450</v>
      </c>
      <c r="C36" s="24">
        <f ca="1">ROUND(C29*F36,1)</f>
        <v>15.5</v>
      </c>
      <c r="D36" s="1796" t="s">
        <v>1483</v>
      </c>
      <c r="E36" s="347" t="s">
        <v>1423</v>
      </c>
      <c r="F36" s="374">
        <f ca="1">INDIRECT("'数据-取费表'!Ak"&amp;$G$1)</f>
        <v>1.4999999999999999E-2</v>
      </c>
      <c r="G36" s="1849"/>
      <c r="H36" s="1857"/>
      <c r="I36" s="1858"/>
      <c r="J36" s="1859"/>
      <c r="K36" s="750"/>
      <c r="L36" s="1857"/>
      <c r="M36" s="1857"/>
    </row>
    <row r="37" spans="1:18" ht="18" customHeight="1">
      <c r="A37" s="1200" t="s">
        <v>1075</v>
      </c>
      <c r="B37" s="347" t="s">
        <v>1454</v>
      </c>
      <c r="C37" s="24">
        <f ca="1">ROUND(C13*F37,1)</f>
        <v>1.3</v>
      </c>
      <c r="D37" s="1796" t="s">
        <v>1455</v>
      </c>
      <c r="E37" s="347" t="s">
        <v>1456</v>
      </c>
      <c r="F37" s="376">
        <f ca="1">INDIRECT("'数据-取费表'!Al"&amp;$G$1)</f>
        <v>1.5E-3</v>
      </c>
      <c r="G37" s="1849"/>
      <c r="H37" s="1857"/>
      <c r="I37" s="1858"/>
      <c r="J37" s="1859"/>
      <c r="K37" s="750"/>
      <c r="L37" s="1857"/>
      <c r="M37" s="1857"/>
    </row>
    <row r="38" spans="1:18" ht="18" customHeight="1" thickBot="1">
      <c r="A38" s="1338" t="s">
        <v>1393</v>
      </c>
      <c r="B38" s="1339" t="s">
        <v>1440</v>
      </c>
      <c r="C38" s="1340">
        <f ca="1">ROUND(C5*F38,1)</f>
        <v>2.6</v>
      </c>
      <c r="D38" s="1341" t="s">
        <v>1460</v>
      </c>
      <c r="E38" s="1339" t="s">
        <v>1456</v>
      </c>
      <c r="F38" s="1335">
        <f ca="1">INDIRECT("'数据-取费表'!Am"&amp;$G$1)</f>
        <v>0.01</v>
      </c>
      <c r="G38" s="1849"/>
      <c r="H38" s="1857"/>
      <c r="I38" s="1858"/>
      <c r="J38" s="1859"/>
      <c r="K38" s="1863"/>
      <c r="L38" s="1857"/>
      <c r="M38" s="1857"/>
    </row>
    <row r="39" spans="1:18" ht="24.6" customHeight="1" thickTop="1">
      <c r="A39" s="1328" t="s">
        <v>1031</v>
      </c>
      <c r="B39" s="1343" t="s">
        <v>1484</v>
      </c>
      <c r="C39" s="355">
        <f ca="1">C5-C30</f>
        <v>214</v>
      </c>
      <c r="D39" s="1344" t="s">
        <v>1485</v>
      </c>
      <c r="E39" s="1345"/>
      <c r="F39" s="1346"/>
      <c r="G39" s="1849"/>
      <c r="H39" s="1857"/>
      <c r="I39" s="1858"/>
      <c r="J39" s="1859"/>
      <c r="K39" s="1863"/>
      <c r="L39" s="1857"/>
      <c r="M39" s="1857"/>
    </row>
    <row r="40" spans="1:18" ht="18" customHeight="1">
      <c r="A40" s="344" t="s">
        <v>1032</v>
      </c>
      <c r="B40" s="345" t="s">
        <v>1486</v>
      </c>
      <c r="C40" s="346">
        <f ca="1">ROUND(C39*(1-((1+F42)/(1+F40))^F41)/(F40-F42),0)</f>
        <v>634</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3.36</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f ca="1">ROUND(C40*10000/F43,0)</f>
        <v>2810</v>
      </c>
      <c r="D43" s="383" t="s">
        <v>1489</v>
      </c>
      <c r="E43" s="384" t="s">
        <v>1490</v>
      </c>
      <c r="F43" s="385">
        <f ca="1">INDIRECT("'数据-取费表'!k"&amp;$G$1)</f>
        <v>2255.8900000000003</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439</v>
      </c>
      <c r="D46" s="1870" t="str">
        <f>C2</f>
        <v>万元</v>
      </c>
      <c r="E46" s="1864"/>
      <c r="F46" s="1864"/>
      <c r="I46" s="1871" t="s">
        <v>1522</v>
      </c>
      <c r="J46" s="1872"/>
      <c r="K46" s="1873"/>
      <c r="L46" s="1874">
        <f ca="1">IF(M47="住宅",0,IF(L48&gt;J51,L60,J60))</f>
        <v>27</v>
      </c>
      <c r="O46" s="1875" t="s">
        <v>1523</v>
      </c>
      <c r="P46" s="1876" t="s">
        <v>1524</v>
      </c>
      <c r="Q46" s="1877" t="s">
        <v>1525</v>
      </c>
      <c r="R46" s="1877" t="s">
        <v>1526</v>
      </c>
    </row>
    <row r="47" spans="1:18" s="1840" customFormat="1" ht="13.5" thickBot="1">
      <c r="A47" s="1164" t="s">
        <v>1396</v>
      </c>
      <c r="B47" s="1196" t="s">
        <v>1397</v>
      </c>
      <c r="C47" s="1366" t="s">
        <v>1398</v>
      </c>
      <c r="D47" s="1196" t="s">
        <v>1399</v>
      </c>
      <c r="E47" s="1278" t="s">
        <v>1400</v>
      </c>
      <c r="F47" s="1279"/>
      <c r="G47" s="791"/>
      <c r="I47" s="1878" t="s">
        <v>1527</v>
      </c>
      <c r="J47" s="1879" t="s">
        <v>3082</v>
      </c>
      <c r="K47" s="1880" t="s">
        <v>1528</v>
      </c>
      <c r="L47" s="1881">
        <f ca="1">INDIRECT("'数据-取费表'!d"&amp;$G$1)</f>
        <v>40</v>
      </c>
      <c r="M47" s="1836" t="str">
        <f>IF(ISNUMBER(FIND("住宅",C1)),"住宅","非住宅")</f>
        <v>非住宅</v>
      </c>
      <c r="O47" s="1882" t="s">
        <v>1040</v>
      </c>
      <c r="P47" s="1883" t="s">
        <v>1529</v>
      </c>
      <c r="Q47" s="1884">
        <f ca="1">C40+J29</f>
        <v>6402</v>
      </c>
      <c r="R47" s="1884" t="s">
        <v>1530</v>
      </c>
    </row>
    <row r="48" spans="1:18" s="1840" customFormat="1" ht="28.5" thickBot="1">
      <c r="A48" s="1359" t="s">
        <v>1135</v>
      </c>
      <c r="B48" s="345" t="s">
        <v>1401</v>
      </c>
      <c r="C48" s="1815">
        <f ca="1">C49+C53+C55</f>
        <v>401</v>
      </c>
      <c r="D48" s="1361"/>
      <c r="E48" s="1362"/>
      <c r="F48" s="1180"/>
      <c r="G48" s="791"/>
      <c r="H48" s="792"/>
      <c r="I48" s="1885" t="s">
        <v>1531</v>
      </c>
      <c r="J48" s="1886" t="s">
        <v>3113</v>
      </c>
      <c r="K48" s="1887" t="s">
        <v>1532</v>
      </c>
      <c r="L48" s="1888">
        <f ca="1">INDIRECT("'数据-取费表'!f"&amp;$G$1)</f>
        <v>30.17</v>
      </c>
      <c r="O48" s="1882" t="s">
        <v>1041</v>
      </c>
      <c r="P48" s="1883" t="s">
        <v>1533</v>
      </c>
      <c r="Q48" s="1884">
        <f ca="1">J60</f>
        <v>27</v>
      </c>
      <c r="R48" s="1884" t="s">
        <v>1534</v>
      </c>
    </row>
    <row r="49" spans="1:18" s="1840" customFormat="1" ht="13.5" thickBot="1">
      <c r="A49" s="1193" t="s">
        <v>1136</v>
      </c>
      <c r="B49" s="1827" t="s">
        <v>1491</v>
      </c>
      <c r="C49" s="1363">
        <f ca="1">ROUND(F49*F51*F50*(1-F52)/10000,0)</f>
        <v>400</v>
      </c>
      <c r="D49" s="1275" t="s">
        <v>3021</v>
      </c>
      <c r="E49" s="1828" t="s">
        <v>1492</v>
      </c>
      <c r="F49" s="1280">
        <f>'数据-取费表'!U7</f>
        <v>5.4</v>
      </c>
      <c r="G49" s="1889"/>
      <c r="H49" s="792"/>
      <c r="I49" s="1885" t="s">
        <v>1535</v>
      </c>
      <c r="J49" s="1890">
        <v>2010</v>
      </c>
      <c r="K49" s="1887" t="s">
        <v>1536</v>
      </c>
      <c r="L49" s="1891"/>
      <c r="O49" s="1892" t="s">
        <v>1042</v>
      </c>
      <c r="P49" s="1883" t="s">
        <v>1537</v>
      </c>
      <c r="Q49" s="1884">
        <f ca="1">C29</f>
        <v>1033</v>
      </c>
      <c r="R49" s="1884" t="s">
        <v>1530</v>
      </c>
    </row>
    <row r="50" spans="1:18" s="1840" customFormat="1" ht="13.5" thickBot="1">
      <c r="A50" s="1194"/>
      <c r="B50" s="1197"/>
      <c r="C50" s="1367"/>
      <c r="D50" s="1171"/>
      <c r="E50" s="1276" t="s">
        <v>1406</v>
      </c>
      <c r="F50" s="1277">
        <f ca="1">F7</f>
        <v>2255.8900000000003</v>
      </c>
      <c r="H50" s="792"/>
      <c r="I50" s="1885" t="s">
        <v>1538</v>
      </c>
      <c r="J50" s="1893">
        <f>SUMPRODUCT((I63:I65=J47)*(J62:L62=J48)*(J63:L65))</f>
        <v>60</v>
      </c>
      <c r="K50" s="1887" t="s">
        <v>1539</v>
      </c>
      <c r="L50" s="1891"/>
      <c r="M50" s="1894"/>
      <c r="O50" s="1892" t="s">
        <v>1043</v>
      </c>
      <c r="P50" s="1883" t="s">
        <v>1540</v>
      </c>
      <c r="Q50" s="1895">
        <f ca="1">J58</f>
        <v>0.4</v>
      </c>
      <c r="R50" s="1884"/>
    </row>
    <row r="51" spans="1:18" s="1840" customFormat="1" ht="13.5" thickBot="1">
      <c r="A51" s="1195"/>
      <c r="B51" s="1197"/>
      <c r="C51" s="1198"/>
      <c r="D51" s="1171"/>
      <c r="E51" s="1199" t="s">
        <v>1407</v>
      </c>
      <c r="F51" s="348">
        <f ca="1">F8</f>
        <v>365</v>
      </c>
      <c r="I51" s="1896" t="s">
        <v>1541</v>
      </c>
      <c r="J51" s="1897">
        <f>IF(J49="",J50,J49+J50-YEAR('数据-取费表'!B2))</f>
        <v>52</v>
      </c>
      <c r="K51" s="1898" t="s">
        <v>1542</v>
      </c>
      <c r="L51" s="1899">
        <f ca="1">ROUND(-PV(INDIRECT("'数据-取费表'!h"&amp;$G$1),L48,(C39-C13*C76),0),0)</f>
        <v>2247</v>
      </c>
      <c r="M51" s="1900"/>
      <c r="O51" s="1892" t="s">
        <v>1044</v>
      </c>
      <c r="P51" s="1883" t="s">
        <v>1543</v>
      </c>
      <c r="Q51" s="1895">
        <f>J52</f>
        <v>9.5000000000000001E-2</v>
      </c>
      <c r="R51" s="1884"/>
    </row>
    <row r="52" spans="1:18" s="1840" customFormat="1" ht="13.5" thickBot="1">
      <c r="A52" s="1195"/>
      <c r="B52" s="1197"/>
      <c r="C52" s="1198"/>
      <c r="D52" s="1171"/>
      <c r="E52" s="1199" t="s">
        <v>1408</v>
      </c>
      <c r="F52" s="1274">
        <f>'数据-取费表'!W7</f>
        <v>0.1</v>
      </c>
      <c r="I52" s="1901" t="s">
        <v>1544</v>
      </c>
      <c r="J52" s="1902">
        <v>9.5000000000000001E-2</v>
      </c>
      <c r="K52" s="1901" t="s">
        <v>1545</v>
      </c>
      <c r="L52" s="1902"/>
      <c r="O52" s="1892" t="s">
        <v>1045</v>
      </c>
      <c r="P52" s="1883" t="s">
        <v>1546</v>
      </c>
      <c r="Q52" s="1884">
        <f ca="1">J53</f>
        <v>30.17</v>
      </c>
      <c r="R52" s="1884" t="s">
        <v>1547</v>
      </c>
    </row>
    <row r="53" spans="1:18" s="1840" customFormat="1" ht="24.75" thickBot="1">
      <c r="A53" s="1404" t="s">
        <v>1137</v>
      </c>
      <c r="B53" s="1829" t="s">
        <v>1409</v>
      </c>
      <c r="C53" s="361">
        <f ca="1">ROUND(IF(F53="押一",F49*F51*F50/12*F11,IF(F53="押二",F49*F51*F50/12*2*F11,IF(F53="押三",F49*F51*F50/12*3*F11,C54*F11)))/10000,0)</f>
        <v>1</v>
      </c>
      <c r="D53" s="1822" t="s">
        <v>3019</v>
      </c>
      <c r="E53" s="358" t="s">
        <v>1411</v>
      </c>
      <c r="F53" s="1365" t="s">
        <v>3112</v>
      </c>
      <c r="I53" s="1903" t="s">
        <v>1548</v>
      </c>
      <c r="J53" s="1904">
        <f ca="1">IF(M47="住宅",J51,IF(D1="——",MIN(J51,L48),IF(D1="在建（套用方法）",MIN(J51,L48-'数据-取费表'!B24),IF(D1="土地（套用方法）",MIN(J51,L48-'数据-取费表'!B20)))))</f>
        <v>30.17</v>
      </c>
      <c r="K53" s="3245" t="s">
        <v>1549</v>
      </c>
      <c r="L53" s="3246"/>
      <c r="O53" s="1882" t="s">
        <v>1046</v>
      </c>
      <c r="P53" s="1883" t="s">
        <v>1550</v>
      </c>
      <c r="Q53" s="1884">
        <f ca="1">Q47+Q48</f>
        <v>6429</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1830"/>
      <c r="F55" s="1905"/>
      <c r="I55" s="1908" t="s">
        <v>1552</v>
      </c>
      <c r="J55" s="1909">
        <f ca="1">ROUND(IF(J47="钢混",J57/J50,1-(1-2%)*(J50-J57)/J50),3)</f>
        <v>0.36399999999999999</v>
      </c>
      <c r="K55" s="1910" t="s">
        <v>1553</v>
      </c>
      <c r="L55" s="1911" t="s">
        <v>1554</v>
      </c>
      <c r="O55" s="1875" t="s">
        <v>1523</v>
      </c>
      <c r="P55" s="1876" t="s">
        <v>1524</v>
      </c>
      <c r="Q55" s="1877" t="s">
        <v>1525</v>
      </c>
      <c r="R55" s="1877" t="s">
        <v>1526</v>
      </c>
    </row>
    <row r="56" spans="1:18" s="1840" customFormat="1" ht="25.5" thickTop="1" thickBot="1">
      <c r="A56" s="1175">
        <v>2</v>
      </c>
      <c r="B56" s="1176" t="s">
        <v>1415</v>
      </c>
      <c r="C56" s="276">
        <f ca="1">C13</f>
        <v>899</v>
      </c>
      <c r="D56" s="1912"/>
      <c r="E56" s="1913"/>
      <c r="F56" s="1905"/>
      <c r="I56" s="1914" t="s">
        <v>1555</v>
      </c>
      <c r="J56" s="1915" t="s">
        <v>3042</v>
      </c>
      <c r="K56" s="1885" t="s">
        <v>1556</v>
      </c>
      <c r="L56" s="1888" t="str">
        <f ca="1">IF(L48&lt;J51,"——",L48-J53)</f>
        <v>——</v>
      </c>
      <c r="O56" s="1882" t="s">
        <v>1040</v>
      </c>
      <c r="P56" s="1883" t="s">
        <v>1529</v>
      </c>
      <c r="Q56" s="1884">
        <f ca="1">C40+J29</f>
        <v>6402</v>
      </c>
      <c r="R56" s="1884" t="s">
        <v>1530</v>
      </c>
    </row>
    <row r="57" spans="1:18" s="1840" customFormat="1" ht="24.75" thickBot="1">
      <c r="A57" s="1916"/>
      <c r="B57" s="1168" t="s">
        <v>1479</v>
      </c>
      <c r="C57" s="282">
        <f ca="1">C29</f>
        <v>1033</v>
      </c>
      <c r="D57" s="1917"/>
      <c r="E57" s="1918"/>
      <c r="F57" s="1919"/>
      <c r="I57" s="1920" t="s">
        <v>1557</v>
      </c>
      <c r="J57" s="1921">
        <f ca="1">IF(OR(M47="住宅",J51&lt;L48,J56="是"),"——",J51-L48)</f>
        <v>21.83</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6" t="s">
        <v>1425</v>
      </c>
      <c r="C58" s="361">
        <f ca="1">ROUND(C59+C64+C65+C66,0)</f>
        <v>51</v>
      </c>
      <c r="D58" s="1178" t="s">
        <v>1426</v>
      </c>
      <c r="E58" s="1179"/>
      <c r="F58" s="1180"/>
      <c r="I58" s="1920" t="s">
        <v>1561</v>
      </c>
      <c r="J58" s="1922">
        <f ca="1">IF(J55&lt;0.4,0.4,J55)</f>
        <v>0.4</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0" t="s">
        <v>1035</v>
      </c>
      <c r="B59" s="1168" t="s">
        <v>1430</v>
      </c>
      <c r="C59" s="24">
        <f ca="1">ROUND(IF(项目基本情况!B11="自然人",C48*F59,C60+C61+C62),1)</f>
        <v>30.2</v>
      </c>
      <c r="D59" s="1181" t="s">
        <v>1431</v>
      </c>
      <c r="E59" s="1182" t="s">
        <v>1432</v>
      </c>
      <c r="F59" s="368" t="str">
        <f ca="1">IF(项目基本情况!B11="企业","",IF(INDIRECT("'数据-取费表'!c"&amp;$G$1)="住宅",5%,IF(F49*F50*F51/12/(1+'数据-取费表'!C42)&gt;20000,12%,7%)))</f>
        <v/>
      </c>
      <c r="I59" s="1920" t="s">
        <v>1564</v>
      </c>
      <c r="J59" s="1921">
        <f ca="1">IF(OR(M47="住宅",J51&lt;L48,J56="是"),"——",ROUND(C29*J58,0))</f>
        <v>413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0" t="s">
        <v>1034</v>
      </c>
      <c r="B60" s="1168" t="s">
        <v>1434</v>
      </c>
      <c r="C60" s="24">
        <f ca="1">IF(项目基本情况!B11="自然人","——",ROUND(C48*F60/(1+'数据-取费表'!C42),2))</f>
        <v>21.39</v>
      </c>
      <c r="D60" s="1182" t="s">
        <v>1435</v>
      </c>
      <c r="E60" s="1168" t="s">
        <v>1423</v>
      </c>
      <c r="F60" s="377">
        <f t="shared" ref="F60:F66" si="0">F32</f>
        <v>5.6000000000000001E-2</v>
      </c>
      <c r="I60" s="1923" t="s">
        <v>1566</v>
      </c>
      <c r="J60" s="1924">
        <f ca="1">IF(OR(M47="住宅",J51&lt;L48,J56="是"),"0",ROUND(J59/(1+J52)^J53,0))</f>
        <v>27</v>
      </c>
      <c r="K60" s="1925" t="s">
        <v>1567</v>
      </c>
      <c r="L60" s="1924">
        <f ca="1">IF(OR(M47="住宅",L48&lt;J51),0,ROUND(L57*(L58/L59-1),0))</f>
        <v>0</v>
      </c>
      <c r="O60" s="1892" t="s">
        <v>1044</v>
      </c>
      <c r="P60" s="1883" t="s">
        <v>1568</v>
      </c>
      <c r="Q60" s="1884" t="e">
        <f ca="1">L58</f>
        <v>#DIV/0!</v>
      </c>
      <c r="R60" s="1884" t="s">
        <v>1569</v>
      </c>
    </row>
    <row r="61" spans="1:18" s="1840" customFormat="1" ht="13.5" thickBot="1">
      <c r="A61" s="1200" t="s">
        <v>1493</v>
      </c>
      <c r="B61" s="1168" t="s">
        <v>1494</v>
      </c>
      <c r="C61" s="24">
        <f ca="1">IF(项目基本情况!B11="自然人","——",IF(D61="按租金收入计税",ROUND(C48*F61,2),IF(D61="按房产原值计税",ROUND(C57*F61*0.7,2),INDIRECT("'数据-取费表'!Aj"&amp;$G$1))))</f>
        <v>8.68</v>
      </c>
      <c r="D61" s="1826" t="s">
        <v>1439</v>
      </c>
      <c r="E61" s="1168" t="s">
        <v>1495</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0" t="s">
        <v>1496</v>
      </c>
      <c r="B62" s="1167" t="s">
        <v>1497</v>
      </c>
      <c r="C62" s="25">
        <f ca="1">IF(项目基本情况!B11="自然人","——",ROUND(F62*F63/10000,2))</f>
        <v>0.17</v>
      </c>
      <c r="D62" s="1183" t="s">
        <v>1498</v>
      </c>
      <c r="E62" s="1168" t="s">
        <v>1499</v>
      </c>
      <c r="F62" s="371">
        <f t="shared" si="0"/>
        <v>3</v>
      </c>
      <c r="I62" s="1927" t="s">
        <v>1571</v>
      </c>
      <c r="J62" s="1928" t="s">
        <v>1572</v>
      </c>
      <c r="K62" s="1928" t="s">
        <v>1573</v>
      </c>
      <c r="L62" s="1928" t="s">
        <v>1574</v>
      </c>
      <c r="M62" s="1929" t="s">
        <v>1575</v>
      </c>
      <c r="O62" s="1882" t="s">
        <v>1046</v>
      </c>
      <c r="P62" s="1883" t="s">
        <v>1576</v>
      </c>
      <c r="Q62" s="1884">
        <f ca="1">Q56+Q57</f>
        <v>6402</v>
      </c>
      <c r="R62" s="1884" t="s">
        <v>1047</v>
      </c>
    </row>
    <row r="63" spans="1:18" s="1840" customFormat="1" ht="13.5" thickBot="1">
      <c r="A63" s="372"/>
      <c r="B63" s="1174"/>
      <c r="C63" s="29"/>
      <c r="D63" s="1184"/>
      <c r="E63" s="1168" t="s">
        <v>1500</v>
      </c>
      <c r="F63" s="348">
        <f t="shared" ca="1" si="0"/>
        <v>565.16999999999996</v>
      </c>
      <c r="I63" s="1927" t="s">
        <v>1577</v>
      </c>
      <c r="J63" s="1928">
        <v>70</v>
      </c>
      <c r="K63" s="1928">
        <v>50</v>
      </c>
      <c r="L63" s="1928">
        <v>80</v>
      </c>
      <c r="M63" s="1930">
        <v>0.02</v>
      </c>
      <c r="O63" s="1867" t="s">
        <v>1578</v>
      </c>
      <c r="P63" s="1837"/>
      <c r="Q63" s="1837"/>
      <c r="R63" s="1837"/>
    </row>
    <row r="64" spans="1:18" s="1840" customFormat="1" ht="13.5" thickBot="1">
      <c r="A64" s="1200" t="s">
        <v>1501</v>
      </c>
      <c r="B64" s="1168" t="s">
        <v>1502</v>
      </c>
      <c r="C64" s="24">
        <f ca="1">ROUND(C57*F64,1)</f>
        <v>15.5</v>
      </c>
      <c r="D64" s="1182" t="s">
        <v>1503</v>
      </c>
      <c r="E64" s="1168"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0" t="s">
        <v>1504</v>
      </c>
      <c r="B65" s="1168" t="s">
        <v>1454</v>
      </c>
      <c r="C65" s="24">
        <f ca="1">ROUND(C56*F65,1)</f>
        <v>1.3</v>
      </c>
      <c r="D65" s="1182" t="s">
        <v>1455</v>
      </c>
      <c r="E65" s="1168" t="s">
        <v>1456</v>
      </c>
      <c r="F65" s="376">
        <f t="shared" ca="1" si="0"/>
        <v>1.5E-3</v>
      </c>
      <c r="I65" s="1927" t="s">
        <v>1580</v>
      </c>
      <c r="J65" s="1928">
        <v>40</v>
      </c>
      <c r="K65" s="1928">
        <v>30</v>
      </c>
      <c r="L65" s="1928">
        <v>50</v>
      </c>
      <c r="M65" s="1930">
        <v>0.02</v>
      </c>
      <c r="O65" s="1882" t="s">
        <v>1040</v>
      </c>
      <c r="P65" s="1883" t="s">
        <v>1581</v>
      </c>
      <c r="Q65" s="1884">
        <f ca="1">C40+J29</f>
        <v>6402</v>
      </c>
      <c r="R65" s="1884" t="s">
        <v>1530</v>
      </c>
    </row>
    <row r="66" spans="1:18" s="1840" customFormat="1" ht="16.5" thickBot="1">
      <c r="A66" s="1200" t="s">
        <v>1505</v>
      </c>
      <c r="B66" s="1168" t="s">
        <v>1440</v>
      </c>
      <c r="C66" s="24">
        <f ca="1">ROUND(C48*F66,1)</f>
        <v>4</v>
      </c>
      <c r="D66" s="1182" t="s">
        <v>1506</v>
      </c>
      <c r="E66" s="1168" t="s">
        <v>1423</v>
      </c>
      <c r="F66" s="357">
        <f t="shared" ca="1" si="0"/>
        <v>0.01</v>
      </c>
      <c r="O66" s="1882" t="s">
        <v>1041</v>
      </c>
      <c r="P66" s="1883" t="s">
        <v>1559</v>
      </c>
      <c r="Q66" s="1884">
        <f ca="1">L60</f>
        <v>0</v>
      </c>
      <c r="R66" s="1884" t="s">
        <v>1582</v>
      </c>
    </row>
    <row r="67" spans="1:18" s="1840" customFormat="1" ht="16.5" thickBot="1">
      <c r="A67" s="1175" t="s">
        <v>1031</v>
      </c>
      <c r="B67" s="1185" t="s">
        <v>1464</v>
      </c>
      <c r="C67" s="361">
        <f ca="1">C48-C58</f>
        <v>350</v>
      </c>
      <c r="D67" s="1181" t="s">
        <v>1465</v>
      </c>
      <c r="E67" s="1186"/>
      <c r="F67" s="1187"/>
      <c r="O67" s="1892" t="s">
        <v>1042</v>
      </c>
      <c r="P67" s="1883" t="s">
        <v>1563</v>
      </c>
      <c r="Q67" s="1931">
        <f ca="1">L51</f>
        <v>2247</v>
      </c>
      <c r="R67" s="1884" t="s">
        <v>1583</v>
      </c>
    </row>
    <row r="68" spans="1:18" s="1840" customFormat="1" ht="16.5" thickBot="1">
      <c r="A68" s="1165" t="s">
        <v>1032</v>
      </c>
      <c r="B68" s="1166" t="s">
        <v>1486</v>
      </c>
      <c r="C68" s="346">
        <f ca="1">ROUND(C67*(1-((1+F70)/(1+F68))^F69)/(F68-F70),0)</f>
        <v>1073</v>
      </c>
      <c r="D68" s="1183" t="s">
        <v>1470</v>
      </c>
      <c r="E68" s="1168" t="s">
        <v>1471</v>
      </c>
      <c r="F68" s="357">
        <f ca="1">F40</f>
        <v>0.06</v>
      </c>
      <c r="O68" s="1892" t="s">
        <v>1043</v>
      </c>
      <c r="P68" s="1932" t="s">
        <v>1584</v>
      </c>
      <c r="Q68" s="1884">
        <f ca="1">ROUND(Q69-Q70*Q71,0)</f>
        <v>138</v>
      </c>
      <c r="R68" s="1884" t="s">
        <v>1051</v>
      </c>
    </row>
    <row r="69" spans="1:18" s="1840" customFormat="1" ht="13.5" thickBot="1">
      <c r="A69" s="1169"/>
      <c r="B69" s="1170"/>
      <c r="C69" s="351"/>
      <c r="D69" s="1188" t="s">
        <v>1474</v>
      </c>
      <c r="E69" s="1168" t="s">
        <v>1475</v>
      </c>
      <c r="F69" s="379">
        <f ca="1">F41</f>
        <v>3.36</v>
      </c>
      <c r="O69" s="1892" t="s">
        <v>1048</v>
      </c>
      <c r="P69" s="1932" t="s">
        <v>1585</v>
      </c>
      <c r="Q69" s="1884">
        <f ca="1">C39</f>
        <v>214</v>
      </c>
      <c r="R69" s="1884" t="s">
        <v>1530</v>
      </c>
    </row>
    <row r="70" spans="1:18" s="1840" customFormat="1" ht="13.5" thickBot="1">
      <c r="A70" s="1172"/>
      <c r="B70" s="1173"/>
      <c r="C70" s="355"/>
      <c r="D70" s="1184"/>
      <c r="E70" s="1168" t="s">
        <v>1478</v>
      </c>
      <c r="F70" s="1274">
        <f>'数据-取费表'!V7</f>
        <v>0.03</v>
      </c>
      <c r="O70" s="1892" t="s">
        <v>1049</v>
      </c>
      <c r="P70" s="1932" t="s">
        <v>1586</v>
      </c>
      <c r="Q70" s="1884">
        <f ca="1">C13</f>
        <v>899</v>
      </c>
      <c r="R70" s="1884" t="s">
        <v>1530</v>
      </c>
    </row>
    <row r="71" spans="1:18" s="1840" customFormat="1" ht="13.5" thickBot="1">
      <c r="A71" s="1189" t="s">
        <v>1033</v>
      </c>
      <c r="B71" s="1190" t="s">
        <v>1488</v>
      </c>
      <c r="C71" s="382">
        <f ca="1">ROUND(C68*10000/F71,0)</f>
        <v>4756</v>
      </c>
      <c r="D71" s="1191" t="s">
        <v>1489</v>
      </c>
      <c r="E71" s="1192" t="s">
        <v>1490</v>
      </c>
      <c r="F71" s="385">
        <f ca="1">F43</f>
        <v>2255.8900000000003</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76</v>
      </c>
      <c r="D75" s="1840"/>
      <c r="E75" s="1840"/>
      <c r="F75" s="1840"/>
      <c r="K75" s="1866"/>
      <c r="L75" s="1840"/>
      <c r="O75" s="1882" t="s">
        <v>1046</v>
      </c>
      <c r="P75" s="1883" t="s">
        <v>1550</v>
      </c>
      <c r="Q75" s="1884">
        <f ca="1">Q65+Q66</f>
        <v>6402</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0.64500000000000002</v>
      </c>
    </row>
    <row r="80" spans="1:18">
      <c r="B80" s="386" t="s">
        <v>1512</v>
      </c>
      <c r="C80" s="318">
        <f ca="1">ROUND(C75/C39,3)</f>
        <v>0.35499999999999998</v>
      </c>
    </row>
    <row r="81" spans="2:3">
      <c r="B81" s="314" t="s">
        <v>1513</v>
      </c>
      <c r="C81" s="282"/>
    </row>
    <row r="82" spans="2:3">
      <c r="B82" s="317" t="s">
        <v>1514</v>
      </c>
      <c r="C82" s="319">
        <f ca="1">1-C83</f>
        <v>-0.41799999999999993</v>
      </c>
    </row>
    <row r="83" spans="2:3">
      <c r="B83" s="317" t="s">
        <v>1515</v>
      </c>
      <c r="C83" s="318">
        <f ca="1">ROUND(C13/C40,3)</f>
        <v>1.4179999999999999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59"/>
      <c r="B4" s="3007" t="s">
        <v>1631</v>
      </c>
      <c r="C4" s="3007"/>
      <c r="D4" s="3007"/>
      <c r="E4" s="1959"/>
    </row>
    <row r="5" spans="1:5" ht="16.5" thickTop="1">
      <c r="A5" s="1957"/>
      <c r="B5" s="3005" t="s">
        <v>1623</v>
      </c>
      <c r="C5" s="1960" t="s">
        <v>1624</v>
      </c>
      <c r="D5" s="1041">
        <f ca="1">结果表!H101</f>
        <v>10302</v>
      </c>
      <c r="E5" s="1957"/>
    </row>
    <row r="6" spans="1:5" ht="15.75">
      <c r="A6" s="1957"/>
      <c r="B6" s="3005"/>
      <c r="C6" s="1960" t="s">
        <v>1625</v>
      </c>
      <c r="D6" s="1041" t="str">
        <f ca="1">NUMBERSTRING(INT(D5*10000),2)&amp;"元整"</f>
        <v>壹亿零叁佰零贰万元整</v>
      </c>
      <c r="E6" s="1957"/>
    </row>
    <row r="7" spans="1:5" ht="15.75">
      <c r="A7" s="1957"/>
      <c r="B7" s="3010"/>
      <c r="C7" s="1961" t="s">
        <v>1626</v>
      </c>
      <c r="D7" s="1042">
        <f ca="1">结果表!H102</f>
        <v>38710</v>
      </c>
      <c r="E7" s="1957"/>
    </row>
    <row r="8" spans="1:5" ht="15.75">
      <c r="A8" s="1957"/>
      <c r="B8" s="3011" t="str">
        <f>结果表!E103</f>
        <v>2.估价师知悉的法定优先受偿款</v>
      </c>
      <c r="C8" s="1962" t="s">
        <v>1627</v>
      </c>
      <c r="D8" s="1042">
        <f>结果表!H103</f>
        <v>0</v>
      </c>
      <c r="E8" s="1957"/>
    </row>
    <row r="9" spans="1:5" ht="15.75">
      <c r="A9" s="1957"/>
      <c r="B9" s="3013"/>
      <c r="C9" s="1960" t="s">
        <v>1625</v>
      </c>
      <c r="D9" s="1041" t="str">
        <f>NUMBERSTRING(INT(D8*10000),2)&amp;"元整"</f>
        <v>零元整</v>
      </c>
      <c r="E9" s="1957"/>
    </row>
    <row r="10" spans="1:5" ht="15">
      <c r="A10" s="1957"/>
      <c r="B10" s="1963" t="s">
        <v>1630</v>
      </c>
      <c r="C10" s="1964" t="s">
        <v>1628</v>
      </c>
      <c r="D10" s="1043">
        <f>结果表!H104</f>
        <v>0</v>
      </c>
      <c r="E10" s="1957"/>
    </row>
    <row r="11" spans="1:5" ht="15">
      <c r="A11" s="1957"/>
      <c r="B11" s="1963" t="s">
        <v>1632</v>
      </c>
      <c r="C11" s="1964" t="s">
        <v>1633</v>
      </c>
      <c r="D11" s="1043">
        <f>结果表!H105</f>
        <v>0</v>
      </c>
      <c r="E11" s="1957"/>
    </row>
    <row r="12" spans="1:5" ht="15">
      <c r="A12" s="1957"/>
      <c r="B12" s="1963" t="s">
        <v>1634</v>
      </c>
      <c r="C12" s="1964" t="s">
        <v>1633</v>
      </c>
      <c r="D12" s="1043">
        <f>结果表!H106</f>
        <v>0</v>
      </c>
      <c r="E12" s="1957"/>
    </row>
    <row r="13" spans="1:5" ht="15.75">
      <c r="A13" s="1957"/>
      <c r="B13" s="3004" t="str">
        <f>结果表!E107</f>
        <v>3.房地产抵押价值</v>
      </c>
      <c r="C13" s="1965" t="s">
        <v>1624</v>
      </c>
      <c r="D13" s="1044">
        <f ca="1">结果表!H107</f>
        <v>10302</v>
      </c>
      <c r="E13" s="1957"/>
    </row>
    <row r="14" spans="1:5" ht="15.75">
      <c r="A14" s="1957"/>
      <c r="B14" s="3005"/>
      <c r="C14" s="1960" t="s">
        <v>1625</v>
      </c>
      <c r="D14" s="1041" t="str">
        <f ca="1">NUMBERSTRING(INT(D13*10000),2)&amp;"元整"</f>
        <v>壹亿零叁佰零贰万元整</v>
      </c>
      <c r="E14" s="1957"/>
    </row>
    <row r="15" spans="1:5" ht="15">
      <c r="A15" s="1957"/>
      <c r="B15" s="3010"/>
      <c r="C15" s="1961" t="s">
        <v>1635</v>
      </c>
      <c r="D15" s="1052">
        <f ca="1">结果表!H108</f>
        <v>38710</v>
      </c>
      <c r="E15" s="1957"/>
    </row>
    <row r="16" spans="1:5" ht="15">
      <c r="A16" s="1957"/>
      <c r="B16" s="3011" t="str">
        <f>结果表!E109</f>
        <v>——</v>
      </c>
      <c r="C16" s="1965" t="s">
        <v>1636</v>
      </c>
      <c r="D16" s="1966" t="str">
        <f>结果表!H109</f>
        <v>——</v>
      </c>
      <c r="E16" s="1957"/>
    </row>
    <row r="17" spans="1:5" ht="15.75">
      <c r="A17" s="1957"/>
      <c r="B17" s="3012"/>
      <c r="C17" s="1960" t="s">
        <v>1637</v>
      </c>
      <c r="D17" s="1041" t="e">
        <f>NUMBERSTRING(INT(D16*10000),2)&amp;"元整"</f>
        <v>#VALUE!</v>
      </c>
      <c r="E17" s="1957"/>
    </row>
    <row r="18" spans="1:5" ht="15">
      <c r="A18" s="1957"/>
      <c r="B18" s="3013"/>
      <c r="C18" s="1961" t="s">
        <v>1626</v>
      </c>
      <c r="D18" s="1052" t="str">
        <f>结果表!H110</f>
        <v>——</v>
      </c>
      <c r="E18" s="1957"/>
    </row>
    <row r="19" spans="1:5" ht="15.75">
      <c r="A19" s="1957"/>
      <c r="B19" s="3004" t="str">
        <f>结果表!E111</f>
        <v>——</v>
      </c>
      <c r="C19" s="1965" t="s">
        <v>1624</v>
      </c>
      <c r="D19" s="1042" t="str">
        <f>结果表!H111</f>
        <v>——</v>
      </c>
      <c r="E19" s="1957"/>
    </row>
    <row r="20" spans="1:5" ht="15.75">
      <c r="A20" s="1957"/>
      <c r="B20" s="3005"/>
      <c r="C20" s="1960" t="s">
        <v>1637</v>
      </c>
      <c r="D20" s="1041" t="e">
        <f>NUMBERSTRING(INT(D19*10000),2)&amp;"元整"</f>
        <v>#VALUE!</v>
      </c>
      <c r="E20" s="1957"/>
    </row>
    <row r="21" spans="1:5" ht="15.75" thickBot="1">
      <c r="A21" s="1957"/>
      <c r="B21" s="3006"/>
      <c r="C21" s="1967" t="s">
        <v>1635</v>
      </c>
      <c r="D21" s="1053"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8" zoomScale="90" zoomScaleNormal="90" zoomScaleSheetLayoutView="90" workbookViewId="0">
      <selection activeCell="J57" sqref="J5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3147</v>
      </c>
      <c r="D1" s="1818" t="s">
        <v>70</v>
      </c>
      <c r="E1" s="1819" t="s">
        <v>1387</v>
      </c>
      <c r="F1" s="1282">
        <f ca="1">J53</f>
        <v>30.17</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1222</v>
      </c>
      <c r="C2" s="1843" t="s">
        <v>1517</v>
      </c>
      <c r="D2" s="1843"/>
      <c r="E2" s="1844"/>
      <c r="F2" s="1845"/>
      <c r="G2" s="1846"/>
      <c r="H2" s="1838"/>
      <c r="I2" s="1838"/>
      <c r="J2" s="1838"/>
      <c r="K2" s="1839"/>
      <c r="L2" s="1838"/>
      <c r="M2" s="1838"/>
    </row>
    <row r="3" spans="1:37" ht="18" customHeight="1" thickBot="1">
      <c r="A3" s="1847" t="s">
        <v>1518</v>
      </c>
      <c r="B3" s="1848">
        <f ca="1">IF(ISERROR(B2*10000/F43),0,ROUND(B2*10000/F43,0))</f>
        <v>30138</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72</v>
      </c>
      <c r="D5" s="1820" t="s">
        <v>1402</v>
      </c>
      <c r="E5" s="1292"/>
      <c r="F5" s="1293"/>
      <c r="G5" s="1849"/>
      <c r="H5" s="344">
        <v>1</v>
      </c>
      <c r="I5" s="345" t="s">
        <v>1401</v>
      </c>
      <c r="J5" s="1291">
        <f ca="1">J6+J10+J12</f>
        <v>0</v>
      </c>
      <c r="K5" s="1820" t="s">
        <v>1402</v>
      </c>
      <c r="L5" s="1292"/>
      <c r="M5" s="1293"/>
    </row>
    <row r="6" spans="1:37" ht="18" customHeight="1">
      <c r="A6" s="1290" t="s">
        <v>1035</v>
      </c>
      <c r="B6" s="3242" t="s">
        <v>1403</v>
      </c>
      <c r="C6" s="1295">
        <f ca="1">ROUND(F6*F8*F7*(1-F9)/10000,0)</f>
        <v>72</v>
      </c>
      <c r="D6" s="164" t="s">
        <v>3018</v>
      </c>
      <c r="E6" s="347" t="s">
        <v>1405</v>
      </c>
      <c r="F6" s="348">
        <f ca="1">INDIRECT("'数据-取费表'!u"&amp;$G$1)</f>
        <v>5.4</v>
      </c>
      <c r="G6" s="1849"/>
      <c r="H6" s="1290" t="s">
        <v>1035</v>
      </c>
      <c r="I6" s="3242" t="s">
        <v>1403</v>
      </c>
      <c r="J6" s="346">
        <f ca="1">ROUND(M6*M8*M7*(1-M9)/10000,0)</f>
        <v>0</v>
      </c>
      <c r="K6" s="164" t="s">
        <v>3017</v>
      </c>
      <c r="L6" s="347" t="s">
        <v>1405</v>
      </c>
      <c r="M6" s="348">
        <f ca="1">INDIRECT("'数据-取费表'!z"&amp;$G$1)</f>
        <v>0</v>
      </c>
    </row>
    <row r="7" spans="1:37" ht="18" customHeight="1">
      <c r="A7" s="1294"/>
      <c r="B7" s="3243"/>
      <c r="C7" s="1296"/>
      <c r="D7" s="352"/>
      <c r="E7" s="2985" t="s">
        <v>1406</v>
      </c>
      <c r="F7" s="348">
        <f ca="1">IF(INDIRECT("'数据-取费表'!ah"&amp;$G$1)="",INDIRECT("'数据-取费表'!k"&amp;$G$1),INDIRECT("'数据-取费表'!ah"&amp;$G$1))</f>
        <v>405.47</v>
      </c>
      <c r="G7" s="1849"/>
      <c r="H7" s="349"/>
      <c r="I7" s="3243"/>
      <c r="J7" s="351"/>
      <c r="K7" s="352"/>
      <c r="L7" s="347" t="s">
        <v>1406</v>
      </c>
      <c r="M7" s="348">
        <f ca="1">F7</f>
        <v>405.47</v>
      </c>
    </row>
    <row r="8" spans="1:37" ht="18" customHeight="1">
      <c r="A8" s="349"/>
      <c r="B8" s="3243"/>
      <c r="C8" s="351"/>
      <c r="D8" s="352"/>
      <c r="E8" s="347" t="s">
        <v>1407</v>
      </c>
      <c r="F8" s="348">
        <f ca="1">INDIRECT("'数据-取费表'!ai"&amp;$G$1)</f>
        <v>365</v>
      </c>
      <c r="G8" s="1849"/>
      <c r="H8" s="349"/>
      <c r="I8" s="3243"/>
      <c r="J8" s="351"/>
      <c r="K8" s="352"/>
      <c r="L8" s="347" t="s">
        <v>1407</v>
      </c>
      <c r="M8" s="348">
        <f ca="1">INDIRECT("'数据-取费表'!ai"&amp;$G$1)</f>
        <v>365</v>
      </c>
    </row>
    <row r="9" spans="1:37" ht="18" customHeight="1">
      <c r="A9" s="349"/>
      <c r="B9" s="3244"/>
      <c r="C9" s="351"/>
      <c r="D9" s="352"/>
      <c r="E9" s="347" t="s">
        <v>1408</v>
      </c>
      <c r="F9" s="357">
        <f ca="1">INDIRECT("'数据-取费表'!w"&amp;$G$1)</f>
        <v>0.1</v>
      </c>
      <c r="G9" s="1849"/>
      <c r="H9" s="349"/>
      <c r="I9" s="3244"/>
      <c r="J9" s="351"/>
      <c r="K9" s="352"/>
      <c r="L9" s="358" t="s">
        <v>1408</v>
      </c>
      <c r="M9" s="359">
        <f ca="1">INDIRECT("'数据-取费表'!ab"&amp;$G$1)</f>
        <v>0</v>
      </c>
    </row>
    <row r="10" spans="1:37" ht="18" customHeight="1">
      <c r="A10" s="1290" t="s">
        <v>1039</v>
      </c>
      <c r="B10" s="1821" t="s">
        <v>1409</v>
      </c>
      <c r="C10" s="361">
        <f ca="1">ROUND(IF(F10="押一",F6*F8*F7/12*F11,IF(F10="押二",F6*F8*F7/12*2*F11,IF(F10="押三",F6*F8*F7/12*3*F11,C11*F11)))/10000,0)</f>
        <v>0</v>
      </c>
      <c r="D10" s="1822" t="s">
        <v>3014</v>
      </c>
      <c r="E10" s="358" t="s">
        <v>1411</v>
      </c>
      <c r="F10" s="1365" t="s">
        <v>3112</v>
      </c>
      <c r="G10" s="1849"/>
      <c r="H10" s="1290" t="s">
        <v>1039</v>
      </c>
      <c r="I10" s="1821" t="s">
        <v>1409</v>
      </c>
      <c r="J10" s="346">
        <f ca="1">ROUND(IF(M10="押一",M6*M8*M7/12*M11,IF(M10="押二",M6*M8*M7/12*2*M11,IF(M10="押三",M6*M8*M7/12*3*M11,J11*M11)))/10000,0)</f>
        <v>0</v>
      </c>
      <c r="K10" s="1822" t="s">
        <v>3014</v>
      </c>
      <c r="L10" s="358" t="s">
        <v>1411</v>
      </c>
      <c r="M10" s="1365" t="s">
        <v>1412</v>
      </c>
    </row>
    <row r="11" spans="1:37" ht="18" customHeight="1">
      <c r="A11" s="353"/>
      <c r="B11" s="1823" t="s">
        <v>1388</v>
      </c>
      <c r="C11" s="1177"/>
      <c r="D11" s="1824"/>
      <c r="E11" s="358" t="s">
        <v>1413</v>
      </c>
      <c r="F11" s="359">
        <f ca="1">'数据-取费表'!B39</f>
        <v>1.4999999999999999E-2</v>
      </c>
      <c r="G11" s="1849"/>
      <c r="H11" s="1298"/>
      <c r="I11" s="1823" t="s">
        <v>1388</v>
      </c>
      <c r="J11" s="1177"/>
      <c r="K11" s="747"/>
      <c r="L11" s="358"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5">
        <f ca="1">ROUND(C29*F13,0)</f>
        <v>162</v>
      </c>
      <c r="D13" s="1330" t="s">
        <v>1416</v>
      </c>
      <c r="E13" s="1330" t="s">
        <v>1417</v>
      </c>
      <c r="F13" s="1331">
        <f ca="1">INDIRECT("'数据-取费表'!y"&amp;$G$1)</f>
        <v>0.87</v>
      </c>
      <c r="G13" s="1849"/>
      <c r="H13" s="1328">
        <v>2</v>
      </c>
      <c r="I13" s="1329" t="s">
        <v>1415</v>
      </c>
      <c r="J13" s="1289">
        <f ca="1">ROUND(J14*J15,0)</f>
        <v>0</v>
      </c>
      <c r="K13" s="1336" t="s">
        <v>1416</v>
      </c>
      <c r="L13" s="1850"/>
      <c r="M13" s="1851"/>
    </row>
    <row r="14" spans="1:37" ht="18" customHeight="1">
      <c r="A14" s="1200" t="s">
        <v>1034</v>
      </c>
      <c r="B14" s="347" t="s">
        <v>1418</v>
      </c>
      <c r="C14" s="363">
        <f ca="1">INDIRECT("'数据-取费表'!m"&amp;$G$1)+INDIRECT("'数据-取费表'!t"&amp;$G$1)</f>
        <v>122</v>
      </c>
      <c r="D14" s="2978" t="s">
        <v>1419</v>
      </c>
      <c r="E14" s="2976"/>
      <c r="F14" s="364"/>
      <c r="G14" s="1849"/>
      <c r="H14" s="1200" t="s">
        <v>1035</v>
      </c>
      <c r="I14" s="347" t="s">
        <v>1420</v>
      </c>
      <c r="J14" s="24">
        <f ca="1">C29</f>
        <v>186</v>
      </c>
      <c r="K14" s="2984"/>
      <c r="L14" s="981"/>
      <c r="M14" s="982"/>
    </row>
    <row r="15" spans="1:37" s="1856" customFormat="1" ht="18" customHeight="1" thickBot="1">
      <c r="A15" s="1200" t="s">
        <v>1036</v>
      </c>
      <c r="B15" s="347" t="s">
        <v>1421</v>
      </c>
      <c r="C15" s="24">
        <f ca="1">ROUND(C14*F15,0)</f>
        <v>6</v>
      </c>
      <c r="D15" s="365" t="s">
        <v>1422</v>
      </c>
      <c r="E15" s="365" t="s">
        <v>1423</v>
      </c>
      <c r="F15" s="366">
        <f>'数据-取费表'!B33</f>
        <v>0.05</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1424</v>
      </c>
      <c r="C16" s="24">
        <f ca="1">ROUND(INDIRECT("'数据-取费表'!m"&amp;$G$1)*F16,0)</f>
        <v>0</v>
      </c>
      <c r="D16" s="347" t="s">
        <v>1422</v>
      </c>
      <c r="E16" s="347" t="s">
        <v>1423</v>
      </c>
      <c r="F16" s="367">
        <f ca="1">IF(INDIRECT("'数据-取费表'!c"&amp;$G$1)="住宅",'数据-取费表'!B34,0)</f>
        <v>0</v>
      </c>
      <c r="G16" s="1849"/>
      <c r="H16" s="1328" t="s">
        <v>1030</v>
      </c>
      <c r="I16" s="1329" t="s">
        <v>1425</v>
      </c>
      <c r="J16" s="355">
        <f ca="1">ROUND(J17+J22+J23+J24,0)</f>
        <v>4</v>
      </c>
      <c r="K16" s="1336" t="s">
        <v>1426</v>
      </c>
      <c r="L16" s="2979"/>
      <c r="M16" s="1293"/>
    </row>
    <row r="17" spans="1:37" s="1856" customFormat="1" ht="18" customHeight="1">
      <c r="A17" s="1200" t="s">
        <v>1390</v>
      </c>
      <c r="B17" s="347" t="s">
        <v>1427</v>
      </c>
      <c r="C17" s="24">
        <f ca="1">ROUND(F17*(F43+INDIRECT("'数据-取费表'!S"&amp;$G$1))/10000,0)</f>
        <v>8</v>
      </c>
      <c r="D17" s="347" t="s">
        <v>1428</v>
      </c>
      <c r="E17" s="347" t="s">
        <v>1429</v>
      </c>
      <c r="F17" s="26">
        <f>'数据-取费表'!B35</f>
        <v>200</v>
      </c>
      <c r="G17" s="1852"/>
      <c r="H17" s="1200" t="s">
        <v>1035</v>
      </c>
      <c r="I17" s="347" t="s">
        <v>1430</v>
      </c>
      <c r="J17" s="24">
        <f ca="1">ROUND(IF(项目基本情况!B11="自然人",J5*M17,J18+J19+J20),1)</f>
        <v>1.6</v>
      </c>
      <c r="K17" s="2978" t="s">
        <v>1431</v>
      </c>
      <c r="L17" s="2977"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1433</v>
      </c>
      <c r="C18" s="24">
        <f ca="1">ROUND(C14*F18,0)</f>
        <v>2</v>
      </c>
      <c r="D18" s="347" t="s">
        <v>1422</v>
      </c>
      <c r="E18" s="347" t="s">
        <v>1423</v>
      </c>
      <c r="F18" s="367">
        <f>'数据-取费表'!B36</f>
        <v>1.4999999999999999E-2</v>
      </c>
      <c r="G18" s="1852"/>
      <c r="H18" s="1200" t="s">
        <v>1034</v>
      </c>
      <c r="I18" s="347" t="s">
        <v>1434</v>
      </c>
      <c r="J18" s="24">
        <f ca="1">ROUND(J5*M18/(1+'数据-取费表'!C42),2)</f>
        <v>0</v>
      </c>
      <c r="K18" s="2977"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1436</v>
      </c>
      <c r="C19" s="24">
        <f ca="1">SUM(C14:C18)</f>
        <v>138</v>
      </c>
      <c r="D19" s="140" t="s">
        <v>1437</v>
      </c>
      <c r="E19" s="2983"/>
      <c r="F19" s="26"/>
      <c r="G19" s="1849"/>
      <c r="H19" s="1200" t="s">
        <v>1036</v>
      </c>
      <c r="I19" s="347" t="s">
        <v>1438</v>
      </c>
      <c r="J19" s="24">
        <f ca="1">IF(K19="按租金收入计税",ROUND(J5*M19,2),ROUND(C29*M19*0.7,2))</f>
        <v>1.56</v>
      </c>
      <c r="K19" s="1826" t="s">
        <v>1439</v>
      </c>
      <c r="L19" s="347" t="s">
        <v>1423</v>
      </c>
      <c r="M19" s="367">
        <f>IF(K19="按租金收入计税",'数据-取费表'!B51,'数据-取费表'!B50)</f>
        <v>1.2E-2</v>
      </c>
    </row>
    <row r="20" spans="1:37" s="1856" customFormat="1" ht="18" customHeight="1">
      <c r="A20" s="1200" t="s">
        <v>1039</v>
      </c>
      <c r="B20" s="347" t="s">
        <v>1440</v>
      </c>
      <c r="C20" s="24">
        <f ca="1">ROUND(C19*F20,0)</f>
        <v>1</v>
      </c>
      <c r="D20" s="369" t="s">
        <v>1441</v>
      </c>
      <c r="E20" s="347" t="s">
        <v>1423</v>
      </c>
      <c r="F20" s="367">
        <f>'数据-取费表'!B37</f>
        <v>0.01</v>
      </c>
      <c r="G20" s="1852"/>
      <c r="H20" s="1200" t="s">
        <v>1389</v>
      </c>
      <c r="I20" s="164" t="s">
        <v>1442</v>
      </c>
      <c r="J20" s="25">
        <f ca="1">ROUND(M20*M21/10000,2)</f>
        <v>0.03</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1445</v>
      </c>
      <c r="C21" s="24" t="s">
        <v>1</v>
      </c>
      <c r="D21" s="369" t="s">
        <v>1446</v>
      </c>
      <c r="E21" s="347" t="s">
        <v>1447</v>
      </c>
      <c r="F21" s="367">
        <f>'数据-取费表'!B38</f>
        <v>0.01</v>
      </c>
      <c r="G21" s="1852"/>
      <c r="H21" s="372"/>
      <c r="I21" s="356"/>
      <c r="J21" s="29"/>
      <c r="K21" s="373"/>
      <c r="L21" s="347" t="s">
        <v>1448</v>
      </c>
      <c r="M21" s="348">
        <f ca="1">INDIRECT("'数据-取费表'!r"&amp;$G$1)</f>
        <v>101.58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1449</v>
      </c>
      <c r="C22" s="24"/>
      <c r="D22" s="140" t="str">
        <f>IF(F23&lt;=1,"单利计息。","复利计息。")&amp;"建造成本、管理费用、销售费用产生的利息。"</f>
        <v>复利计息。建造成本、管理费用、销售费用产生的利息。</v>
      </c>
      <c r="E22" s="2983"/>
      <c r="F22" s="26"/>
      <c r="G22" s="1849"/>
      <c r="H22" s="1200" t="s">
        <v>1039</v>
      </c>
      <c r="I22" s="347" t="s">
        <v>1450</v>
      </c>
      <c r="J22" s="24">
        <f ca="1">ROUND(J14*M22,1)</f>
        <v>2.8</v>
      </c>
      <c r="K22" s="2977" t="s">
        <v>1451</v>
      </c>
      <c r="L22" s="347" t="s">
        <v>1423</v>
      </c>
      <c r="M22" s="374">
        <f ca="1">INDIRECT("'数据-取费表'!Ak"&amp;$G$1)</f>
        <v>1.4999999999999999E-2</v>
      </c>
    </row>
    <row r="23" spans="1:37" s="1856" customFormat="1" ht="18" customHeight="1">
      <c r="A23" s="1200" t="s">
        <v>1034</v>
      </c>
      <c r="B23" s="347" t="s">
        <v>1452</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1453</v>
      </c>
      <c r="F23" s="371">
        <f>'数据-取费表'!B20</f>
        <v>2</v>
      </c>
      <c r="G23" s="1852"/>
      <c r="H23" s="1200" t="s">
        <v>1075</v>
      </c>
      <c r="I23" s="347" t="s">
        <v>1454</v>
      </c>
      <c r="J23" s="24">
        <f ca="1">ROUND(J13*M23,1)</f>
        <v>0</v>
      </c>
      <c r="K23" s="2977" t="s">
        <v>1455</v>
      </c>
      <c r="L23" s="347" t="s">
        <v>1423</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1036</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8" t="s">
        <v>1392</v>
      </c>
      <c r="I24" s="1339" t="s">
        <v>1440</v>
      </c>
      <c r="J24" s="1340">
        <f ca="1">ROUND(J5*M24,1)</f>
        <v>0</v>
      </c>
      <c r="K24" s="1341" t="s">
        <v>1460</v>
      </c>
      <c r="L24" s="1339" t="s">
        <v>1423</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1461</v>
      </c>
      <c r="B25" s="347" t="s">
        <v>1462</v>
      </c>
      <c r="C25" s="24"/>
      <c r="D25" s="140" t="s">
        <v>1463</v>
      </c>
      <c r="E25" s="2983"/>
      <c r="F25" s="26"/>
      <c r="G25" s="1849"/>
      <c r="H25" s="1328" t="s">
        <v>1031</v>
      </c>
      <c r="I25" s="1343" t="s">
        <v>1464</v>
      </c>
      <c r="J25" s="355">
        <f ca="1">J5-J16</f>
        <v>-4</v>
      </c>
      <c r="K25" s="1344" t="s">
        <v>1465</v>
      </c>
      <c r="L25" s="1345"/>
      <c r="M25" s="1346"/>
    </row>
    <row r="26" spans="1:37">
      <c r="A26" s="1200" t="s">
        <v>1034</v>
      </c>
      <c r="B26" s="347" t="s">
        <v>1466</v>
      </c>
      <c r="C26" s="24">
        <f ca="1">ROUND((C19+C20)*F26,0)</f>
        <v>28</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0.06</v>
      </c>
    </row>
    <row r="27" spans="1:37" ht="18" customHeight="1">
      <c r="A27" s="1200"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0"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186</v>
      </c>
      <c r="D29" s="1341"/>
      <c r="E29" s="1339"/>
      <c r="F29" s="1342"/>
      <c r="G29" s="1852"/>
      <c r="H29" s="380" t="s">
        <v>1033</v>
      </c>
      <c r="I29" s="381" t="s">
        <v>1480</v>
      </c>
      <c r="J29" s="382">
        <f ca="1">ROUND(J26/(1+F40)^F41,0)</f>
        <v>0</v>
      </c>
      <c r="K29" s="383" t="s">
        <v>1481</v>
      </c>
      <c r="L29" s="384"/>
      <c r="M29" s="385">
        <f ca="1">INDIRECT("'数据-取费表'!k"&amp;$G$1)</f>
        <v>405.47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5">
        <f ca="1">ROUND(C31+C36+C37+C38,0)</f>
        <v>9</v>
      </c>
      <c r="D30" s="1336" t="s">
        <v>1426</v>
      </c>
      <c r="E30" s="2979"/>
      <c r="F30" s="1293"/>
      <c r="G30" s="1849"/>
      <c r="H30" s="744"/>
      <c r="I30" s="745"/>
      <c r="J30" s="746"/>
      <c r="K30" s="747"/>
      <c r="L30" s="748"/>
      <c r="M30" s="749"/>
    </row>
    <row r="31" spans="1:37" ht="18" customHeight="1">
      <c r="A31" s="1200" t="s">
        <v>1035</v>
      </c>
      <c r="B31" s="347" t="s">
        <v>1430</v>
      </c>
      <c r="C31" s="24">
        <f ca="1">ROUND(IF(项目基本情况!B11="自然人",C5*F31,C32+C33+C34),1)</f>
        <v>5.4</v>
      </c>
      <c r="D31" s="2978" t="s">
        <v>1431</v>
      </c>
      <c r="E31" s="2977"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1434</v>
      </c>
      <c r="C32" s="24">
        <f ca="1">IF(项目基本情况!B11="自然人","——",ROUND(C5*F32/(1+'数据-取费表'!C42),2))</f>
        <v>3.84</v>
      </c>
      <c r="D32" s="2977" t="s">
        <v>1435</v>
      </c>
      <c r="E32" s="347" t="s">
        <v>1423</v>
      </c>
      <c r="F32" s="377">
        <f>'数据-取费表'!B41</f>
        <v>5.6000000000000001E-2</v>
      </c>
      <c r="G32" s="1849"/>
      <c r="H32" s="744"/>
      <c r="I32" s="745"/>
      <c r="J32" s="746"/>
      <c r="K32" s="747"/>
      <c r="L32" s="748"/>
      <c r="M32" s="749"/>
    </row>
    <row r="33" spans="1:18" ht="18" customHeight="1">
      <c r="A33" s="1200" t="s">
        <v>1036</v>
      </c>
      <c r="B33" s="347" t="s">
        <v>1438</v>
      </c>
      <c r="C33" s="24">
        <f ca="1">IF(项目基本情况!B11="自然人","——",IF(D33="按租金收入计税",ROUND(C5*F33,2),IF(D33="按房产原值计税",ROUND(C29*F33*0.7,2),INDIRECT("'数据-取费表'!Aj"&amp;$G$1))))</f>
        <v>1.56</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0" t="s">
        <v>1389</v>
      </c>
      <c r="B34" s="164" t="s">
        <v>1442</v>
      </c>
      <c r="C34" s="25">
        <f ca="1">IF(项目基本情况!B11="自然人","——",ROUND(F34*F35/10000,2))</f>
        <v>0.03</v>
      </c>
      <c r="D34" s="370" t="s">
        <v>1443</v>
      </c>
      <c r="E34" s="347" t="s">
        <v>1444</v>
      </c>
      <c r="F34" s="371">
        <f>'数据-取费表'!B52</f>
        <v>3</v>
      </c>
      <c r="G34" s="1849"/>
      <c r="H34" s="744"/>
      <c r="I34" s="1858"/>
      <c r="J34" s="1859"/>
      <c r="K34" s="1861"/>
      <c r="L34" s="1862"/>
      <c r="M34" s="1862"/>
    </row>
    <row r="35" spans="1:18" ht="18" customHeight="1">
      <c r="A35" s="1352"/>
      <c r="B35" s="1350"/>
      <c r="C35" s="29"/>
      <c r="D35" s="373"/>
      <c r="E35" s="347" t="s">
        <v>1448</v>
      </c>
      <c r="F35" s="348">
        <f ca="1">INDIRECT("'数据-取费表'!r"&amp;$G$1)</f>
        <v>101.58</v>
      </c>
      <c r="G35" s="1849"/>
      <c r="H35" s="744"/>
      <c r="I35" s="1858"/>
      <c r="J35" s="1859"/>
      <c r="K35" s="1860"/>
      <c r="L35" s="1857"/>
      <c r="M35" s="1857"/>
    </row>
    <row r="36" spans="1:18" ht="18" customHeight="1">
      <c r="A36" s="1351" t="s">
        <v>1039</v>
      </c>
      <c r="B36" s="347" t="s">
        <v>1450</v>
      </c>
      <c r="C36" s="24">
        <f ca="1">ROUND(C29*F36,1)</f>
        <v>2.8</v>
      </c>
      <c r="D36" s="2977" t="s">
        <v>1483</v>
      </c>
      <c r="E36" s="347" t="s">
        <v>1423</v>
      </c>
      <c r="F36" s="374">
        <f ca="1">INDIRECT("'数据-取费表'!Ak"&amp;$G$1)</f>
        <v>1.4999999999999999E-2</v>
      </c>
      <c r="G36" s="1849"/>
      <c r="H36" s="1857"/>
      <c r="I36" s="1858"/>
      <c r="J36" s="1859"/>
      <c r="K36" s="750"/>
      <c r="L36" s="1857"/>
      <c r="M36" s="1857"/>
    </row>
    <row r="37" spans="1:18" ht="18" customHeight="1">
      <c r="A37" s="1200" t="s">
        <v>1075</v>
      </c>
      <c r="B37" s="347" t="s">
        <v>1454</v>
      </c>
      <c r="C37" s="24">
        <f ca="1">ROUND(C13*F37,1)</f>
        <v>0.2</v>
      </c>
      <c r="D37" s="2977" t="s">
        <v>1455</v>
      </c>
      <c r="E37" s="347" t="s">
        <v>1423</v>
      </c>
      <c r="F37" s="376">
        <f ca="1">INDIRECT("'数据-取费表'!Al"&amp;$G$1)</f>
        <v>1.5E-3</v>
      </c>
      <c r="G37" s="1849"/>
      <c r="H37" s="1857"/>
      <c r="I37" s="1858"/>
      <c r="J37" s="1859"/>
      <c r="K37" s="750"/>
      <c r="L37" s="1857"/>
      <c r="M37" s="1857"/>
    </row>
    <row r="38" spans="1:18" ht="18" customHeight="1" thickBot="1">
      <c r="A38" s="1338" t="s">
        <v>1392</v>
      </c>
      <c r="B38" s="1339" t="s">
        <v>1440</v>
      </c>
      <c r="C38" s="1340">
        <f ca="1">ROUND(C5*F38,1)</f>
        <v>0.7</v>
      </c>
      <c r="D38" s="1341" t="s">
        <v>1460</v>
      </c>
      <c r="E38" s="1339" t="s">
        <v>1423</v>
      </c>
      <c r="F38" s="1335">
        <f ca="1">INDIRECT("'数据-取费表'!Am"&amp;$G$1)</f>
        <v>0.01</v>
      </c>
      <c r="G38" s="1849"/>
      <c r="H38" s="1857"/>
      <c r="I38" s="1858"/>
      <c r="J38" s="1859"/>
      <c r="K38" s="1863"/>
      <c r="L38" s="1857"/>
      <c r="M38" s="1857"/>
    </row>
    <row r="39" spans="1:18" ht="24.6" customHeight="1" thickTop="1">
      <c r="A39" s="1328" t="s">
        <v>1031</v>
      </c>
      <c r="B39" s="1343" t="s">
        <v>1464</v>
      </c>
      <c r="C39" s="355">
        <f ca="1">C5-C30</f>
        <v>63</v>
      </c>
      <c r="D39" s="1344" t="s">
        <v>1465</v>
      </c>
      <c r="E39" s="1345"/>
      <c r="F39" s="1346"/>
      <c r="G39" s="1849"/>
      <c r="H39" s="1857"/>
      <c r="I39" s="1858"/>
      <c r="J39" s="1859"/>
      <c r="K39" s="1863"/>
      <c r="L39" s="1857"/>
      <c r="M39" s="1857"/>
    </row>
    <row r="40" spans="1:18" ht="18" customHeight="1">
      <c r="A40" s="344" t="s">
        <v>1032</v>
      </c>
      <c r="B40" s="345" t="s">
        <v>1486</v>
      </c>
      <c r="C40" s="346">
        <f ca="1">ROUND(C39*(1-((1+F42)/(1+F40))^F41)/(F40-F42),0)</f>
        <v>1217</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30.17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ROUND(C40*10000/F43,0)</f>
        <v>30015</v>
      </c>
      <c r="D43" s="383" t="s">
        <v>1489</v>
      </c>
      <c r="E43" s="384" t="s">
        <v>1490</v>
      </c>
      <c r="F43" s="385">
        <f ca="1">INDIRECT("'数据-取费表'!k"&amp;$G$1)</f>
        <v>405.47</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-1286</v>
      </c>
      <c r="D46" s="1870" t="str">
        <f>C2</f>
        <v>万元</v>
      </c>
      <c r="E46" s="1864"/>
      <c r="F46" s="1864"/>
      <c r="I46" s="1871" t="s">
        <v>1522</v>
      </c>
      <c r="J46" s="1872"/>
      <c r="K46" s="1873"/>
      <c r="L46" s="1874">
        <f ca="1">IF(M47="住宅",0,IF(L48&gt;J51,L60,J60))</f>
        <v>5</v>
      </c>
      <c r="O46" s="1875" t="s">
        <v>1523</v>
      </c>
      <c r="P46" s="1876" t="s">
        <v>1524</v>
      </c>
      <c r="Q46" s="1877" t="s">
        <v>1525</v>
      </c>
      <c r="R46" s="1877" t="s">
        <v>1526</v>
      </c>
    </row>
    <row r="47" spans="1:18" s="1840" customFormat="1" ht="13.5" thickBot="1">
      <c r="A47" s="1164" t="s">
        <v>1396</v>
      </c>
      <c r="B47" s="1196" t="s">
        <v>1397</v>
      </c>
      <c r="C47" s="1366" t="s">
        <v>1398</v>
      </c>
      <c r="D47" s="1196" t="s">
        <v>1399</v>
      </c>
      <c r="E47" s="1278" t="s">
        <v>1400</v>
      </c>
      <c r="F47" s="1279"/>
      <c r="G47" s="791"/>
      <c r="I47" s="1878" t="s">
        <v>1527</v>
      </c>
      <c r="J47" s="1879" t="str">
        <f>'收益法-已出租'!J47</f>
        <v>钢混</v>
      </c>
      <c r="K47" s="1880" t="s">
        <v>1528</v>
      </c>
      <c r="L47" s="1881">
        <f ca="1">INDIRECT("'数据-取费表'!d"&amp;$G$1)</f>
        <v>40</v>
      </c>
      <c r="M47" s="1836" t="str">
        <f>IF(ISNUMBER(FIND("住宅",C1)),"住宅","非住宅")</f>
        <v>非住宅</v>
      </c>
      <c r="O47" s="1882" t="s">
        <v>1040</v>
      </c>
      <c r="P47" s="1883" t="s">
        <v>1529</v>
      </c>
      <c r="Q47" s="1884">
        <f ca="1">C40+J29</f>
        <v>1217</v>
      </c>
      <c r="R47" s="1884" t="s">
        <v>1530</v>
      </c>
    </row>
    <row r="48" spans="1:18" s="1840" customFormat="1" ht="28.5" thickBot="1">
      <c r="A48" s="1359" t="s">
        <v>1135</v>
      </c>
      <c r="B48" s="345" t="s">
        <v>1401</v>
      </c>
      <c r="C48" s="2982">
        <f ca="1">C49+C53+C55</f>
        <v>0</v>
      </c>
      <c r="D48" s="1361"/>
      <c r="E48" s="1362"/>
      <c r="F48" s="1180"/>
      <c r="G48" s="791"/>
      <c r="H48" s="792"/>
      <c r="I48" s="1885" t="s">
        <v>1531</v>
      </c>
      <c r="J48" s="1886" t="str">
        <f>'收益法-已出租'!J48</f>
        <v>非生产用房</v>
      </c>
      <c r="K48" s="1887" t="s">
        <v>1532</v>
      </c>
      <c r="L48" s="1888">
        <f ca="1">INDIRECT("'数据-取费表'!f"&amp;$G$1)</f>
        <v>30.17</v>
      </c>
      <c r="O48" s="1882" t="s">
        <v>1041</v>
      </c>
      <c r="P48" s="1883" t="s">
        <v>1533</v>
      </c>
      <c r="Q48" s="1884">
        <f ca="1">J60</f>
        <v>5</v>
      </c>
      <c r="R48" s="1884" t="s">
        <v>1534</v>
      </c>
    </row>
    <row r="49" spans="1:18" s="1840" customFormat="1" ht="13.5" thickBot="1">
      <c r="A49" s="1193" t="s">
        <v>1136</v>
      </c>
      <c r="B49" s="1827" t="s">
        <v>1491</v>
      </c>
      <c r="C49" s="1363">
        <f ca="1">ROUND(F49*F51*F50*(1-F52)/10000,0)</f>
        <v>0</v>
      </c>
      <c r="D49" s="1275" t="s">
        <v>3017</v>
      </c>
      <c r="E49" s="1828" t="s">
        <v>1492</v>
      </c>
      <c r="F49" s="1280"/>
      <c r="G49" s="1889"/>
      <c r="H49" s="792"/>
      <c r="I49" s="1885" t="s">
        <v>1535</v>
      </c>
      <c r="J49" s="1890">
        <f>'收益法-已出租'!J49</f>
        <v>2010</v>
      </c>
      <c r="K49" s="1887" t="s">
        <v>1536</v>
      </c>
      <c r="L49" s="1891"/>
      <c r="O49" s="1892" t="s">
        <v>1042</v>
      </c>
      <c r="P49" s="1883" t="s">
        <v>1537</v>
      </c>
      <c r="Q49" s="1884">
        <f ca="1">C29</f>
        <v>186</v>
      </c>
      <c r="R49" s="1884" t="s">
        <v>1530</v>
      </c>
    </row>
    <row r="50" spans="1:18" s="1840" customFormat="1" ht="13.5" thickBot="1">
      <c r="A50" s="1194"/>
      <c r="B50" s="1197"/>
      <c r="C50" s="1367"/>
      <c r="D50" s="1171"/>
      <c r="E50" s="1276" t="s">
        <v>1406</v>
      </c>
      <c r="F50" s="1277">
        <f ca="1">F7</f>
        <v>405.47</v>
      </c>
      <c r="H50" s="792"/>
      <c r="I50" s="1885" t="s">
        <v>1538</v>
      </c>
      <c r="J50" s="1893">
        <f>SUMPRODUCT((I63:I65=J47)*(J62:L62=J48)*(J63:L65))</f>
        <v>60</v>
      </c>
      <c r="K50" s="1887" t="s">
        <v>1539</v>
      </c>
      <c r="L50" s="1891"/>
      <c r="M50" s="1894"/>
      <c r="O50" s="1892" t="s">
        <v>1043</v>
      </c>
      <c r="P50" s="1883" t="s">
        <v>1540</v>
      </c>
      <c r="Q50" s="1895">
        <f ca="1">J58</f>
        <v>0.4</v>
      </c>
      <c r="R50" s="1884"/>
    </row>
    <row r="51" spans="1:18" s="1840" customFormat="1" ht="13.5" thickBot="1">
      <c r="A51" s="1195"/>
      <c r="B51" s="1197"/>
      <c r="C51" s="1198"/>
      <c r="D51" s="1171"/>
      <c r="E51" s="1199" t="s">
        <v>1407</v>
      </c>
      <c r="F51" s="348">
        <f ca="1">F8</f>
        <v>365</v>
      </c>
      <c r="I51" s="1896" t="s">
        <v>1541</v>
      </c>
      <c r="J51" s="1897">
        <f>IF(J49="",J50,J49+J50-YEAR('数据-取费表'!B2))</f>
        <v>52</v>
      </c>
      <c r="K51" s="1898" t="s">
        <v>1542</v>
      </c>
      <c r="L51" s="1899">
        <f ca="1">ROUND(-PV(INDIRECT("'数据-取费表'!h"&amp;$G$1),L48,(C39-C13*C76),0),0)</f>
        <v>804</v>
      </c>
      <c r="M51" s="1900"/>
      <c r="O51" s="1892" t="s">
        <v>1044</v>
      </c>
      <c r="P51" s="1883" t="s">
        <v>1543</v>
      </c>
      <c r="Q51" s="1895">
        <f>J52</f>
        <v>9.5000000000000001E-2</v>
      </c>
      <c r="R51" s="1884"/>
    </row>
    <row r="52" spans="1:18" s="1840" customFormat="1" ht="13.5" thickBot="1">
      <c r="A52" s="1195"/>
      <c r="B52" s="1197"/>
      <c r="C52" s="1198"/>
      <c r="D52" s="1171"/>
      <c r="E52" s="1199" t="s">
        <v>1408</v>
      </c>
      <c r="F52" s="1274"/>
      <c r="I52" s="1901" t="s">
        <v>1544</v>
      </c>
      <c r="J52" s="1902">
        <v>9.5000000000000001E-2</v>
      </c>
      <c r="K52" s="1901" t="s">
        <v>1545</v>
      </c>
      <c r="L52" s="1902"/>
      <c r="O52" s="1892" t="s">
        <v>1045</v>
      </c>
      <c r="P52" s="1883" t="s">
        <v>1546</v>
      </c>
      <c r="Q52" s="1884">
        <f ca="1">J53</f>
        <v>30.17</v>
      </c>
      <c r="R52" s="1884" t="s">
        <v>1547</v>
      </c>
    </row>
    <row r="53" spans="1:18" s="1840" customFormat="1" ht="24.75" thickBot="1">
      <c r="A53" s="1404" t="s">
        <v>1137</v>
      </c>
      <c r="B53" s="1829" t="s">
        <v>1409</v>
      </c>
      <c r="C53" s="361">
        <f ca="1">ROUND(IF(F53="押一",F49*F51*F50/12*F11,IF(F53="押二",F49*F51*F50/12*2*F11,IF(F53="押三",F49*F51*F50/12*3*F11,C54*F11)))/10000,0)</f>
        <v>0</v>
      </c>
      <c r="D53" s="1822" t="s">
        <v>3014</v>
      </c>
      <c r="E53" s="358" t="s">
        <v>1411</v>
      </c>
      <c r="F53" s="1365"/>
      <c r="I53" s="1903" t="s">
        <v>1548</v>
      </c>
      <c r="J53" s="1904">
        <f ca="1">IF(M47="住宅",J51,IF(D1="——",MIN(J51,L48),IF(D1="在建（套用方法）",MIN(J51,L48-'数据-取费表'!B24),IF(D1="土地（套用方法）",MIN(J51,L48-'数据-取费表'!B20)))))</f>
        <v>30.17</v>
      </c>
      <c r="K53" s="3245" t="s">
        <v>1549</v>
      </c>
      <c r="L53" s="3246"/>
      <c r="O53" s="1882" t="s">
        <v>1046</v>
      </c>
      <c r="P53" s="1883" t="s">
        <v>1550</v>
      </c>
      <c r="Q53" s="1884">
        <f ca="1">Q47+Q48</f>
        <v>1222</v>
      </c>
      <c r="R53" s="1884" t="s">
        <v>1047</v>
      </c>
    </row>
    <row r="54" spans="1:18" s="1840" customFormat="1" ht="13.5" thickBot="1">
      <c r="A54" s="1405"/>
      <c r="B54" s="1823" t="s">
        <v>1388</v>
      </c>
      <c r="C54" s="1177"/>
      <c r="D54" s="1822"/>
      <c r="E54" s="298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2981"/>
      <c r="F55" s="1905"/>
      <c r="I55" s="1908" t="s">
        <v>1552</v>
      </c>
      <c r="J55" s="1909">
        <f ca="1">ROUND(IF(J47="钢混",J57/J50,1-(1-2%)*(J50-J57)/J50),3)</f>
        <v>0.36399999999999999</v>
      </c>
      <c r="K55" s="1910" t="s">
        <v>1553</v>
      </c>
      <c r="L55" s="1911" t="s">
        <v>1554</v>
      </c>
      <c r="O55" s="1875" t="s">
        <v>1523</v>
      </c>
      <c r="P55" s="1876" t="s">
        <v>1524</v>
      </c>
      <c r="Q55" s="1877" t="s">
        <v>1525</v>
      </c>
      <c r="R55" s="1877" t="s">
        <v>1526</v>
      </c>
    </row>
    <row r="56" spans="1:18" s="1840" customFormat="1" ht="25.5" thickTop="1" thickBot="1">
      <c r="A56" s="1175">
        <v>2</v>
      </c>
      <c r="B56" s="1176" t="s">
        <v>1415</v>
      </c>
      <c r="C56" s="276">
        <f ca="1">C13</f>
        <v>162</v>
      </c>
      <c r="D56" s="1912"/>
      <c r="E56" s="1913"/>
      <c r="F56" s="1905"/>
      <c r="I56" s="1914" t="s">
        <v>1555</v>
      </c>
      <c r="J56" s="1915" t="s">
        <v>3042</v>
      </c>
      <c r="K56" s="1885" t="s">
        <v>1556</v>
      </c>
      <c r="L56" s="1888" t="str">
        <f ca="1">IF(L48&lt;J51,"——",L48-J53)</f>
        <v>——</v>
      </c>
      <c r="O56" s="1882" t="s">
        <v>1040</v>
      </c>
      <c r="P56" s="1883" t="s">
        <v>1529</v>
      </c>
      <c r="Q56" s="1884">
        <f ca="1">C40+J29</f>
        <v>1217</v>
      </c>
      <c r="R56" s="1884" t="s">
        <v>1530</v>
      </c>
    </row>
    <row r="57" spans="1:18" s="1840" customFormat="1" ht="24.75" thickBot="1">
      <c r="A57" s="1916"/>
      <c r="B57" s="1168" t="s">
        <v>1479</v>
      </c>
      <c r="C57" s="282">
        <f ca="1">C29</f>
        <v>186</v>
      </c>
      <c r="D57" s="1917"/>
      <c r="E57" s="1918"/>
      <c r="F57" s="1919"/>
      <c r="I57" s="1920" t="s">
        <v>1557</v>
      </c>
      <c r="J57" s="1921">
        <f ca="1">IF(OR(M47="住宅",J51&lt;L48,J56="是"),"——",J51-L48)</f>
        <v>21.83</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6" t="s">
        <v>1425</v>
      </c>
      <c r="C58" s="361">
        <f ca="1">ROUND(C59+C64+C65+C66,0)</f>
        <v>5</v>
      </c>
      <c r="D58" s="1178" t="s">
        <v>1426</v>
      </c>
      <c r="E58" s="1179"/>
      <c r="F58" s="1180"/>
      <c r="I58" s="1920" t="s">
        <v>1561</v>
      </c>
      <c r="J58" s="1922">
        <f ca="1">IF(J55&lt;0.4,0.4,J55)</f>
        <v>0.4</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0" t="s">
        <v>1035</v>
      </c>
      <c r="B59" s="1168" t="s">
        <v>1430</v>
      </c>
      <c r="C59" s="24">
        <f ca="1">ROUND(IF(项目基本情况!B11="自然人",C48*F59,C60+C61+C62),1)</f>
        <v>1.6</v>
      </c>
      <c r="D59" s="1181" t="s">
        <v>1431</v>
      </c>
      <c r="E59" s="1182" t="s">
        <v>1432</v>
      </c>
      <c r="F59" s="368" t="str">
        <f ca="1">IF(项目基本情况!B11="企业","",IF(INDIRECT("'数据-取费表'!c"&amp;$G$1)="住宅",5%,IF(F49*F50*F51/12/(1+'数据-取费表'!C42)&gt;20000,12%,7%)))</f>
        <v/>
      </c>
      <c r="I59" s="1920" t="s">
        <v>1564</v>
      </c>
      <c r="J59" s="1921">
        <f ca="1">IF(OR(M47="住宅",J51&lt;L48,J56="是"),"——",ROUND(C29*J58,0))</f>
        <v>74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3" t="s">
        <v>1566</v>
      </c>
      <c r="J60" s="1924">
        <f ca="1">IF(OR(M47="住宅",J51&lt;L48,J56="是"),"0",ROUND(J59/(1+J52)^J53,0))</f>
        <v>5</v>
      </c>
      <c r="K60" s="1925" t="s">
        <v>1567</v>
      </c>
      <c r="L60" s="1924">
        <f ca="1">IF(OR(M47="住宅",L48&lt;J51),0,ROUND(L57*(L58/L59-1),0))</f>
        <v>0</v>
      </c>
      <c r="O60" s="1892" t="s">
        <v>1044</v>
      </c>
      <c r="P60" s="1883" t="s">
        <v>1568</v>
      </c>
      <c r="Q60" s="1884" t="e">
        <f ca="1">L58</f>
        <v>#DIV/0!</v>
      </c>
      <c r="R60" s="1884" t="s">
        <v>1569</v>
      </c>
    </row>
    <row r="61" spans="1:18" s="1840" customFormat="1" ht="13.5" thickBot="1">
      <c r="A61" s="1200" t="s">
        <v>1493</v>
      </c>
      <c r="B61" s="1168" t="s">
        <v>1438</v>
      </c>
      <c r="C61" s="24">
        <f ca="1">IF(项目基本情况!B11="自然人","——",IF(D61="按租金收入计税",ROUND(C48*F61,2),IF(D61="按房产原值计税",ROUND(C57*F61*0.7,2),INDIRECT("'数据-取费表'!Aj"&amp;$G$1))))</f>
        <v>1.56</v>
      </c>
      <c r="D61" s="1826" t="s">
        <v>1439</v>
      </c>
      <c r="E61" s="1168" t="s">
        <v>1423</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0" t="s">
        <v>1496</v>
      </c>
      <c r="B62" s="1167" t="s">
        <v>1442</v>
      </c>
      <c r="C62" s="25">
        <f ca="1">IF(项目基本情况!B11="自然人","——",ROUND(F62*F63/10000,2))</f>
        <v>0.03</v>
      </c>
      <c r="D62" s="1183" t="s">
        <v>1443</v>
      </c>
      <c r="E62" s="1168" t="s">
        <v>1444</v>
      </c>
      <c r="F62" s="371">
        <f t="shared" si="0"/>
        <v>3</v>
      </c>
      <c r="I62" s="1927" t="s">
        <v>1571</v>
      </c>
      <c r="J62" s="1928" t="s">
        <v>1572</v>
      </c>
      <c r="K62" s="1928" t="s">
        <v>1573</v>
      </c>
      <c r="L62" s="1928" t="s">
        <v>1574</v>
      </c>
      <c r="M62" s="1929" t="s">
        <v>1575</v>
      </c>
      <c r="O62" s="1882" t="s">
        <v>1046</v>
      </c>
      <c r="P62" s="1883" t="s">
        <v>1550</v>
      </c>
      <c r="Q62" s="1884">
        <f ca="1">Q56+Q57</f>
        <v>1217</v>
      </c>
      <c r="R62" s="1884" t="s">
        <v>1047</v>
      </c>
    </row>
    <row r="63" spans="1:18" s="1840" customFormat="1" ht="13.5" thickBot="1">
      <c r="A63" s="372"/>
      <c r="B63" s="1174"/>
      <c r="C63" s="29"/>
      <c r="D63" s="1184"/>
      <c r="E63" s="1168" t="s">
        <v>1448</v>
      </c>
      <c r="F63" s="348">
        <f t="shared" ca="1" si="0"/>
        <v>101.58</v>
      </c>
      <c r="I63" s="1927" t="s">
        <v>1577</v>
      </c>
      <c r="J63" s="1928">
        <v>70</v>
      </c>
      <c r="K63" s="1928">
        <v>50</v>
      </c>
      <c r="L63" s="1928">
        <v>80</v>
      </c>
      <c r="M63" s="1930">
        <v>0.02</v>
      </c>
      <c r="O63" s="1867" t="s">
        <v>1578</v>
      </c>
      <c r="P63" s="1837"/>
      <c r="Q63" s="1837"/>
      <c r="R63" s="1837"/>
    </row>
    <row r="64" spans="1:18" s="1840" customFormat="1" ht="13.5" thickBot="1">
      <c r="A64" s="1200" t="s">
        <v>1039</v>
      </c>
      <c r="B64" s="1168" t="s">
        <v>1450</v>
      </c>
      <c r="C64" s="24">
        <f ca="1">ROUND(C57*F64,1)</f>
        <v>2.8</v>
      </c>
      <c r="D64" s="1182" t="s">
        <v>1483</v>
      </c>
      <c r="E64" s="1168" t="s">
        <v>1423</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0" t="s">
        <v>1504</v>
      </c>
      <c r="B65" s="1168" t="s">
        <v>1454</v>
      </c>
      <c r="C65" s="24">
        <f ca="1">ROUND(C56*F65,1)</f>
        <v>0.2</v>
      </c>
      <c r="D65" s="1182" t="s">
        <v>1455</v>
      </c>
      <c r="E65" s="1168" t="s">
        <v>1423</v>
      </c>
      <c r="F65" s="376">
        <f t="shared" ca="1" si="0"/>
        <v>1.5E-3</v>
      </c>
      <c r="I65" s="1927" t="s">
        <v>1580</v>
      </c>
      <c r="J65" s="1928">
        <v>40</v>
      </c>
      <c r="K65" s="1928">
        <v>30</v>
      </c>
      <c r="L65" s="1928">
        <v>50</v>
      </c>
      <c r="M65" s="1930">
        <v>0.02</v>
      </c>
      <c r="O65" s="1882" t="s">
        <v>1040</v>
      </c>
      <c r="P65" s="1883" t="s">
        <v>1529</v>
      </c>
      <c r="Q65" s="1884">
        <f ca="1">C40+J29</f>
        <v>1217</v>
      </c>
      <c r="R65" s="1884" t="s">
        <v>1530</v>
      </c>
    </row>
    <row r="66" spans="1:18" s="1840" customFormat="1" ht="16.5" thickBot="1">
      <c r="A66" s="1200" t="s">
        <v>1505</v>
      </c>
      <c r="B66" s="1168" t="s">
        <v>1440</v>
      </c>
      <c r="C66" s="24">
        <f ca="1">ROUND(C48*F66,1)</f>
        <v>0</v>
      </c>
      <c r="D66" s="1182" t="s">
        <v>1460</v>
      </c>
      <c r="E66" s="1168" t="s">
        <v>1423</v>
      </c>
      <c r="F66" s="357">
        <f t="shared" ca="1" si="0"/>
        <v>0.01</v>
      </c>
      <c r="O66" s="1882" t="s">
        <v>1041</v>
      </c>
      <c r="P66" s="1883" t="s">
        <v>1559</v>
      </c>
      <c r="Q66" s="1884">
        <f ca="1">L60</f>
        <v>0</v>
      </c>
      <c r="R66" s="1884" t="s">
        <v>1582</v>
      </c>
    </row>
    <row r="67" spans="1:18" s="1840" customFormat="1" ht="16.5" thickBot="1">
      <c r="A67" s="1175" t="s">
        <v>1031</v>
      </c>
      <c r="B67" s="1185" t="s">
        <v>1464</v>
      </c>
      <c r="C67" s="361">
        <f ca="1">C48-C58</f>
        <v>-5</v>
      </c>
      <c r="D67" s="1181" t="s">
        <v>1465</v>
      </c>
      <c r="E67" s="1186"/>
      <c r="F67" s="1187"/>
      <c r="O67" s="1892" t="s">
        <v>1042</v>
      </c>
      <c r="P67" s="1883" t="s">
        <v>1563</v>
      </c>
      <c r="Q67" s="1931">
        <f ca="1">L51</f>
        <v>804</v>
      </c>
      <c r="R67" s="1884" t="s">
        <v>1583</v>
      </c>
    </row>
    <row r="68" spans="1:18" s="1840" customFormat="1" ht="16.5" thickBot="1">
      <c r="A68" s="1165" t="s">
        <v>1032</v>
      </c>
      <c r="B68" s="1166" t="s">
        <v>1486</v>
      </c>
      <c r="C68" s="346">
        <f ca="1">ROUND(C67*(1-((1+F70)/(1+F68))^F69)/(F68-F70),0)</f>
        <v>-69</v>
      </c>
      <c r="D68" s="1183" t="s">
        <v>1470</v>
      </c>
      <c r="E68" s="1168" t="s">
        <v>1471</v>
      </c>
      <c r="F68" s="357">
        <f ca="1">F40</f>
        <v>0.06</v>
      </c>
      <c r="O68" s="1892" t="s">
        <v>1043</v>
      </c>
      <c r="P68" s="1932" t="s">
        <v>1584</v>
      </c>
      <c r="Q68" s="1884">
        <f ca="1">ROUND(Q69-Q70*Q71,0)</f>
        <v>49</v>
      </c>
      <c r="R68" s="1884" t="s">
        <v>1051</v>
      </c>
    </row>
    <row r="69" spans="1:18" s="1840" customFormat="1" ht="13.5" thickBot="1">
      <c r="A69" s="1169"/>
      <c r="B69" s="1170"/>
      <c r="C69" s="351"/>
      <c r="D69" s="1188" t="s">
        <v>1474</v>
      </c>
      <c r="E69" s="1168" t="s">
        <v>1475</v>
      </c>
      <c r="F69" s="379">
        <f ca="1">F41</f>
        <v>30.17</v>
      </c>
      <c r="O69" s="1892" t="s">
        <v>1048</v>
      </c>
      <c r="P69" s="1932" t="s">
        <v>1585</v>
      </c>
      <c r="Q69" s="1884">
        <f ca="1">C39</f>
        <v>63</v>
      </c>
      <c r="R69" s="1884" t="s">
        <v>1530</v>
      </c>
    </row>
    <row r="70" spans="1:18" s="1840" customFormat="1" ht="13.5" thickBot="1">
      <c r="A70" s="1172"/>
      <c r="B70" s="1173"/>
      <c r="C70" s="355"/>
      <c r="D70" s="1184"/>
      <c r="E70" s="1168" t="s">
        <v>1478</v>
      </c>
      <c r="F70" s="1274"/>
      <c r="O70" s="1892" t="s">
        <v>1049</v>
      </c>
      <c r="P70" s="1932" t="s">
        <v>1586</v>
      </c>
      <c r="Q70" s="1884">
        <f ca="1">C13</f>
        <v>162</v>
      </c>
      <c r="R70" s="1884" t="s">
        <v>1530</v>
      </c>
    </row>
    <row r="71" spans="1:18" s="1840" customFormat="1" ht="13.5" thickBot="1">
      <c r="A71" s="1189" t="s">
        <v>1033</v>
      </c>
      <c r="B71" s="1190" t="s">
        <v>1488</v>
      </c>
      <c r="C71" s="382">
        <f ca="1">ROUND(C68*10000/F71,0)</f>
        <v>-1702</v>
      </c>
      <c r="D71" s="1191" t="s">
        <v>1489</v>
      </c>
      <c r="E71" s="1192" t="s">
        <v>1490</v>
      </c>
      <c r="F71" s="385">
        <f ca="1">F43</f>
        <v>405.47</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14</v>
      </c>
      <c r="D75" s="1840"/>
      <c r="E75" s="1840"/>
      <c r="F75" s="1840"/>
      <c r="K75" s="1866"/>
      <c r="L75" s="1840"/>
      <c r="O75" s="1882" t="s">
        <v>1046</v>
      </c>
      <c r="P75" s="1883" t="s">
        <v>1550</v>
      </c>
      <c r="Q75" s="1884">
        <f ca="1">Q65+Q66</f>
        <v>1217</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0.77800000000000002</v>
      </c>
    </row>
    <row r="80" spans="1:18">
      <c r="B80" s="386" t="s">
        <v>1512</v>
      </c>
      <c r="C80" s="318">
        <f ca="1">ROUND(C75/C39,3)</f>
        <v>0.222</v>
      </c>
    </row>
    <row r="81" spans="2:3">
      <c r="B81" s="314" t="s">
        <v>1513</v>
      </c>
      <c r="C81" s="282"/>
    </row>
    <row r="82" spans="2:3">
      <c r="B82" s="317" t="s">
        <v>1514</v>
      </c>
      <c r="C82" s="319">
        <f ca="1">1-C83</f>
        <v>0.86699999999999999</v>
      </c>
    </row>
    <row r="83" spans="2:3">
      <c r="B83" s="317" t="s">
        <v>1515</v>
      </c>
      <c r="C83" s="318">
        <f ca="1">ROUND(C13/C40,3)</f>
        <v>0.13300000000000001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topLeftCell="A15" zoomScale="90" zoomScaleNormal="90" workbookViewId="0">
      <selection activeCell="D60" sqref="D60"/>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7" t="s">
        <v>2631</v>
      </c>
      <c r="C1" s="1633" t="s">
        <v>2519</v>
      </c>
      <c r="D1" s="1620" t="s">
        <v>3060</v>
      </c>
      <c r="E1" s="2652"/>
      <c r="F1" s="2579" t="s">
        <v>3109</v>
      </c>
      <c r="G1" s="1630" t="s">
        <v>2521</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7">
        <f>IF(C2="——",ROUND(C49*D3/10000,0),ROUND(C49*D3/10000,0)-D2)</f>
        <v>0</v>
      </c>
      <c r="C2" s="2581" t="s">
        <v>70</v>
      </c>
      <c r="D2" s="1364"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1395</v>
      </c>
      <c r="B3" s="609">
        <f>IF(C2="——",C49,ROUND(B2*10000/D3,0))</f>
        <v>5.8</v>
      </c>
      <c r="C3" s="400" t="s">
        <v>2523</v>
      </c>
      <c r="D3" s="399">
        <f>IF(D1="",'数据-汇总表'!E3,SUMIF('数据-汇总表'!$C19:$C33,D1,'数据-汇总表'!$E19:$E33))</f>
        <v>0</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2524</v>
      </c>
      <c r="B4" s="402"/>
      <c r="C4" s="3211" t="s">
        <v>2525</v>
      </c>
      <c r="D4" s="3212"/>
      <c r="E4" s="3213" t="s">
        <v>2526</v>
      </c>
      <c r="F4" s="3214"/>
      <c r="G4" s="3211" t="s">
        <v>2527</v>
      </c>
      <c r="H4" s="3212"/>
      <c r="I4" s="3211" t="s">
        <v>2528</v>
      </c>
      <c r="J4" s="3212"/>
      <c r="K4" s="610" t="s">
        <v>2529</v>
      </c>
      <c r="L4" s="1129"/>
      <c r="M4" s="1130"/>
      <c r="N4" s="1130"/>
      <c r="O4" s="1130"/>
      <c r="P4" s="3215" t="s">
        <v>2530</v>
      </c>
      <c r="Q4" s="3216"/>
      <c r="R4" s="3198" t="s">
        <v>2526</v>
      </c>
      <c r="S4" s="3199"/>
      <c r="T4" s="3198" t="s">
        <v>2527</v>
      </c>
      <c r="U4" s="3199"/>
      <c r="V4" s="3195" t="s">
        <v>2528</v>
      </c>
      <c r="W4" s="3195"/>
      <c r="X4" s="2940"/>
      <c r="Y4" s="3198" t="s">
        <v>2530</v>
      </c>
      <c r="Z4" s="3199"/>
      <c r="AA4" s="3192" t="s">
        <v>2526</v>
      </c>
      <c r="AB4" s="3195" t="s">
        <v>2527</v>
      </c>
      <c r="AC4" s="3192" t="s">
        <v>2528</v>
      </c>
    </row>
    <row r="5" spans="1:29" ht="15">
      <c r="A5" s="404"/>
      <c r="B5" s="405"/>
      <c r="C5" s="3204" t="s">
        <v>3068</v>
      </c>
      <c r="D5" s="3205"/>
      <c r="E5" s="3202" t="s">
        <v>3104</v>
      </c>
      <c r="F5" s="3203"/>
      <c r="G5" s="3204" t="s">
        <v>3111</v>
      </c>
      <c r="H5" s="3205"/>
      <c r="I5" s="3204" t="s">
        <v>3108</v>
      </c>
      <c r="J5" s="3205"/>
      <c r="K5" s="610"/>
      <c r="L5" s="1129"/>
      <c r="M5" s="1130"/>
      <c r="N5" s="1130"/>
      <c r="O5" s="1130"/>
      <c r="P5" s="3217"/>
      <c r="Q5" s="3218"/>
      <c r="R5" s="3200"/>
      <c r="S5" s="3201"/>
      <c r="T5" s="3200"/>
      <c r="U5" s="3201"/>
      <c r="V5" s="3195"/>
      <c r="W5" s="3195"/>
      <c r="X5" s="2940"/>
      <c r="Y5" s="3200"/>
      <c r="Z5" s="3201"/>
      <c r="AA5" s="3193"/>
      <c r="AB5" s="3195"/>
      <c r="AC5" s="3193"/>
    </row>
    <row r="6" spans="1:29" ht="15.75" thickBot="1">
      <c r="A6" s="406"/>
      <c r="B6" s="407"/>
      <c r="C6" s="3206" t="s">
        <v>2535</v>
      </c>
      <c r="D6" s="3207"/>
      <c r="E6" s="3208" t="s">
        <v>2535</v>
      </c>
      <c r="F6" s="3209"/>
      <c r="G6" s="3206" t="s">
        <v>2535</v>
      </c>
      <c r="H6" s="3207"/>
      <c r="I6" s="3206" t="s">
        <v>2535</v>
      </c>
      <c r="J6" s="3207"/>
      <c r="K6" s="610" t="s">
        <v>2536</v>
      </c>
      <c r="L6" s="1129"/>
      <c r="M6" s="1130"/>
      <c r="N6" s="1130"/>
      <c r="O6" s="1130"/>
      <c r="P6" s="3219"/>
      <c r="Q6" s="3220"/>
      <c r="R6" s="3200"/>
      <c r="S6" s="3201"/>
      <c r="T6" s="3221"/>
      <c r="U6" s="3222"/>
      <c r="V6" s="3195"/>
      <c r="W6" s="3195"/>
      <c r="X6" s="2940"/>
      <c r="Y6" s="3221"/>
      <c r="Z6" s="3222"/>
      <c r="AA6" s="3194"/>
      <c r="AB6" s="3195"/>
      <c r="AC6" s="3194"/>
    </row>
    <row r="7" spans="1:29" s="117" customFormat="1" ht="15.75" thickBot="1">
      <c r="A7" s="408" t="s">
        <v>2537</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1"/>
      <c r="M7" s="1132"/>
      <c r="N7" s="1132"/>
      <c r="O7" s="1132"/>
      <c r="P7" s="3196" t="s">
        <v>2538</v>
      </c>
      <c r="Q7" s="3223"/>
      <c r="R7" s="769" t="s">
        <v>17</v>
      </c>
      <c r="S7" s="770">
        <f t="shared" ref="S7:S15" si="0">F7</f>
        <v>100</v>
      </c>
      <c r="T7" s="769" t="s">
        <v>17</v>
      </c>
      <c r="U7" s="770">
        <f t="shared" ref="U7:U15" si="1">H7</f>
        <v>100</v>
      </c>
      <c r="V7" s="769" t="s">
        <v>17</v>
      </c>
      <c r="W7" s="770">
        <f t="shared" ref="W7:W15" si="2">J7</f>
        <v>100</v>
      </c>
      <c r="X7" s="771"/>
      <c r="Y7" s="3196" t="s">
        <v>2538</v>
      </c>
      <c r="Z7" s="3197"/>
      <c r="AA7" s="772">
        <f>D7/F7</f>
        <v>1</v>
      </c>
      <c r="AB7" s="772">
        <f>D7/H7</f>
        <v>1</v>
      </c>
      <c r="AC7" s="772">
        <f>D7/J7</f>
        <v>1</v>
      </c>
    </row>
    <row r="8" spans="1:29" s="117" customFormat="1" ht="15.75" thickBot="1">
      <c r="A8" s="408" t="s">
        <v>2539</v>
      </c>
      <c r="B8" s="409"/>
      <c r="C8" s="414" t="s">
        <v>2576</v>
      </c>
      <c r="D8" s="411">
        <v>100</v>
      </c>
      <c r="E8" s="414" t="s">
        <v>2576</v>
      </c>
      <c r="F8" s="413">
        <f>SUMIF(61:61,E8,62:62)-SUMIF(61:61,C8,62:62)+100</f>
        <v>100</v>
      </c>
      <c r="G8" s="414" t="s">
        <v>2576</v>
      </c>
      <c r="H8" s="411">
        <f>SUMIF(61:61,G8,62:62)-SUMIF(61:61,C8,62:62)+100</f>
        <v>100</v>
      </c>
      <c r="I8" s="414" t="s">
        <v>2576</v>
      </c>
      <c r="J8" s="411">
        <f>SUMIF(61:61,I8,62:62)-SUMIF(61:61,C8,62:62)+100</f>
        <v>100</v>
      </c>
      <c r="K8" s="611"/>
      <c r="L8" s="1131"/>
      <c r="M8" s="1132"/>
      <c r="N8" s="1132"/>
      <c r="O8" s="1132"/>
      <c r="P8" s="3196" t="s">
        <v>2541</v>
      </c>
      <c r="Q8" s="3197"/>
      <c r="R8" s="769" t="s">
        <v>17</v>
      </c>
      <c r="S8" s="770">
        <f t="shared" si="0"/>
        <v>100</v>
      </c>
      <c r="T8" s="769" t="s">
        <v>17</v>
      </c>
      <c r="U8" s="770">
        <f t="shared" si="1"/>
        <v>100</v>
      </c>
      <c r="V8" s="769" t="s">
        <v>17</v>
      </c>
      <c r="W8" s="770">
        <f t="shared" si="2"/>
        <v>100</v>
      </c>
      <c r="X8" s="771"/>
      <c r="Y8" s="3196" t="s">
        <v>2541</v>
      </c>
      <c r="Z8" s="3197"/>
      <c r="AA8" s="772">
        <f t="shared" ref="AA8:AA46" si="3">D8/F8</f>
        <v>1</v>
      </c>
      <c r="AB8" s="772">
        <f t="shared" ref="AB8:AB46" si="4">D8/H8</f>
        <v>1</v>
      </c>
      <c r="AC8" s="772">
        <f t="shared" ref="AC8:AC46" si="5">D8/J8</f>
        <v>1</v>
      </c>
    </row>
    <row r="9" spans="1:29" s="117" customFormat="1">
      <c r="A9" s="415" t="s">
        <v>2542</v>
      </c>
      <c r="B9" s="71" t="s">
        <v>2543</v>
      </c>
      <c r="C9" s="2958" t="s">
        <v>3069</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10" t="s">
        <v>2544</v>
      </c>
      <c r="Q9" s="2934" t="str">
        <f t="shared" ref="Q9:Q15" si="6">B9</f>
        <v>用途</v>
      </c>
      <c r="R9" s="769" t="s">
        <v>17</v>
      </c>
      <c r="S9" s="770">
        <f t="shared" si="0"/>
        <v>100</v>
      </c>
      <c r="T9" s="769" t="s">
        <v>17</v>
      </c>
      <c r="U9" s="770">
        <f t="shared" si="1"/>
        <v>100</v>
      </c>
      <c r="V9" s="769" t="s">
        <v>17</v>
      </c>
      <c r="W9" s="770">
        <f t="shared" si="2"/>
        <v>100</v>
      </c>
      <c r="X9" s="771"/>
      <c r="Y9" s="3069" t="s">
        <v>2545</v>
      </c>
      <c r="Z9" s="2935" t="str">
        <f t="shared" ref="Z9:Z15" si="7">Q9</f>
        <v>用途</v>
      </c>
      <c r="AA9" s="772">
        <f t="shared" si="3"/>
        <v>1</v>
      </c>
      <c r="AB9" s="772">
        <f t="shared" si="4"/>
        <v>1</v>
      </c>
      <c r="AC9" s="772">
        <f t="shared" si="5"/>
        <v>1</v>
      </c>
    </row>
    <row r="10" spans="1:29" s="427" customFormat="1" ht="27.75" thickBot="1">
      <c r="A10" s="421"/>
      <c r="B10" s="2936" t="s">
        <v>2546</v>
      </c>
      <c r="C10" s="423" t="s">
        <v>3070</v>
      </c>
      <c r="D10" s="136">
        <v>100</v>
      </c>
      <c r="E10" s="424" t="s">
        <v>3105</v>
      </c>
      <c r="F10" s="425">
        <f>SUMIF(65:65,E10,66:66)-SUMIF(65:65,C10,66:66)+100</f>
        <v>98</v>
      </c>
      <c r="G10" s="423" t="s">
        <v>3070</v>
      </c>
      <c r="H10" s="136">
        <f>SUMIF(65:65,G10,66:66)-SUMIF(65:65,C10,66:66)+100</f>
        <v>100</v>
      </c>
      <c r="I10" s="423" t="s">
        <v>3105</v>
      </c>
      <c r="J10" s="136">
        <f>SUMIF(65:65,I10,66:66)-SUMIF(65:65,C10,66:66)+100</f>
        <v>98</v>
      </c>
      <c r="K10" s="612">
        <f>'比较法-商业'!K10</f>
        <v>2</v>
      </c>
      <c r="L10" s="1134"/>
      <c r="M10" s="1135"/>
      <c r="N10" s="1135"/>
      <c r="O10" s="1135"/>
      <c r="P10" s="3210"/>
      <c r="Q10" s="2934" t="str">
        <f t="shared" si="6"/>
        <v>土地使用年限（年）</v>
      </c>
      <c r="R10" s="769" t="s">
        <v>17</v>
      </c>
      <c r="S10" s="770">
        <f t="shared" si="0"/>
        <v>98</v>
      </c>
      <c r="T10" s="769" t="s">
        <v>17</v>
      </c>
      <c r="U10" s="770">
        <f t="shared" si="1"/>
        <v>100</v>
      </c>
      <c r="V10" s="769" t="s">
        <v>17</v>
      </c>
      <c r="W10" s="770">
        <f t="shared" si="2"/>
        <v>98</v>
      </c>
      <c r="X10" s="771"/>
      <c r="Y10" s="3069"/>
      <c r="Z10" s="2935" t="str">
        <f t="shared" si="7"/>
        <v>土地使用年限（年）</v>
      </c>
      <c r="AA10" s="772">
        <f t="shared" si="3"/>
        <v>1.0204081632653061</v>
      </c>
      <c r="AB10" s="772">
        <f t="shared" si="4"/>
        <v>1</v>
      </c>
      <c r="AC10" s="772">
        <f t="shared" si="5"/>
        <v>1.0204081632653061</v>
      </c>
    </row>
    <row r="11" spans="1:29" ht="15.75" hidden="1" thickBot="1">
      <c r="A11" s="428"/>
      <c r="B11" s="2936" t="s">
        <v>2547</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10"/>
      <c r="Q11" s="2934" t="str">
        <f t="shared" si="6"/>
        <v>容积率</v>
      </c>
      <c r="R11" s="769" t="s">
        <v>17</v>
      </c>
      <c r="S11" s="770">
        <f t="shared" si="0"/>
        <v>100</v>
      </c>
      <c r="T11" s="769" t="s">
        <v>17</v>
      </c>
      <c r="U11" s="770">
        <f t="shared" si="1"/>
        <v>100</v>
      </c>
      <c r="V11" s="769" t="s">
        <v>17</v>
      </c>
      <c r="W11" s="770">
        <f t="shared" si="2"/>
        <v>100</v>
      </c>
      <c r="X11" s="771"/>
      <c r="Y11" s="3069"/>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0"/>
      <c r="Q12" s="2934">
        <f t="shared" si="6"/>
        <v>111</v>
      </c>
      <c r="R12" s="769" t="s">
        <v>17</v>
      </c>
      <c r="S12" s="770">
        <f t="shared" si="0"/>
        <v>100</v>
      </c>
      <c r="T12" s="769" t="s">
        <v>17</v>
      </c>
      <c r="U12" s="770">
        <f t="shared" si="1"/>
        <v>100</v>
      </c>
      <c r="V12" s="769" t="s">
        <v>17</v>
      </c>
      <c r="W12" s="770">
        <f t="shared" si="2"/>
        <v>100</v>
      </c>
      <c r="X12" s="771"/>
      <c r="Y12" s="3069"/>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0"/>
      <c r="Q13" s="2934">
        <f t="shared" si="6"/>
        <v>111</v>
      </c>
      <c r="R13" s="769" t="s">
        <v>17</v>
      </c>
      <c r="S13" s="770">
        <f t="shared" si="0"/>
        <v>100</v>
      </c>
      <c r="T13" s="769" t="s">
        <v>17</v>
      </c>
      <c r="U13" s="770">
        <f t="shared" si="1"/>
        <v>100</v>
      </c>
      <c r="V13" s="769" t="s">
        <v>17</v>
      </c>
      <c r="W13" s="770">
        <f t="shared" si="2"/>
        <v>100</v>
      </c>
      <c r="X13" s="771"/>
      <c r="Y13" s="3069"/>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0"/>
      <c r="Q14" s="2934">
        <f t="shared" si="6"/>
        <v>111</v>
      </c>
      <c r="R14" s="769" t="s">
        <v>17</v>
      </c>
      <c r="S14" s="770">
        <f t="shared" si="0"/>
        <v>100</v>
      </c>
      <c r="T14" s="769" t="s">
        <v>17</v>
      </c>
      <c r="U14" s="770">
        <f t="shared" si="1"/>
        <v>100</v>
      </c>
      <c r="V14" s="769" t="s">
        <v>17</v>
      </c>
      <c r="W14" s="770">
        <f t="shared" si="2"/>
        <v>100</v>
      </c>
      <c r="X14" s="771"/>
      <c r="Y14" s="3069"/>
      <c r="Z14" s="2935">
        <f t="shared" si="7"/>
        <v>111</v>
      </c>
      <c r="AA14" s="772">
        <f t="shared" si="3"/>
        <v>1</v>
      </c>
      <c r="AB14" s="772">
        <f t="shared" si="4"/>
        <v>1</v>
      </c>
      <c r="AC14" s="772">
        <f t="shared" si="5"/>
        <v>1</v>
      </c>
    </row>
    <row r="15" spans="1:29" ht="57">
      <c r="A15" s="440" t="s">
        <v>2548</v>
      </c>
      <c r="B15" s="69" t="s">
        <v>2642</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2">
        <f>'比较法-商业'!K15</f>
        <v>2</v>
      </c>
      <c r="L15" s="1139"/>
      <c r="M15" s="1130"/>
      <c r="N15" s="1130"/>
      <c r="O15" s="1130"/>
      <c r="P15" s="3224" t="s">
        <v>2549</v>
      </c>
      <c r="Q15" s="2938" t="str">
        <f t="shared" si="6"/>
        <v>商业繁华度</v>
      </c>
      <c r="R15" s="773" t="s">
        <v>17</v>
      </c>
      <c r="S15" s="774">
        <f t="shared" si="0"/>
        <v>102</v>
      </c>
      <c r="T15" s="773" t="s">
        <v>17</v>
      </c>
      <c r="U15" s="774">
        <f t="shared" si="1"/>
        <v>102</v>
      </c>
      <c r="V15" s="773" t="s">
        <v>17</v>
      </c>
      <c r="W15" s="774">
        <f t="shared" si="2"/>
        <v>102</v>
      </c>
      <c r="X15" s="2940"/>
      <c r="Y15" s="3226" t="s">
        <v>2549</v>
      </c>
      <c r="Z15" s="2941" t="str">
        <f t="shared" si="7"/>
        <v>商业繁华度</v>
      </c>
      <c r="AA15" s="2939">
        <f t="shared" si="3"/>
        <v>0.98039215686274506</v>
      </c>
      <c r="AB15" s="2939">
        <f t="shared" si="4"/>
        <v>0.98039215686274506</v>
      </c>
      <c r="AC15" s="2939">
        <f t="shared" si="5"/>
        <v>0.98039215686274506</v>
      </c>
    </row>
    <row r="16" spans="1:29" ht="15">
      <c r="A16" s="428"/>
      <c r="B16" s="446"/>
      <c r="C16" s="447" t="s">
        <v>3071</v>
      </c>
      <c r="D16" s="448"/>
      <c r="E16" s="447" t="s">
        <v>3072</v>
      </c>
      <c r="F16" s="449"/>
      <c r="G16" s="447" t="s">
        <v>3072</v>
      </c>
      <c r="H16" s="450"/>
      <c r="I16" s="447" t="s">
        <v>3072</v>
      </c>
      <c r="J16" s="448"/>
      <c r="K16" s="615"/>
      <c r="L16" s="1139"/>
      <c r="M16" s="1130"/>
      <c r="N16" s="1130"/>
      <c r="O16" s="1130"/>
      <c r="P16" s="3225"/>
      <c r="Q16" s="2938"/>
      <c r="R16" s="773"/>
      <c r="S16" s="774"/>
      <c r="T16" s="773"/>
      <c r="U16" s="774"/>
      <c r="V16" s="773"/>
      <c r="W16" s="774"/>
      <c r="X16" s="2940"/>
      <c r="Y16" s="3227"/>
      <c r="Z16" s="2941"/>
      <c r="AA16" s="2939">
        <v>1</v>
      </c>
      <c r="AB16" s="2939">
        <v>1</v>
      </c>
      <c r="AC16" s="2939">
        <v>1</v>
      </c>
    </row>
    <row r="17" spans="1:29" ht="99.75">
      <c r="A17" s="428"/>
      <c r="B17" s="451" t="s">
        <v>2091</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2">
        <f>'比较法-商业'!K17</f>
        <v>2</v>
      </c>
      <c r="L17" s="1139"/>
      <c r="M17" s="1130"/>
      <c r="N17" s="1130"/>
      <c r="O17" s="1130"/>
      <c r="P17" s="3225"/>
      <c r="Q17" s="2938" t="str">
        <f>B17</f>
        <v>交通便捷度</v>
      </c>
      <c r="R17" s="773" t="s">
        <v>17</v>
      </c>
      <c r="S17" s="774">
        <f>F17</f>
        <v>100</v>
      </c>
      <c r="T17" s="773" t="s">
        <v>17</v>
      </c>
      <c r="U17" s="774">
        <f>H17</f>
        <v>100</v>
      </c>
      <c r="V17" s="773" t="s">
        <v>17</v>
      </c>
      <c r="W17" s="774">
        <f>J17</f>
        <v>100</v>
      </c>
      <c r="X17" s="2940"/>
      <c r="Y17" s="3227"/>
      <c r="Z17" s="2941" t="str">
        <f>Q17</f>
        <v>交通便捷度</v>
      </c>
      <c r="AA17" s="2939">
        <f t="shared" si="3"/>
        <v>1</v>
      </c>
      <c r="AB17" s="2939">
        <f t="shared" si="4"/>
        <v>1</v>
      </c>
      <c r="AC17" s="2939">
        <f t="shared" si="5"/>
        <v>1</v>
      </c>
    </row>
    <row r="18" spans="1:29" ht="15">
      <c r="A18" s="428"/>
      <c r="B18" s="456"/>
      <c r="C18" s="2603" t="s">
        <v>3072</v>
      </c>
      <c r="D18" s="450"/>
      <c r="E18" s="2603" t="s">
        <v>3072</v>
      </c>
      <c r="F18" s="453"/>
      <c r="G18" s="2603" t="s">
        <v>3072</v>
      </c>
      <c r="H18" s="448"/>
      <c r="I18" s="2603" t="s">
        <v>3072</v>
      </c>
      <c r="J18" s="448"/>
      <c r="K18" s="615"/>
      <c r="L18" s="1139"/>
      <c r="M18" s="1130"/>
      <c r="N18" s="1130"/>
      <c r="O18" s="1130"/>
      <c r="P18" s="3225"/>
      <c r="Q18" s="2938"/>
      <c r="R18" s="773"/>
      <c r="S18" s="774"/>
      <c r="T18" s="773"/>
      <c r="U18" s="774"/>
      <c r="V18" s="773"/>
      <c r="W18" s="774"/>
      <c r="X18" s="2940"/>
      <c r="Y18" s="3227"/>
      <c r="Z18" s="2941"/>
      <c r="AA18" s="2939">
        <v>1</v>
      </c>
      <c r="AB18" s="2939">
        <v>1</v>
      </c>
      <c r="AC18" s="2939">
        <v>1</v>
      </c>
    </row>
    <row r="19" spans="1:29" ht="93" customHeight="1">
      <c r="A19" s="428"/>
      <c r="B19" s="451" t="s">
        <v>2643</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2">
        <f>'比较法-商业'!K19</f>
        <v>2</v>
      </c>
      <c r="L19" s="1139"/>
      <c r="M19" s="1130"/>
      <c r="N19" s="1130"/>
      <c r="O19" s="1130"/>
      <c r="P19" s="3225"/>
      <c r="Q19" s="2938" t="str">
        <f>B19</f>
        <v>公共配套设施</v>
      </c>
      <c r="R19" s="773" t="s">
        <v>17</v>
      </c>
      <c r="S19" s="774">
        <f>F19</f>
        <v>100</v>
      </c>
      <c r="T19" s="773" t="s">
        <v>17</v>
      </c>
      <c r="U19" s="774">
        <f>H19</f>
        <v>100</v>
      </c>
      <c r="V19" s="773" t="s">
        <v>17</v>
      </c>
      <c r="W19" s="774">
        <f>J19</f>
        <v>100</v>
      </c>
      <c r="X19" s="2940"/>
      <c r="Y19" s="3227"/>
      <c r="Z19" s="2941" t="str">
        <f>Q19</f>
        <v>公共配套设施</v>
      </c>
      <c r="AA19" s="2939">
        <f t="shared" si="3"/>
        <v>1</v>
      </c>
      <c r="AB19" s="2939">
        <f t="shared" si="4"/>
        <v>1</v>
      </c>
      <c r="AC19" s="2939">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25"/>
      <c r="Q20" s="2938"/>
      <c r="R20" s="773"/>
      <c r="S20" s="774"/>
      <c r="T20" s="773"/>
      <c r="U20" s="774"/>
      <c r="V20" s="773"/>
      <c r="W20" s="774"/>
      <c r="X20" s="2940"/>
      <c r="Y20" s="3227"/>
      <c r="Z20" s="2941"/>
      <c r="AA20" s="2939">
        <v>1</v>
      </c>
      <c r="AB20" s="2939">
        <v>1</v>
      </c>
      <c r="AC20" s="2939">
        <v>1</v>
      </c>
    </row>
    <row r="21" spans="1:29" ht="15">
      <c r="A21" s="428"/>
      <c r="B21" s="1383" t="s">
        <v>2644</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2">
        <f>'比较法-商业'!K21</f>
        <v>1</v>
      </c>
      <c r="L21" s="1139"/>
      <c r="M21" s="1130"/>
      <c r="N21" s="1130"/>
      <c r="O21" s="1130"/>
      <c r="P21" s="3225"/>
      <c r="Q21" s="2938" t="str">
        <f>B21</f>
        <v>基础设施水平</v>
      </c>
      <c r="R21" s="773" t="s">
        <v>17</v>
      </c>
      <c r="S21" s="774">
        <f>F21</f>
        <v>100</v>
      </c>
      <c r="T21" s="773" t="s">
        <v>17</v>
      </c>
      <c r="U21" s="774">
        <f>H21</f>
        <v>100</v>
      </c>
      <c r="V21" s="773" t="s">
        <v>17</v>
      </c>
      <c r="W21" s="774">
        <f>J21</f>
        <v>100</v>
      </c>
      <c r="X21" s="2940"/>
      <c r="Y21" s="3227"/>
      <c r="Z21" s="2941" t="str">
        <f>Q21</f>
        <v>基础设施水平</v>
      </c>
      <c r="AA21" s="2939">
        <f t="shared" ref="AA21" si="8">D21/F21</f>
        <v>1</v>
      </c>
      <c r="AB21" s="2939">
        <f t="shared" ref="AB21" si="9">D21/H21</f>
        <v>1</v>
      </c>
      <c r="AC21" s="2939">
        <f t="shared" ref="AC21" si="10">D21/J21</f>
        <v>1</v>
      </c>
    </row>
    <row r="22" spans="1:29" ht="15">
      <c r="A22" s="428"/>
      <c r="B22" s="1383"/>
      <c r="C22" s="2603" t="s">
        <v>3073</v>
      </c>
      <c r="D22" s="448"/>
      <c r="E22" s="2603" t="s">
        <v>3073</v>
      </c>
      <c r="F22" s="449"/>
      <c r="G22" s="2603" t="s">
        <v>3073</v>
      </c>
      <c r="H22" s="448"/>
      <c r="I22" s="2603" t="s">
        <v>3073</v>
      </c>
      <c r="J22" s="448"/>
      <c r="K22" s="1382"/>
      <c r="L22" s="1139"/>
      <c r="M22" s="1130"/>
      <c r="N22" s="1130"/>
      <c r="O22" s="1130"/>
      <c r="P22" s="3225"/>
      <c r="Q22" s="2938"/>
      <c r="R22" s="773"/>
      <c r="S22" s="774"/>
      <c r="T22" s="773"/>
      <c r="U22" s="774"/>
      <c r="V22" s="773"/>
      <c r="W22" s="774"/>
      <c r="X22" s="2940"/>
      <c r="Y22" s="3227"/>
      <c r="Z22" s="2941"/>
      <c r="AA22" s="2939">
        <v>1</v>
      </c>
      <c r="AB22" s="2939">
        <v>1</v>
      </c>
      <c r="AC22" s="2939">
        <v>1</v>
      </c>
    </row>
    <row r="23" spans="1:29" ht="28.5">
      <c r="A23" s="428"/>
      <c r="B23" s="451" t="s">
        <v>2094</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2">
        <f>'比较法-商业'!K23</f>
        <v>2</v>
      </c>
      <c r="L23" s="1139"/>
      <c r="M23" s="1130"/>
      <c r="N23" s="1130"/>
      <c r="O23" s="1130"/>
      <c r="P23" s="3225"/>
      <c r="Q23" s="2938" t="str">
        <f>B23</f>
        <v>自然及人文环境</v>
      </c>
      <c r="R23" s="773" t="s">
        <v>17</v>
      </c>
      <c r="S23" s="774">
        <f>F23</f>
        <v>100</v>
      </c>
      <c r="T23" s="773" t="s">
        <v>17</v>
      </c>
      <c r="U23" s="774">
        <f>H23</f>
        <v>100</v>
      </c>
      <c r="V23" s="773" t="s">
        <v>17</v>
      </c>
      <c r="W23" s="774">
        <f>J23</f>
        <v>100</v>
      </c>
      <c r="X23" s="2940"/>
      <c r="Y23" s="3227"/>
      <c r="Z23" s="2941" t="str">
        <f>Q23</f>
        <v>自然及人文环境</v>
      </c>
      <c r="AA23" s="2939">
        <f t="shared" si="3"/>
        <v>1</v>
      </c>
      <c r="AB23" s="2939">
        <f t="shared" si="4"/>
        <v>1</v>
      </c>
      <c r="AC23" s="2939">
        <f t="shared" si="5"/>
        <v>1</v>
      </c>
    </row>
    <row r="24" spans="1:29" ht="15">
      <c r="A24" s="428"/>
      <c r="B24" s="456"/>
      <c r="C24" s="447" t="s">
        <v>3071</v>
      </c>
      <c r="D24" s="448"/>
      <c r="E24" s="447" t="s">
        <v>3071</v>
      </c>
      <c r="F24" s="449"/>
      <c r="G24" s="447" t="s">
        <v>3071</v>
      </c>
      <c r="H24" s="448"/>
      <c r="I24" s="447" t="s">
        <v>3071</v>
      </c>
      <c r="J24" s="448"/>
      <c r="K24" s="615"/>
      <c r="L24" s="1139"/>
      <c r="M24" s="1130"/>
      <c r="N24" s="1130"/>
      <c r="O24" s="1130"/>
      <c r="P24" s="3225"/>
      <c r="Q24" s="2938"/>
      <c r="R24" s="773"/>
      <c r="S24" s="774"/>
      <c r="T24" s="773"/>
      <c r="U24" s="774"/>
      <c r="V24" s="773"/>
      <c r="W24" s="774"/>
      <c r="X24" s="2940"/>
      <c r="Y24" s="3227"/>
      <c r="Z24" s="2941"/>
      <c r="AA24" s="2939">
        <v>1</v>
      </c>
      <c r="AB24" s="2939">
        <v>1</v>
      </c>
      <c r="AC24" s="2939">
        <v>1</v>
      </c>
    </row>
    <row r="25" spans="1:29" ht="15">
      <c r="A25" s="428"/>
      <c r="B25" s="2936" t="s">
        <v>2645</v>
      </c>
      <c r="C25" s="616" t="s">
        <v>3078</v>
      </c>
      <c r="D25" s="435">
        <v>100</v>
      </c>
      <c r="E25" s="616" t="s">
        <v>3078</v>
      </c>
      <c r="F25" s="461">
        <f>SUMIF(86:86,E25,87:87)-SUMIF(86:86,C25,87:87)+100</f>
        <v>100</v>
      </c>
      <c r="G25" s="616" t="s">
        <v>3078</v>
      </c>
      <c r="H25" s="435">
        <f>SUMIF(86:86,G25,87:87)-SUMIF(86:86,C25,87:87)+100</f>
        <v>100</v>
      </c>
      <c r="I25" s="616" t="s">
        <v>3078</v>
      </c>
      <c r="J25" s="435">
        <f>SUMIF(86:86,I25,87:87)-SUMIF(86:86,C25,87:87)+100</f>
        <v>100</v>
      </c>
      <c r="K25" s="612">
        <f>'比较法-商业'!K25</f>
        <v>2</v>
      </c>
      <c r="L25" s="1139"/>
      <c r="M25" s="1130"/>
      <c r="N25" s="1130"/>
      <c r="O25" s="1130"/>
      <c r="P25" s="3225"/>
      <c r="Q25" s="2938" t="str">
        <f t="shared" ref="Q25:Q46" si="11">B25</f>
        <v>临街状况</v>
      </c>
      <c r="R25" s="773" t="s">
        <v>17</v>
      </c>
      <c r="S25" s="774">
        <f>F25</f>
        <v>100</v>
      </c>
      <c r="T25" s="773" t="s">
        <v>17</v>
      </c>
      <c r="U25" s="774">
        <f>H25</f>
        <v>100</v>
      </c>
      <c r="V25" s="773" t="s">
        <v>17</v>
      </c>
      <c r="W25" s="774">
        <f>J25</f>
        <v>100</v>
      </c>
      <c r="X25" s="2940"/>
      <c r="Y25" s="3227"/>
      <c r="Z25" s="2941" t="str">
        <f>Q25</f>
        <v>临街状况</v>
      </c>
      <c r="AA25" s="2939">
        <f t="shared" si="3"/>
        <v>1</v>
      </c>
      <c r="AB25" s="2939">
        <f t="shared" si="4"/>
        <v>1</v>
      </c>
      <c r="AC25" s="2939">
        <f t="shared" si="5"/>
        <v>1</v>
      </c>
    </row>
    <row r="26" spans="1:29" ht="15">
      <c r="A26" s="428"/>
      <c r="B26" s="1385" t="s">
        <v>2646</v>
      </c>
      <c r="C26" s="2961" t="s">
        <v>3075</v>
      </c>
      <c r="D26" s="435">
        <v>100</v>
      </c>
      <c r="E26" s="2961" t="s">
        <v>3075</v>
      </c>
      <c r="F26" s="461">
        <f>SUMIF(88:88,E26,89:89)-SUMIF(88:88,C26,89:89)+100</f>
        <v>100</v>
      </c>
      <c r="G26" s="2961" t="s">
        <v>3075</v>
      </c>
      <c r="H26" s="435">
        <f>SUMIF(88:88,G26,89:89)-SUMIF(88:88,C26,89:89)+100</f>
        <v>100</v>
      </c>
      <c r="I26" s="2961" t="s">
        <v>3075</v>
      </c>
      <c r="J26" s="435">
        <f>SUMIF(88:88,I26,89:89)-SUMIF(88:88,C26,89:89)+100</f>
        <v>100</v>
      </c>
      <c r="K26" s="613"/>
      <c r="L26" s="1139"/>
      <c r="M26" s="1130"/>
      <c r="N26" s="1130"/>
      <c r="O26" s="1130"/>
      <c r="P26" s="3225"/>
      <c r="Q26" s="2938" t="str">
        <f t="shared" si="11"/>
        <v>平面位置/可视性</v>
      </c>
      <c r="R26" s="773" t="s">
        <v>17</v>
      </c>
      <c r="S26" s="774">
        <f>F26</f>
        <v>100</v>
      </c>
      <c r="T26" s="773" t="s">
        <v>17</v>
      </c>
      <c r="U26" s="774">
        <f>H26</f>
        <v>100</v>
      </c>
      <c r="V26" s="773" t="s">
        <v>17</v>
      </c>
      <c r="W26" s="774">
        <f>J26</f>
        <v>100</v>
      </c>
      <c r="X26" s="2940"/>
      <c r="Y26" s="3227"/>
      <c r="Z26" s="2941" t="str">
        <f>Q26</f>
        <v>平面位置/可视性</v>
      </c>
      <c r="AA26" s="2939">
        <f t="shared" si="3"/>
        <v>1</v>
      </c>
      <c r="AB26" s="2939">
        <f t="shared" si="4"/>
        <v>1</v>
      </c>
      <c r="AC26" s="2939">
        <f t="shared" si="5"/>
        <v>1</v>
      </c>
    </row>
    <row r="27" spans="1:29" s="117" customFormat="1" ht="15">
      <c r="A27" s="431"/>
      <c r="B27" s="451" t="s">
        <v>2647</v>
      </c>
      <c r="C27" s="2660" t="s">
        <v>3071</v>
      </c>
      <c r="D27" s="462">
        <v>100</v>
      </c>
      <c r="E27" s="2660" t="s">
        <v>3072</v>
      </c>
      <c r="F27" s="464">
        <f>SUMIF(90:90,E27,91:91)-SUMIF(90:90,C27,91:91)+100</f>
        <v>102</v>
      </c>
      <c r="G27" s="2660" t="s">
        <v>3072</v>
      </c>
      <c r="H27" s="462">
        <f>SUMIF(90:90,G27,91:91)-SUMIF(90:90,C27,91:91)+100</f>
        <v>102</v>
      </c>
      <c r="I27" s="2660" t="s">
        <v>3072</v>
      </c>
      <c r="J27" s="462">
        <f>SUMIF(90:90,I27,91:91)-SUMIF(90:90,C27,91:91)+100</f>
        <v>102</v>
      </c>
      <c r="K27" s="612">
        <f>'比较法-商业'!K27</f>
        <v>2</v>
      </c>
      <c r="L27" s="1131"/>
      <c r="M27" s="1132"/>
      <c r="N27" s="1132"/>
      <c r="O27" s="1132"/>
      <c r="P27" s="3225"/>
      <c r="Q27" s="2934" t="str">
        <f t="shared" si="11"/>
        <v>人流量</v>
      </c>
      <c r="R27" s="769" t="s">
        <v>17</v>
      </c>
      <c r="S27" s="770">
        <f>F27</f>
        <v>102</v>
      </c>
      <c r="T27" s="769" t="s">
        <v>17</v>
      </c>
      <c r="U27" s="770">
        <f>H27</f>
        <v>102</v>
      </c>
      <c r="V27" s="769" t="s">
        <v>17</v>
      </c>
      <c r="W27" s="770">
        <f>J27</f>
        <v>102</v>
      </c>
      <c r="X27" s="771"/>
      <c r="Y27" s="3227"/>
      <c r="Z27" s="2935" t="str">
        <f>Q27</f>
        <v>人流量</v>
      </c>
      <c r="AA27" s="2939">
        <f>D27/F27</f>
        <v>0.98039215686274506</v>
      </c>
      <c r="AB27" s="2939">
        <f>D27/H27</f>
        <v>0.98039215686274506</v>
      </c>
      <c r="AC27" s="2939">
        <f>D27/J27</f>
        <v>0.98039215686274506</v>
      </c>
    </row>
    <row r="28" spans="1:29" ht="15.75" thickBot="1">
      <c r="A28" s="428"/>
      <c r="B28" s="2936" t="s">
        <v>2648</v>
      </c>
      <c r="C28" s="616" t="s">
        <v>3079</v>
      </c>
      <c r="D28" s="435">
        <v>100</v>
      </c>
      <c r="E28" s="616">
        <v>1</v>
      </c>
      <c r="F28" s="461">
        <f>SUMIF(92:92,E28,93:93)-SUMIF(92:92,C28,93:93)+100</f>
        <v>115</v>
      </c>
      <c r="G28" s="616">
        <v>1</v>
      </c>
      <c r="H28" s="435">
        <f>SUMIF(92:92,G28,93:93)-SUMIF(92:92,C28,93:93)+100</f>
        <v>115</v>
      </c>
      <c r="I28" s="616">
        <v>1</v>
      </c>
      <c r="J28" s="435">
        <f>SUMIF(92:92,I28,93:93)-SUMIF(92:92,C28,93:93)+100</f>
        <v>115</v>
      </c>
      <c r="K28" s="613"/>
      <c r="L28" s="1139"/>
      <c r="M28" s="1130"/>
      <c r="N28" s="1130"/>
      <c r="O28" s="1130"/>
      <c r="P28" s="3225"/>
      <c r="Q28" s="2938" t="str">
        <f t="shared" si="11"/>
        <v>楼层</v>
      </c>
      <c r="R28" s="773" t="s">
        <v>17</v>
      </c>
      <c r="S28" s="774">
        <f t="shared" ref="S28:S46" si="12">F28</f>
        <v>115</v>
      </c>
      <c r="T28" s="773" t="s">
        <v>17</v>
      </c>
      <c r="U28" s="774">
        <f t="shared" ref="U28:U46" si="13">H28</f>
        <v>115</v>
      </c>
      <c r="V28" s="773" t="s">
        <v>17</v>
      </c>
      <c r="W28" s="774">
        <f t="shared" ref="W28:W46" si="14">J28</f>
        <v>115</v>
      </c>
      <c r="X28" s="2940"/>
      <c r="Y28" s="3227"/>
      <c r="Z28" s="2941" t="str">
        <f t="shared" ref="Z28:Z46" si="15">Q28</f>
        <v>楼层</v>
      </c>
      <c r="AA28" s="2939">
        <f t="shared" si="3"/>
        <v>0.86956521739130432</v>
      </c>
      <c r="AB28" s="2939">
        <f t="shared" si="4"/>
        <v>0.86956521739130432</v>
      </c>
      <c r="AC28" s="2939">
        <f t="shared" si="5"/>
        <v>0.86956521739130432</v>
      </c>
    </row>
    <row r="29" spans="1:29" ht="15.75" hidden="1" thickBot="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5"/>
      <c r="Q29" s="2938">
        <f t="shared" si="11"/>
        <v>111</v>
      </c>
      <c r="R29" s="773" t="s">
        <v>17</v>
      </c>
      <c r="S29" s="774">
        <f t="shared" si="12"/>
        <v>100</v>
      </c>
      <c r="T29" s="773" t="s">
        <v>17</v>
      </c>
      <c r="U29" s="774">
        <f t="shared" si="13"/>
        <v>100</v>
      </c>
      <c r="V29" s="773" t="s">
        <v>17</v>
      </c>
      <c r="W29" s="774">
        <f t="shared" si="14"/>
        <v>100</v>
      </c>
      <c r="X29" s="2940"/>
      <c r="Y29" s="3227"/>
      <c r="Z29" s="2941">
        <f t="shared" si="15"/>
        <v>111</v>
      </c>
      <c r="AA29" s="2939">
        <f t="shared" si="3"/>
        <v>1</v>
      </c>
      <c r="AB29" s="2939">
        <f t="shared" si="4"/>
        <v>1</v>
      </c>
      <c r="AC29" s="2939">
        <f t="shared" si="5"/>
        <v>1</v>
      </c>
    </row>
    <row r="30" spans="1:29" ht="15.75" hidden="1" thickBot="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5"/>
      <c r="Q30" s="2938">
        <f t="shared" si="11"/>
        <v>111</v>
      </c>
      <c r="R30" s="773" t="s">
        <v>17</v>
      </c>
      <c r="S30" s="774">
        <f t="shared" si="12"/>
        <v>100</v>
      </c>
      <c r="T30" s="773" t="s">
        <v>17</v>
      </c>
      <c r="U30" s="774">
        <f t="shared" si="13"/>
        <v>100</v>
      </c>
      <c r="V30" s="773" t="s">
        <v>17</v>
      </c>
      <c r="W30" s="774">
        <f t="shared" si="14"/>
        <v>100</v>
      </c>
      <c r="X30" s="2940"/>
      <c r="Y30" s="3227"/>
      <c r="Z30" s="2941">
        <f t="shared" si="15"/>
        <v>111</v>
      </c>
      <c r="AA30" s="2939">
        <f t="shared" si="3"/>
        <v>1</v>
      </c>
      <c r="AB30" s="2939">
        <f t="shared" si="4"/>
        <v>1</v>
      </c>
      <c r="AC30" s="293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5"/>
      <c r="Q31" s="2938">
        <f t="shared" si="11"/>
        <v>111</v>
      </c>
      <c r="R31" s="773" t="s">
        <v>17</v>
      </c>
      <c r="S31" s="774">
        <f t="shared" si="12"/>
        <v>100</v>
      </c>
      <c r="T31" s="773" t="s">
        <v>17</v>
      </c>
      <c r="U31" s="774">
        <f t="shared" si="13"/>
        <v>100</v>
      </c>
      <c r="V31" s="773" t="s">
        <v>17</v>
      </c>
      <c r="W31" s="774">
        <f t="shared" si="14"/>
        <v>100</v>
      </c>
      <c r="X31" s="2940"/>
      <c r="Y31" s="3227"/>
      <c r="Z31" s="2941">
        <f t="shared" si="15"/>
        <v>111</v>
      </c>
      <c r="AA31" s="2939">
        <f t="shared" si="3"/>
        <v>1</v>
      </c>
      <c r="AB31" s="2939">
        <f t="shared" si="4"/>
        <v>1</v>
      </c>
      <c r="AC31" s="2939">
        <f t="shared" si="5"/>
        <v>1</v>
      </c>
    </row>
    <row r="32" spans="1:29" ht="15">
      <c r="A32" s="440" t="s">
        <v>2552</v>
      </c>
      <c r="B32" s="71" t="s">
        <v>2649</v>
      </c>
      <c r="C32" s="2612" t="s">
        <v>3080</v>
      </c>
      <c r="D32" s="467">
        <v>100</v>
      </c>
      <c r="E32" s="2612" t="s">
        <v>3080</v>
      </c>
      <c r="F32" s="461">
        <f>SUMIF(100:100,E32,101:101)-SUMIF(100:100,C32,101:101)+100</f>
        <v>100</v>
      </c>
      <c r="G32" s="2612" t="s">
        <v>3080</v>
      </c>
      <c r="H32" s="435">
        <f>SUMIF(100:100,G32,101:101)-SUMIF(100:100,C32,101:101)+100</f>
        <v>100</v>
      </c>
      <c r="I32" s="2612" t="s">
        <v>3080</v>
      </c>
      <c r="J32" s="467">
        <f>SUMIF(100:100,I32,101:101)-SUMIF(100:100,C32,101:101)+100</f>
        <v>100</v>
      </c>
      <c r="K32" s="612">
        <f>'比较法-商业'!K32</f>
        <v>2</v>
      </c>
      <c r="L32" s="1139"/>
      <c r="M32" s="1130"/>
      <c r="N32" s="1130"/>
      <c r="O32" s="1130"/>
      <c r="P32" s="3228" t="s">
        <v>2554</v>
      </c>
      <c r="Q32" s="2938" t="str">
        <f t="shared" si="11"/>
        <v>商业类型</v>
      </c>
      <c r="R32" s="773" t="s">
        <v>17</v>
      </c>
      <c r="S32" s="774">
        <f t="shared" si="12"/>
        <v>100</v>
      </c>
      <c r="T32" s="773" t="s">
        <v>17</v>
      </c>
      <c r="U32" s="774">
        <f t="shared" si="13"/>
        <v>100</v>
      </c>
      <c r="V32" s="773" t="s">
        <v>17</v>
      </c>
      <c r="W32" s="774">
        <f t="shared" si="14"/>
        <v>100</v>
      </c>
      <c r="X32" s="2940"/>
      <c r="Y32" s="3231" t="s">
        <v>2554</v>
      </c>
      <c r="Z32" s="2941" t="str">
        <f t="shared" si="15"/>
        <v>商业类型</v>
      </c>
      <c r="AA32" s="2939">
        <f t="shared" si="3"/>
        <v>1</v>
      </c>
      <c r="AB32" s="2939">
        <f t="shared" si="4"/>
        <v>1</v>
      </c>
      <c r="AC32" s="2939">
        <f t="shared" si="5"/>
        <v>1</v>
      </c>
    </row>
    <row r="33" spans="1:29" s="471" customFormat="1" ht="15">
      <c r="A33" s="468"/>
      <c r="B33" s="2936" t="s">
        <v>2555</v>
      </c>
      <c r="C33" s="469">
        <f>'数据-汇总表'!F19</f>
        <v>2255.8900000000003</v>
      </c>
      <c r="D33" s="136">
        <v>100</v>
      </c>
      <c r="E33" s="430">
        <v>87</v>
      </c>
      <c r="F33" s="425">
        <f>LOOKUP(E33,103:103,104:104)-LOOKUP(C33,103:103,104:104)+100</f>
        <v>104</v>
      </c>
      <c r="G33" s="429">
        <v>123</v>
      </c>
      <c r="H33" s="136">
        <f>LOOKUP(G33,103:103,104:104)-LOOKUP(C33,103:103,104:104)+100</f>
        <v>103</v>
      </c>
      <c r="I33" s="429">
        <v>153</v>
      </c>
      <c r="J33" s="136">
        <f>LOOKUP(I33,103:103,104:104)-LOOKUP(C33,103:103,104:104)+100</f>
        <v>102</v>
      </c>
      <c r="K33" s="613"/>
      <c r="L33" s="1137"/>
      <c r="M33" s="1140"/>
      <c r="N33" s="1140"/>
      <c r="O33" s="1140"/>
      <c r="P33" s="3229"/>
      <c r="Q33" s="775" t="str">
        <f t="shared" si="11"/>
        <v>项目建筑规模</v>
      </c>
      <c r="R33" s="776" t="s">
        <v>17</v>
      </c>
      <c r="S33" s="777">
        <f t="shared" si="12"/>
        <v>104</v>
      </c>
      <c r="T33" s="776" t="s">
        <v>17</v>
      </c>
      <c r="U33" s="777">
        <f t="shared" si="13"/>
        <v>103</v>
      </c>
      <c r="V33" s="776" t="s">
        <v>17</v>
      </c>
      <c r="W33" s="777">
        <f t="shared" si="14"/>
        <v>102</v>
      </c>
      <c r="X33" s="778"/>
      <c r="Y33" s="3231"/>
      <c r="Z33" s="779" t="str">
        <f t="shared" si="15"/>
        <v>项目建筑规模</v>
      </c>
      <c r="AA33" s="2939">
        <f t="shared" si="3"/>
        <v>0.96153846153846156</v>
      </c>
      <c r="AB33" s="2939">
        <f t="shared" si="4"/>
        <v>0.970873786407767</v>
      </c>
      <c r="AC33" s="2939">
        <f t="shared" si="5"/>
        <v>0.98039215686274506</v>
      </c>
    </row>
    <row r="34" spans="1:29" ht="15">
      <c r="A34" s="472"/>
      <c r="B34" s="2936" t="s">
        <v>2556</v>
      </c>
      <c r="C34" s="2614" t="s">
        <v>3082</v>
      </c>
      <c r="D34" s="435">
        <v>100</v>
      </c>
      <c r="E34" s="2614" t="s">
        <v>3082</v>
      </c>
      <c r="F34" s="461">
        <f>SUMIF(105:105,E34,106:106)-SUMIF(105:105,C34,106:106)+100</f>
        <v>100</v>
      </c>
      <c r="G34" s="2614" t="s">
        <v>3082</v>
      </c>
      <c r="H34" s="435">
        <f>SUMIF(105:105,G34,106:106)-SUMIF(105:105,C34,106:106)+100</f>
        <v>100</v>
      </c>
      <c r="I34" s="2614" t="s">
        <v>3082</v>
      </c>
      <c r="J34" s="435">
        <f>SUMIF(105:105,I34,106:106)-SUMIF(105:105,C34,106:106)+100</f>
        <v>100</v>
      </c>
      <c r="K34" s="612">
        <f>'比较法-商业'!K34</f>
        <v>2</v>
      </c>
      <c r="L34" s="1139"/>
      <c r="M34" s="1130"/>
      <c r="N34" s="1130"/>
      <c r="O34" s="1130"/>
      <c r="P34" s="3229"/>
      <c r="Q34" s="2938" t="str">
        <f t="shared" si="11"/>
        <v>建筑结构</v>
      </c>
      <c r="R34" s="773" t="s">
        <v>17</v>
      </c>
      <c r="S34" s="774">
        <f t="shared" si="12"/>
        <v>100</v>
      </c>
      <c r="T34" s="773" t="s">
        <v>17</v>
      </c>
      <c r="U34" s="774">
        <f t="shared" si="13"/>
        <v>100</v>
      </c>
      <c r="V34" s="773" t="s">
        <v>17</v>
      </c>
      <c r="W34" s="774">
        <f t="shared" si="14"/>
        <v>100</v>
      </c>
      <c r="X34" s="2940"/>
      <c r="Y34" s="3231"/>
      <c r="Z34" s="2941" t="str">
        <f t="shared" si="15"/>
        <v>建筑结构</v>
      </c>
      <c r="AA34" s="2939">
        <f t="shared" si="3"/>
        <v>1</v>
      </c>
      <c r="AB34" s="2939">
        <f t="shared" si="4"/>
        <v>1</v>
      </c>
      <c r="AC34" s="2939">
        <f t="shared" si="5"/>
        <v>1</v>
      </c>
    </row>
    <row r="35" spans="1:29" ht="15">
      <c r="A35" s="472"/>
      <c r="B35" s="2936" t="s">
        <v>2650</v>
      </c>
      <c r="C35" s="2608" t="s">
        <v>3087</v>
      </c>
      <c r="D35" s="435">
        <v>100</v>
      </c>
      <c r="E35" s="2608" t="s">
        <v>3087</v>
      </c>
      <c r="F35" s="461">
        <f>SUMIF(107:107,E35,108:108)-SUMIF(107:107,C35,108:108)+100</f>
        <v>100</v>
      </c>
      <c r="G35" s="2608" t="s">
        <v>3087</v>
      </c>
      <c r="H35" s="435">
        <f>SUMIF(107:107,G35,108:108)-SUMIF(107:107,C35,108:108)+100</f>
        <v>100</v>
      </c>
      <c r="I35" s="2608" t="s">
        <v>3087</v>
      </c>
      <c r="J35" s="435">
        <f>SUMIF(107:107,I35,108:108)-SUMIF(107:107,C35,108:108)+100</f>
        <v>100</v>
      </c>
      <c r="K35" s="612">
        <f>'比较法-商业'!K35</f>
        <v>2</v>
      </c>
      <c r="L35" s="1139"/>
      <c r="M35" s="1130"/>
      <c r="N35" s="1130"/>
      <c r="O35" s="1130"/>
      <c r="P35" s="3229"/>
      <c r="Q35" s="2938" t="str">
        <f t="shared" si="11"/>
        <v>公共部分装修</v>
      </c>
      <c r="R35" s="773" t="s">
        <v>17</v>
      </c>
      <c r="S35" s="774">
        <f t="shared" si="12"/>
        <v>100</v>
      </c>
      <c r="T35" s="773" t="s">
        <v>17</v>
      </c>
      <c r="U35" s="774">
        <f t="shared" si="13"/>
        <v>100</v>
      </c>
      <c r="V35" s="773" t="s">
        <v>17</v>
      </c>
      <c r="W35" s="774">
        <f t="shared" si="14"/>
        <v>100</v>
      </c>
      <c r="X35" s="2940"/>
      <c r="Y35" s="3231"/>
      <c r="Z35" s="2941" t="str">
        <f t="shared" si="15"/>
        <v>公共部分装修</v>
      </c>
      <c r="AA35" s="2939">
        <f t="shared" si="3"/>
        <v>1</v>
      </c>
      <c r="AB35" s="2939">
        <f t="shared" si="4"/>
        <v>1</v>
      </c>
      <c r="AC35" s="2939">
        <f t="shared" si="5"/>
        <v>1</v>
      </c>
    </row>
    <row r="36" spans="1:29" ht="15">
      <c r="A36" s="472"/>
      <c r="B36" s="2936" t="s">
        <v>2651</v>
      </c>
      <c r="C36" s="474">
        <f>'数据-取费表'!N6</f>
        <v>0.87</v>
      </c>
      <c r="D36" s="435">
        <v>100</v>
      </c>
      <c r="E36" s="474">
        <f>ROUND(1-(1-0%)*(2018-2006)/60,2)</f>
        <v>0.8</v>
      </c>
      <c r="F36" s="461">
        <f>LOOKUP(E36,110:110,111:111)-LOOKUP(C36,110:110,111:111)+100</f>
        <v>100</v>
      </c>
      <c r="G36" s="474">
        <f>ROUND(1-(1-0%)*(2018-2008)/60,2)</f>
        <v>0.83</v>
      </c>
      <c r="H36" s="461">
        <f>LOOKUP(G36,110:110,111:111)-LOOKUP(C36,110:110,111:111)+100</f>
        <v>100</v>
      </c>
      <c r="I36" s="474">
        <f>ROUND(1-(1-0%)*(2018-2003)/60,2)</f>
        <v>0.75</v>
      </c>
      <c r="J36" s="435">
        <f>LOOKUP(I36,110:110,111:111)-LOOKUP(C36,110:110,111:111)+100</f>
        <v>98</v>
      </c>
      <c r="K36" s="612">
        <f>'比较法-商业'!K36</f>
        <v>2</v>
      </c>
      <c r="L36" s="1139"/>
      <c r="M36" s="1130"/>
      <c r="N36" s="1130"/>
      <c r="O36" s="1130"/>
      <c r="P36" s="3229"/>
      <c r="Q36" s="2938" t="str">
        <f t="shared" si="11"/>
        <v>成新度</v>
      </c>
      <c r="R36" s="773" t="s">
        <v>17</v>
      </c>
      <c r="S36" s="774">
        <f t="shared" si="12"/>
        <v>100</v>
      </c>
      <c r="T36" s="773" t="s">
        <v>17</v>
      </c>
      <c r="U36" s="774">
        <f t="shared" si="13"/>
        <v>100</v>
      </c>
      <c r="V36" s="773" t="s">
        <v>17</v>
      </c>
      <c r="W36" s="774">
        <f t="shared" si="14"/>
        <v>98</v>
      </c>
      <c r="X36" s="2940"/>
      <c r="Y36" s="3231"/>
      <c r="Z36" s="2941" t="str">
        <f t="shared" si="15"/>
        <v>成新度</v>
      </c>
      <c r="AA36" s="2939">
        <f t="shared" si="3"/>
        <v>1</v>
      </c>
      <c r="AB36" s="2939">
        <f t="shared" si="4"/>
        <v>1</v>
      </c>
      <c r="AC36" s="2939">
        <f t="shared" si="5"/>
        <v>1.0204081632653061</v>
      </c>
    </row>
    <row r="37" spans="1:29" s="117" customFormat="1" ht="15">
      <c r="A37" s="473"/>
      <c r="B37" s="2936" t="s">
        <v>2652</v>
      </c>
      <c r="C37" s="2608" t="s">
        <v>3094</v>
      </c>
      <c r="D37" s="136">
        <v>100</v>
      </c>
      <c r="E37" s="2608" t="s">
        <v>3094</v>
      </c>
      <c r="F37" s="461">
        <f>SUMIF(112:112,E37,113:113)-SUMIF(112:112,C37,113:113)+100</f>
        <v>100</v>
      </c>
      <c r="G37" s="2608" t="s">
        <v>3094</v>
      </c>
      <c r="H37" s="435">
        <f>SUMIF(112:112,G37,113:113)-SUMIF(112:112,C37,113:113)+100</f>
        <v>100</v>
      </c>
      <c r="I37" s="2608" t="s">
        <v>3094</v>
      </c>
      <c r="J37" s="435">
        <f>SUMIF(112:112,I37,113:113)-SUMIF(112:112,C37,113:113)+100</f>
        <v>100</v>
      </c>
      <c r="K37" s="612">
        <f>'比较法-商业'!K37</f>
        <v>1</v>
      </c>
      <c r="L37" s="1131"/>
      <c r="M37" s="1132"/>
      <c r="N37" s="1132"/>
      <c r="O37" s="1132"/>
      <c r="P37" s="3229"/>
      <c r="Q37" s="2934" t="str">
        <f t="shared" si="11"/>
        <v>市政基础设施</v>
      </c>
      <c r="R37" s="769" t="s">
        <v>17</v>
      </c>
      <c r="S37" s="770">
        <f t="shared" si="12"/>
        <v>100</v>
      </c>
      <c r="T37" s="769" t="s">
        <v>17</v>
      </c>
      <c r="U37" s="770">
        <f t="shared" si="13"/>
        <v>100</v>
      </c>
      <c r="V37" s="769" t="s">
        <v>17</v>
      </c>
      <c r="W37" s="770">
        <f t="shared" si="14"/>
        <v>100</v>
      </c>
      <c r="X37" s="771"/>
      <c r="Y37" s="3231"/>
      <c r="Z37" s="2935" t="str">
        <f t="shared" si="15"/>
        <v>市政基础设施</v>
      </c>
      <c r="AA37" s="772">
        <f t="shared" si="3"/>
        <v>1</v>
      </c>
      <c r="AB37" s="772">
        <f t="shared" si="4"/>
        <v>1</v>
      </c>
      <c r="AC37" s="772">
        <f t="shared" si="5"/>
        <v>1</v>
      </c>
    </row>
    <row r="38" spans="1:29" ht="15">
      <c r="A38" s="472"/>
      <c r="B38" s="2936" t="s">
        <v>2653</v>
      </c>
      <c r="C38" s="2608" t="s">
        <v>3100</v>
      </c>
      <c r="D38" s="435">
        <v>100</v>
      </c>
      <c r="E38" s="2608" t="s">
        <v>3100</v>
      </c>
      <c r="F38" s="461">
        <f>SUMIF(114:114,E38,115:115)-SUMIF(114:114,C38,115:115)+100</f>
        <v>100</v>
      </c>
      <c r="G38" s="2608" t="s">
        <v>3100</v>
      </c>
      <c r="H38" s="435">
        <f>SUMIF(114:114,G38,115:115)-SUMIF(114:114,C38,115:115)+100</f>
        <v>100</v>
      </c>
      <c r="I38" s="2608" t="s">
        <v>3100</v>
      </c>
      <c r="J38" s="435">
        <f>SUMIF(114:114,I38,115:115)-SUMIF(114:114,C38,115:115)+100</f>
        <v>100</v>
      </c>
      <c r="K38" s="612">
        <f>'比较法-商业'!K38</f>
        <v>2</v>
      </c>
      <c r="L38" s="1139"/>
      <c r="M38" s="1130"/>
      <c r="N38" s="1130"/>
      <c r="O38" s="1130"/>
      <c r="P38" s="3229" t="s">
        <v>2554</v>
      </c>
      <c r="Q38" s="2938" t="str">
        <f t="shared" si="11"/>
        <v>业态</v>
      </c>
      <c r="R38" s="773" t="s">
        <v>17</v>
      </c>
      <c r="S38" s="774">
        <f t="shared" si="12"/>
        <v>100</v>
      </c>
      <c r="T38" s="773" t="s">
        <v>17</v>
      </c>
      <c r="U38" s="774">
        <f t="shared" si="13"/>
        <v>100</v>
      </c>
      <c r="V38" s="773" t="s">
        <v>17</v>
      </c>
      <c r="W38" s="774">
        <f t="shared" si="14"/>
        <v>100</v>
      </c>
      <c r="X38" s="2940"/>
      <c r="Y38" s="3231" t="s">
        <v>2554</v>
      </c>
      <c r="Z38" s="2941" t="str">
        <f t="shared" si="15"/>
        <v>业态</v>
      </c>
      <c r="AA38" s="2939">
        <f t="shared" si="3"/>
        <v>1</v>
      </c>
      <c r="AB38" s="2939">
        <f t="shared" si="4"/>
        <v>1</v>
      </c>
      <c r="AC38" s="2939">
        <f t="shared" si="5"/>
        <v>1</v>
      </c>
    </row>
    <row r="39" spans="1:29" ht="15">
      <c r="A39" s="472"/>
      <c r="B39" s="2936" t="s">
        <v>2654</v>
      </c>
      <c r="C39" s="2608" t="s">
        <v>3102</v>
      </c>
      <c r="D39" s="435">
        <v>100</v>
      </c>
      <c r="E39" s="2608" t="s">
        <v>3102</v>
      </c>
      <c r="F39" s="461">
        <f>SUMIF(116:116,E39,117:117)-SUMIF(116:116,C39,117:117)+100</f>
        <v>100</v>
      </c>
      <c r="G39" s="2608" t="s">
        <v>3102</v>
      </c>
      <c r="H39" s="435">
        <f>SUMIF(116:116,G39,117:117)-SUMIF(116:116,C39,117:117)+100</f>
        <v>100</v>
      </c>
      <c r="I39" s="2608" t="s">
        <v>3102</v>
      </c>
      <c r="J39" s="435">
        <f>SUMIF(116:116,I39,117:117)-SUMIF(116:116,C39,117:117)+100</f>
        <v>100</v>
      </c>
      <c r="K39" s="612">
        <f>'比较法-商业'!K39</f>
        <v>5</v>
      </c>
      <c r="L39" s="1139"/>
      <c r="M39" s="1130"/>
      <c r="N39" s="1130"/>
      <c r="O39" s="1130"/>
      <c r="P39" s="3229"/>
      <c r="Q39" s="2938" t="str">
        <f t="shared" si="11"/>
        <v>层高</v>
      </c>
      <c r="R39" s="773" t="s">
        <v>17</v>
      </c>
      <c r="S39" s="774">
        <f t="shared" si="12"/>
        <v>100</v>
      </c>
      <c r="T39" s="773" t="s">
        <v>17</v>
      </c>
      <c r="U39" s="774">
        <f t="shared" si="13"/>
        <v>100</v>
      </c>
      <c r="V39" s="773" t="s">
        <v>17</v>
      </c>
      <c r="W39" s="774">
        <f t="shared" si="14"/>
        <v>100</v>
      </c>
      <c r="X39" s="2940"/>
      <c r="Y39" s="3231"/>
      <c r="Z39" s="2941" t="str">
        <f t="shared" si="15"/>
        <v>层高</v>
      </c>
      <c r="AA39" s="2939">
        <f t="shared" si="3"/>
        <v>1</v>
      </c>
      <c r="AB39" s="2939">
        <f t="shared" si="4"/>
        <v>1</v>
      </c>
      <c r="AC39" s="2939">
        <f t="shared" si="5"/>
        <v>1</v>
      </c>
    </row>
    <row r="40" spans="1:29" ht="15">
      <c r="A40" s="472"/>
      <c r="B40" s="2936"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29"/>
      <c r="Q40" s="2938" t="str">
        <f t="shared" si="11"/>
        <v>单套建筑面积</v>
      </c>
      <c r="R40" s="773" t="s">
        <v>17</v>
      </c>
      <c r="S40" s="774">
        <f t="shared" si="12"/>
        <v>100</v>
      </c>
      <c r="T40" s="773" t="s">
        <v>17</v>
      </c>
      <c r="U40" s="774">
        <f t="shared" si="13"/>
        <v>100</v>
      </c>
      <c r="V40" s="773" t="s">
        <v>17</v>
      </c>
      <c r="W40" s="774">
        <f t="shared" si="14"/>
        <v>100</v>
      </c>
      <c r="X40" s="2940"/>
      <c r="Y40" s="3231"/>
      <c r="Z40" s="2941" t="str">
        <f t="shared" si="15"/>
        <v>单套建筑面积</v>
      </c>
      <c r="AA40" s="2939">
        <f t="shared" si="3"/>
        <v>1</v>
      </c>
      <c r="AB40" s="2939">
        <f t="shared" si="4"/>
        <v>1</v>
      </c>
      <c r="AC40" s="2939">
        <f t="shared" si="5"/>
        <v>1</v>
      </c>
    </row>
    <row r="41" spans="1:29" s="471" customFormat="1" ht="15">
      <c r="A41" s="468"/>
      <c r="B41" s="2937" t="s">
        <v>2656</v>
      </c>
      <c r="C41" s="616" t="s">
        <v>3072</v>
      </c>
      <c r="D41" s="435">
        <v>100</v>
      </c>
      <c r="E41" s="616" t="s">
        <v>3072</v>
      </c>
      <c r="F41" s="461">
        <f>SUMIF(120:120,E41,121:121)-SUMIF(120:120,C41,121:121)+100</f>
        <v>100</v>
      </c>
      <c r="G41" s="616" t="s">
        <v>3072</v>
      </c>
      <c r="H41" s="435">
        <f>SUMIF(120:120,G41,121:121)-SUMIF(120:120,C41,121:121)+100</f>
        <v>100</v>
      </c>
      <c r="I41" s="616" t="s">
        <v>3072</v>
      </c>
      <c r="J41" s="435">
        <f>SUMIF(120:120,I41,121:121)-SUMIF(120:120,C41,121:121)+100</f>
        <v>100</v>
      </c>
      <c r="K41" s="612">
        <f>'比较法-商业'!K41</f>
        <v>2</v>
      </c>
      <c r="L41" s="1137"/>
      <c r="M41" s="1140"/>
      <c r="N41" s="1140"/>
      <c r="O41" s="1140"/>
      <c r="P41" s="3229"/>
      <c r="Q41" s="775" t="str">
        <f t="shared" si="11"/>
        <v>进深比</v>
      </c>
      <c r="R41" s="776" t="s">
        <v>17</v>
      </c>
      <c r="S41" s="777">
        <f t="shared" si="12"/>
        <v>100</v>
      </c>
      <c r="T41" s="776" t="s">
        <v>17</v>
      </c>
      <c r="U41" s="777">
        <f t="shared" si="13"/>
        <v>100</v>
      </c>
      <c r="V41" s="776" t="s">
        <v>17</v>
      </c>
      <c r="W41" s="777">
        <f t="shared" si="14"/>
        <v>100</v>
      </c>
      <c r="X41" s="778"/>
      <c r="Y41" s="3231"/>
      <c r="Z41" s="779" t="str">
        <f t="shared" si="15"/>
        <v>进深比</v>
      </c>
      <c r="AA41" s="2939">
        <f t="shared" si="3"/>
        <v>1</v>
      </c>
      <c r="AB41" s="2939">
        <f t="shared" si="4"/>
        <v>1</v>
      </c>
      <c r="AC41" s="2939">
        <f t="shared" si="5"/>
        <v>1</v>
      </c>
    </row>
    <row r="42" spans="1:29" ht="15">
      <c r="A42" s="472"/>
      <c r="B42" s="2936" t="s">
        <v>2657</v>
      </c>
      <c r="C42" s="2608" t="s">
        <v>3091</v>
      </c>
      <c r="D42" s="435">
        <v>100</v>
      </c>
      <c r="E42" s="2608" t="s">
        <v>3085</v>
      </c>
      <c r="F42" s="461">
        <f>SUMIF(122:122,E42,123:123)-SUMIF(122:122,C42,123:123)+100</f>
        <v>104.5</v>
      </c>
      <c r="G42" s="2608" t="s">
        <v>3089</v>
      </c>
      <c r="H42" s="435">
        <f>SUMIF(122:122,G42,123:123)-SUMIF(122:122,C42,123:123)+100</f>
        <v>101.5</v>
      </c>
      <c r="I42" s="2608" t="s">
        <v>3087</v>
      </c>
      <c r="J42" s="435">
        <f>SUMIF(122:122,I42,123:123)-SUMIF(122:122,C42,123:123)+100</f>
        <v>103</v>
      </c>
      <c r="K42" s="612">
        <f>'比较法-商业'!K42</f>
        <v>1.5</v>
      </c>
      <c r="L42" s="1139"/>
      <c r="M42" s="1130"/>
      <c r="N42" s="1130"/>
      <c r="O42" s="1130"/>
      <c r="P42" s="3229"/>
      <c r="Q42" s="2938" t="str">
        <f t="shared" si="11"/>
        <v>内部装修</v>
      </c>
      <c r="R42" s="773" t="s">
        <v>17</v>
      </c>
      <c r="S42" s="774">
        <f t="shared" si="12"/>
        <v>104.5</v>
      </c>
      <c r="T42" s="773" t="s">
        <v>17</v>
      </c>
      <c r="U42" s="774">
        <f t="shared" si="13"/>
        <v>101.5</v>
      </c>
      <c r="V42" s="773" t="s">
        <v>17</v>
      </c>
      <c r="W42" s="774">
        <f t="shared" si="14"/>
        <v>103</v>
      </c>
      <c r="X42" s="2940"/>
      <c r="Y42" s="3231"/>
      <c r="Z42" s="2941" t="str">
        <f t="shared" si="15"/>
        <v>内部装修</v>
      </c>
      <c r="AA42" s="2939">
        <f t="shared" si="3"/>
        <v>0.9569377990430622</v>
      </c>
      <c r="AB42" s="2939">
        <f t="shared" si="4"/>
        <v>0.98522167487684731</v>
      </c>
      <c r="AC42" s="2939">
        <f t="shared" si="5"/>
        <v>0.970873786407767</v>
      </c>
    </row>
    <row r="43" spans="1:29" ht="15.75" thickBot="1">
      <c r="A43" s="472"/>
      <c r="B43" s="2936" t="s">
        <v>2565</v>
      </c>
      <c r="C43" s="2608" t="s">
        <v>3072</v>
      </c>
      <c r="D43" s="435">
        <v>100</v>
      </c>
      <c r="E43" s="2608" t="s">
        <v>3072</v>
      </c>
      <c r="F43" s="461">
        <f>SUMIF(124:124,E43,125:125)-SUMIF(124:124,C43,125:125)+100</f>
        <v>100</v>
      </c>
      <c r="G43" s="2608" t="s">
        <v>3072</v>
      </c>
      <c r="H43" s="435">
        <f>SUMIF(124:124,G43,125:125)-SUMIF(124:124,C43,125:125)+100</f>
        <v>100</v>
      </c>
      <c r="I43" s="2608" t="s">
        <v>3072</v>
      </c>
      <c r="J43" s="435">
        <f>SUMIF(124:124,I43,125:125)-SUMIF(124:124,C43,125:125)+100</f>
        <v>100</v>
      </c>
      <c r="K43" s="612">
        <f>'比较法-商业'!K43</f>
        <v>2</v>
      </c>
      <c r="L43" s="1139"/>
      <c r="M43" s="1130"/>
      <c r="N43" s="1130"/>
      <c r="O43" s="1130"/>
      <c r="P43" s="3229"/>
      <c r="Q43" s="2938" t="str">
        <f t="shared" si="11"/>
        <v>内部装修维护情况</v>
      </c>
      <c r="R43" s="773" t="s">
        <v>17</v>
      </c>
      <c r="S43" s="774">
        <f t="shared" si="12"/>
        <v>100</v>
      </c>
      <c r="T43" s="773" t="s">
        <v>17</v>
      </c>
      <c r="U43" s="774">
        <f t="shared" si="13"/>
        <v>100</v>
      </c>
      <c r="V43" s="773" t="s">
        <v>17</v>
      </c>
      <c r="W43" s="774">
        <f t="shared" si="14"/>
        <v>100</v>
      </c>
      <c r="X43" s="2940"/>
      <c r="Y43" s="3231"/>
      <c r="Z43" s="2941" t="str">
        <f t="shared" si="15"/>
        <v>内部装修维护情况</v>
      </c>
      <c r="AA43" s="2939">
        <f t="shared" si="3"/>
        <v>1</v>
      </c>
      <c r="AB43" s="2939">
        <f t="shared" si="4"/>
        <v>1</v>
      </c>
      <c r="AC43" s="2939">
        <f t="shared" si="5"/>
        <v>1</v>
      </c>
    </row>
    <row r="44" spans="1:29" s="117" customFormat="1" ht="15.75" hidden="1" thickBot="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9"/>
      <c r="Q44" s="2934">
        <f t="shared" si="11"/>
        <v>111</v>
      </c>
      <c r="R44" s="769" t="s">
        <v>17</v>
      </c>
      <c r="S44" s="770">
        <f t="shared" si="12"/>
        <v>100</v>
      </c>
      <c r="T44" s="769" t="s">
        <v>17</v>
      </c>
      <c r="U44" s="770">
        <f t="shared" si="13"/>
        <v>100</v>
      </c>
      <c r="V44" s="769" t="s">
        <v>17</v>
      </c>
      <c r="W44" s="770">
        <f t="shared" si="14"/>
        <v>100</v>
      </c>
      <c r="X44" s="771"/>
      <c r="Y44" s="3231"/>
      <c r="Z44" s="2935">
        <f t="shared" si="15"/>
        <v>111</v>
      </c>
      <c r="AA44" s="772">
        <f t="shared" si="3"/>
        <v>1</v>
      </c>
      <c r="AB44" s="772">
        <f t="shared" si="4"/>
        <v>1</v>
      </c>
      <c r="AC44" s="772">
        <f t="shared" si="5"/>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9"/>
      <c r="Q45" s="2938">
        <f t="shared" si="11"/>
        <v>111</v>
      </c>
      <c r="R45" s="773" t="s">
        <v>17</v>
      </c>
      <c r="S45" s="774">
        <f t="shared" si="12"/>
        <v>100</v>
      </c>
      <c r="T45" s="773" t="s">
        <v>17</v>
      </c>
      <c r="U45" s="774">
        <f t="shared" si="13"/>
        <v>100</v>
      </c>
      <c r="V45" s="773" t="s">
        <v>17</v>
      </c>
      <c r="W45" s="774">
        <f t="shared" si="14"/>
        <v>100</v>
      </c>
      <c r="X45" s="2940"/>
      <c r="Y45" s="3231"/>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0"/>
      <c r="Q46" s="2938">
        <f t="shared" si="11"/>
        <v>111</v>
      </c>
      <c r="R46" s="773" t="s">
        <v>17</v>
      </c>
      <c r="S46" s="774">
        <f t="shared" si="12"/>
        <v>100</v>
      </c>
      <c r="T46" s="773" t="s">
        <v>17</v>
      </c>
      <c r="U46" s="774">
        <f t="shared" si="13"/>
        <v>100</v>
      </c>
      <c r="V46" s="773" t="s">
        <v>17</v>
      </c>
      <c r="W46" s="774">
        <f t="shared" si="14"/>
        <v>100</v>
      </c>
      <c r="X46" s="2940"/>
      <c r="Y46" s="3232"/>
      <c r="Z46" s="2941">
        <f t="shared" si="15"/>
        <v>111</v>
      </c>
      <c r="AA46" s="2939">
        <f t="shared" si="3"/>
        <v>1</v>
      </c>
      <c r="AB46" s="2939">
        <f t="shared" si="4"/>
        <v>1</v>
      </c>
      <c r="AC46" s="2939">
        <f t="shared" si="5"/>
        <v>1</v>
      </c>
    </row>
    <row r="47" spans="1:29" ht="15">
      <c r="A47" s="479" t="s">
        <v>2566</v>
      </c>
      <c r="B47" s="480"/>
      <c r="C47" s="1406" t="s">
        <v>1</v>
      </c>
      <c r="D47" s="1407"/>
      <c r="E47" s="1408">
        <f>E62</f>
        <v>8</v>
      </c>
      <c r="F47" s="1409"/>
      <c r="G47" s="1410">
        <f>F62</f>
        <v>6.68</v>
      </c>
      <c r="H47" s="1411"/>
      <c r="I47" s="1408">
        <f>G62</f>
        <v>7.16</v>
      </c>
      <c r="J47" s="1411"/>
      <c r="K47" s="782"/>
      <c r="L47" s="1142"/>
      <c r="M47" s="1143"/>
      <c r="N47" s="1130"/>
      <c r="O47" s="1143"/>
      <c r="P47" s="3233" t="str">
        <f>A47</f>
        <v>成交单价（元/平方米）</v>
      </c>
      <c r="Q47" s="3233"/>
      <c r="R47" s="3195">
        <f>E47</f>
        <v>8</v>
      </c>
      <c r="S47" s="3195"/>
      <c r="T47" s="3195">
        <f>G47</f>
        <v>6.68</v>
      </c>
      <c r="U47" s="3195"/>
      <c r="V47" s="3195">
        <f>I47</f>
        <v>7.16</v>
      </c>
      <c r="W47" s="3195"/>
      <c r="X47" s="758"/>
      <c r="Y47" s="780"/>
      <c r="Z47" s="758"/>
      <c r="AA47" s="758"/>
      <c r="AB47" s="758"/>
      <c r="AC47" s="758"/>
    </row>
    <row r="48" spans="1:29" ht="15.75" thickBot="1">
      <c r="A48" s="486" t="s">
        <v>2567</v>
      </c>
      <c r="B48" s="487"/>
      <c r="C48" s="1412">
        <f>R49</f>
        <v>5.8</v>
      </c>
      <c r="D48" s="1413"/>
      <c r="E48" s="1414">
        <f>R48</f>
        <v>6.3</v>
      </c>
      <c r="F48" s="1414"/>
      <c r="G48" s="1412">
        <f>T48</f>
        <v>5.3</v>
      </c>
      <c r="H48" s="1413"/>
      <c r="I48" s="1414">
        <f>V48</f>
        <v>5.9</v>
      </c>
      <c r="J48" s="1413"/>
      <c r="K48" s="783"/>
      <c r="L48" s="1142"/>
      <c r="M48" s="1143"/>
      <c r="N48" s="1130"/>
      <c r="O48" s="1143"/>
      <c r="P48" s="3233" t="str">
        <f>A48</f>
        <v>比较价值（元/平方米）</v>
      </c>
      <c r="Q48" s="3233"/>
      <c r="R48" s="3234">
        <f>IF(F1="售价",ROUND(PRODUCT(R47,AA7:AA46),0),ROUND(PRODUCT(R47,AA7:AA46),1))</f>
        <v>6.3</v>
      </c>
      <c r="S48" s="3234"/>
      <c r="T48" s="3234">
        <f>IF(F1="售价",ROUND(PRODUCT(T47,AB7:AB46),0),ROUND(PRODUCT(T47,AB7:AB46),1))</f>
        <v>5.3</v>
      </c>
      <c r="U48" s="3234"/>
      <c r="V48" s="3234">
        <f>IF(F1="售价",ROUND(PRODUCT(V47,AC7:AC46),0),ROUND(PRODUCT(V47,AC7:AC46),1))</f>
        <v>5.9</v>
      </c>
      <c r="W48" s="3234"/>
      <c r="X48" s="758"/>
      <c r="Y48" s="758"/>
      <c r="Z48" s="758"/>
      <c r="AA48" s="758"/>
      <c r="AB48" s="758"/>
      <c r="AC48" s="758"/>
    </row>
    <row r="49" spans="1:29" ht="15.75" thickBot="1">
      <c r="A49" s="492" t="s">
        <v>2568</v>
      </c>
      <c r="B49" s="493"/>
      <c r="C49" s="1416">
        <f>R49</f>
        <v>5.8</v>
      </c>
      <c r="D49" s="1416"/>
      <c r="E49" s="1416"/>
      <c r="F49" s="1416"/>
      <c r="G49" s="1416"/>
      <c r="H49" s="1416"/>
      <c r="I49" s="1416"/>
      <c r="J49" s="1416"/>
      <c r="K49" s="784"/>
      <c r="L49" s="1142"/>
      <c r="M49" s="1143"/>
      <c r="N49" s="1130"/>
      <c r="O49" s="1143"/>
      <c r="P49" s="3235" t="str">
        <f>A49</f>
        <v>估价对象XX用房的比较价值（楼面单价，元/平方米）</v>
      </c>
      <c r="Q49" s="3236"/>
      <c r="R49" s="3237">
        <f>IF(F1="售价",ROUND(AVERAGE(R48:V48),0),ROUND(AVERAGE(R48:V48),1))</f>
        <v>5.8</v>
      </c>
      <c r="S49" s="3237"/>
      <c r="T49" s="3237"/>
      <c r="U49" s="3237"/>
      <c r="V49" s="3237"/>
      <c r="W49" s="3237"/>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5"/>
      <c r="L51" s="1106"/>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2569</v>
      </c>
      <c r="D52" s="498"/>
      <c r="E52" s="499">
        <f>IF(E47&lt;E48,E48/E47-1,E47/E48-1)</f>
        <v>0.26984126984126977</v>
      </c>
      <c r="F52" s="500" t="str">
        <f>IF(OR(E52&gt;=0.3,E52&lt;=-0.3),"超过30%","")</f>
        <v/>
      </c>
      <c r="G52" s="499">
        <f>IF(G47&lt;G48,G48/G47-1,G47/G48-1)</f>
        <v>0.26037735849056598</v>
      </c>
      <c r="H52" s="500" t="str">
        <f>IF(OR(G52&gt;=0.3,G52&lt;=-0.3),"超过30%","")</f>
        <v/>
      </c>
      <c r="I52" s="499">
        <f>IF(I47&lt;I48,I48/I47-1,I47/I48-1)</f>
        <v>0.21355932203389827</v>
      </c>
      <c r="J52" s="500" t="str">
        <f>IF(OR(I52&gt;=0.3,I52&lt;=-0.3),"超过30%","")</f>
        <v/>
      </c>
      <c r="K52" s="1105"/>
      <c r="L52" s="1106"/>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2570</v>
      </c>
      <c r="D53" s="501"/>
      <c r="E53" s="499">
        <f>IF(E48&lt;G48,G48/E48-1,E48/G48-1)</f>
        <v>0.18867924528301883</v>
      </c>
      <c r="F53" s="500" t="str">
        <f>IF(OR(E53&gt;=0.2,E53&lt;=-0.2),"超过20%","")</f>
        <v/>
      </c>
      <c r="G53" s="499">
        <f>IF(G48&lt;I48,I48/G48-1,G48/I48-1)</f>
        <v>0.11320754716981152</v>
      </c>
      <c r="H53" s="500" t="str">
        <f>IF(OR(G53&gt;=0.2,G53&lt;=-0.2),"超过20%","")</f>
        <v/>
      </c>
      <c r="I53" s="499">
        <f>IF(I48&lt;E48,E48/I48-1,I48/E48-1)</f>
        <v>6.7796610169491345E-2</v>
      </c>
      <c r="J53" s="500" t="str">
        <f>IF(OR(I53&gt;=0.2,I53&lt;=-0.2),"超过20%","")</f>
        <v/>
      </c>
      <c r="K53" s="1105"/>
      <c r="L53" s="1106"/>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2571</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5"/>
      <c r="L56" s="1106"/>
      <c r="M56" s="1143"/>
      <c r="N56" s="1143"/>
      <c r="O56" s="1143"/>
      <c r="P56" s="675"/>
      <c r="Q56" s="758"/>
      <c r="R56" s="758"/>
      <c r="S56" s="758"/>
      <c r="T56" s="758"/>
      <c r="U56" s="758"/>
      <c r="V56" s="758"/>
      <c r="W56" s="758"/>
      <c r="X56" s="758"/>
      <c r="Y56" s="758"/>
      <c r="Z56" s="758"/>
      <c r="AA56" s="758"/>
      <c r="AB56" s="758"/>
      <c r="AC56" s="758"/>
    </row>
    <row r="57" spans="1:29" ht="21.75" thickBot="1">
      <c r="A57" s="762" t="s">
        <v>2572</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2537</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2539</v>
      </c>
      <c r="B61" s="510"/>
      <c r="C61" s="522" t="s">
        <v>2576</v>
      </c>
      <c r="D61" s="523">
        <v>1</v>
      </c>
      <c r="E61" s="523">
        <v>25</v>
      </c>
      <c r="F61" s="523">
        <v>30</v>
      </c>
      <c r="G61" s="523">
        <v>40</v>
      </c>
      <c r="H61" s="523"/>
      <c r="I61" s="523"/>
      <c r="J61" s="523"/>
      <c r="K61" s="523"/>
      <c r="L61" s="524"/>
      <c r="M61" s="525"/>
      <c r="N61" s="1150"/>
      <c r="O61" s="1150"/>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0"/>
      <c r="O62" s="1150"/>
      <c r="P62" s="2623"/>
      <c r="Q62" s="504"/>
    </row>
    <row r="63" spans="1:29">
      <c r="A63" s="527" t="s">
        <v>2577</v>
      </c>
      <c r="B63" s="528" t="s">
        <v>2543</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2547</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25"/>
      <c r="Q67" s="504"/>
    </row>
    <row r="68" spans="1:17" ht="15">
      <c r="A68" s="534"/>
      <c r="B68" s="548"/>
      <c r="C68" s="549">
        <v>0</v>
      </c>
      <c r="D68" s="549">
        <v>1</v>
      </c>
      <c r="E68" s="549">
        <v>2</v>
      </c>
      <c r="F68" s="549">
        <v>3</v>
      </c>
      <c r="G68" s="549"/>
      <c r="H68" s="549"/>
      <c r="I68" s="549"/>
      <c r="J68" s="549"/>
      <c r="K68" s="550"/>
      <c r="L68" s="551"/>
      <c r="M68" s="552"/>
      <c r="N68" s="1151"/>
      <c r="O68" s="1151"/>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5"/>
      <c r="Q85" s="504"/>
    </row>
    <row r="86" spans="1:17" s="117" customFormat="1" ht="15.75" thickTop="1">
      <c r="A86" s="579"/>
      <c r="B86" s="538" t="s">
        <v>2669</v>
      </c>
      <c r="C86" s="2959" t="s">
        <v>3074</v>
      </c>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25"/>
      <c r="Q87" s="504"/>
    </row>
    <row r="88" spans="1:17" s="117" customFormat="1" ht="15.75" thickTop="1">
      <c r="A88" s="579"/>
      <c r="B88" s="538" t="str">
        <f>B26</f>
        <v>平面位置/可视性</v>
      </c>
      <c r="C88" s="2960" t="s">
        <v>3075</v>
      </c>
      <c r="D88" s="554"/>
      <c r="E88" s="554"/>
      <c r="F88" s="2630"/>
      <c r="G88" s="554"/>
      <c r="H88" s="554"/>
      <c r="I88" s="554"/>
      <c r="J88" s="554"/>
      <c r="K88" s="554"/>
      <c r="L88" s="554"/>
      <c r="M88" s="581"/>
      <c r="N88" s="1150"/>
      <c r="O88" s="1150"/>
      <c r="P88" s="2625"/>
      <c r="Q88" s="504"/>
    </row>
    <row r="89" spans="1:17" s="117" customFormat="1" ht="15.75" thickBot="1">
      <c r="A89" s="579"/>
      <c r="B89" s="543"/>
      <c r="C89" s="560">
        <v>100</v>
      </c>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60" t="s">
        <v>3075</v>
      </c>
      <c r="D90" s="2960" t="s">
        <v>3076</v>
      </c>
      <c r="E90" s="2960" t="s">
        <v>3077</v>
      </c>
      <c r="F90" s="554"/>
      <c r="G90" s="554"/>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26"/>
      <c r="Q91" s="559"/>
    </row>
    <row r="92" spans="1:17" ht="15.75" thickTop="1">
      <c r="A92" s="534"/>
      <c r="B92" s="538" t="str">
        <f>B28</f>
        <v>楼层</v>
      </c>
      <c r="C92" s="2959">
        <v>1</v>
      </c>
      <c r="D92" s="2962" t="s">
        <v>3052</v>
      </c>
      <c r="E92" s="554"/>
      <c r="F92" s="554"/>
      <c r="G92" s="554"/>
      <c r="H92" s="554"/>
      <c r="I92" s="554"/>
      <c r="J92" s="554"/>
      <c r="K92" s="554"/>
      <c r="L92" s="580"/>
      <c r="M92" s="581"/>
      <c r="N92" s="1151"/>
      <c r="O92" s="1151"/>
      <c r="P92" s="2625"/>
      <c r="Q92" s="504"/>
    </row>
    <row r="93" spans="1:17" ht="15.75" thickBot="1">
      <c r="A93" s="534"/>
      <c r="B93" s="543"/>
      <c r="C93" s="536">
        <v>100</v>
      </c>
      <c r="D93" s="536">
        <v>85</v>
      </c>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2963" t="s">
        <v>3107</v>
      </c>
      <c r="D100" s="2963" t="s">
        <v>3106</v>
      </c>
      <c r="E100" s="2963" t="s">
        <v>3110</v>
      </c>
      <c r="F100" s="2963" t="s">
        <v>3081</v>
      </c>
      <c r="G100" s="530"/>
      <c r="H100" s="530"/>
      <c r="I100" s="530"/>
      <c r="J100" s="530"/>
      <c r="K100" s="531"/>
      <c r="L100" s="532"/>
      <c r="M100" s="533"/>
      <c r="N100" s="1151"/>
      <c r="O100" s="1151"/>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25"/>
      <c r="Q101" s="504"/>
    </row>
    <row r="102" spans="1:17" ht="15.75" thickTop="1">
      <c r="A102" s="534"/>
      <c r="B102" s="538" t="s">
        <v>2602</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0"/>
      <c r="O102" s="1150"/>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3"/>
      <c r="O103" s="1153"/>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2"/>
      <c r="O104" s="1152"/>
      <c r="P104" s="2626"/>
      <c r="Q104" s="559"/>
    </row>
    <row r="105" spans="1:17" ht="15" thickTop="1">
      <c r="A105" s="599"/>
      <c r="B105" s="538" t="s">
        <v>2603</v>
      </c>
      <c r="C105" s="2960" t="s">
        <v>3083</v>
      </c>
      <c r="D105" s="2960" t="s">
        <v>3084</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2"/>
      <c r="O106" s="1152"/>
      <c r="P106" s="2625"/>
      <c r="Q106" s="504"/>
    </row>
    <row r="107" spans="1:17" ht="15" thickTop="1">
      <c r="A107" s="599"/>
      <c r="B107" s="538" t="s">
        <v>2605</v>
      </c>
      <c r="C107" s="2960" t="s">
        <v>3086</v>
      </c>
      <c r="D107" s="2960" t="s">
        <v>3088</v>
      </c>
      <c r="E107" s="2960" t="s">
        <v>3090</v>
      </c>
      <c r="F107" s="2964" t="s">
        <v>3092</v>
      </c>
      <c r="G107" s="583"/>
      <c r="H107" s="583"/>
      <c r="I107" s="583"/>
      <c r="J107" s="583"/>
      <c r="K107" s="584"/>
      <c r="L107" s="585"/>
      <c r="M107" s="586"/>
      <c r="N107" s="1151"/>
      <c r="O107" s="1151"/>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2"/>
      <c r="O108" s="1152"/>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8">D111+$K36</f>
        <v>104</v>
      </c>
      <c r="F111" s="544">
        <f t="shared" si="28"/>
        <v>106</v>
      </c>
      <c r="G111" s="544">
        <f t="shared" si="28"/>
        <v>108</v>
      </c>
      <c r="H111" s="544">
        <f t="shared" si="28"/>
        <v>110</v>
      </c>
      <c r="I111" s="544">
        <f t="shared" si="28"/>
        <v>112</v>
      </c>
      <c r="J111" s="544">
        <f t="shared" si="28"/>
        <v>114</v>
      </c>
      <c r="K111" s="544">
        <f t="shared" si="28"/>
        <v>116</v>
      </c>
      <c r="L111" s="544">
        <f t="shared" si="28"/>
        <v>118</v>
      </c>
      <c r="M111" s="544">
        <f t="shared" si="28"/>
        <v>120</v>
      </c>
      <c r="N111" s="1152"/>
      <c r="O111" s="1152"/>
      <c r="P111" s="2625"/>
      <c r="Q111" s="504"/>
    </row>
    <row r="112" spans="1:17" s="471" customFormat="1" ht="15" thickTop="1">
      <c r="A112" s="593"/>
      <c r="B112" s="538" t="s">
        <v>2607</v>
      </c>
      <c r="C112" s="2960" t="s">
        <v>3093</v>
      </c>
      <c r="D112" s="2960" t="s">
        <v>3095</v>
      </c>
      <c r="E112" s="2960" t="s">
        <v>3096</v>
      </c>
      <c r="F112" s="2960" t="s">
        <v>3097</v>
      </c>
      <c r="G112" s="2960" t="s">
        <v>3098</v>
      </c>
      <c r="H112" s="583"/>
      <c r="I112" s="583"/>
      <c r="J112" s="583"/>
      <c r="K112" s="584"/>
      <c r="L112" s="585"/>
      <c r="M112" s="586"/>
      <c r="N112" s="1153"/>
      <c r="O112" s="1153"/>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3"/>
      <c r="O113" s="1153"/>
      <c r="P113" s="2626"/>
      <c r="Q113" s="559"/>
    </row>
    <row r="114" spans="1:17" ht="15" thickTop="1">
      <c r="A114" s="599"/>
      <c r="B114" s="538" t="s">
        <v>2671</v>
      </c>
      <c r="C114" s="2960" t="s">
        <v>3099</v>
      </c>
      <c r="D114" s="2960" t="s">
        <v>3101</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2"/>
      <c r="O115" s="1152"/>
      <c r="P115" s="2625"/>
      <c r="Q115" s="504"/>
    </row>
    <row r="116" spans="1:17" ht="15" thickTop="1">
      <c r="A116" s="599"/>
      <c r="B116" s="538" t="s">
        <v>2672</v>
      </c>
      <c r="C116" s="2960" t="s">
        <v>3103</v>
      </c>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5"/>
      <c r="Q117" s="504"/>
    </row>
    <row r="118" spans="1:17" ht="15" thickTop="1">
      <c r="A118" s="599"/>
      <c r="B118" s="538" t="s">
        <v>2673</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2674</v>
      </c>
      <c r="C120" s="2965" t="s">
        <v>2586</v>
      </c>
      <c r="D120" s="2965" t="s">
        <v>2587</v>
      </c>
      <c r="E120" s="2965" t="s">
        <v>2588</v>
      </c>
      <c r="F120" s="2965" t="s">
        <v>2589</v>
      </c>
      <c r="G120" s="2965" t="s">
        <v>2590</v>
      </c>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3"/>
      <c r="O121" s="1153"/>
      <c r="P121" s="2626"/>
      <c r="Q121" s="559"/>
    </row>
    <row r="122" spans="1:17" ht="15" thickTop="1">
      <c r="A122" s="599"/>
      <c r="B122" s="538" t="s">
        <v>2609</v>
      </c>
      <c r="C122" s="2960" t="s">
        <v>3086</v>
      </c>
      <c r="D122" s="2960" t="s">
        <v>3088</v>
      </c>
      <c r="E122" s="2960" t="s">
        <v>3090</v>
      </c>
      <c r="F122" s="2964" t="s">
        <v>3092</v>
      </c>
      <c r="G122" s="583"/>
      <c r="H122" s="583"/>
      <c r="I122" s="583"/>
      <c r="J122" s="583"/>
      <c r="K122" s="584"/>
      <c r="L122" s="585"/>
      <c r="M122" s="586"/>
      <c r="N122" s="1151"/>
      <c r="O122" s="1151"/>
      <c r="P122" s="2625"/>
      <c r="Q122" s="504"/>
    </row>
    <row r="123" spans="1:17" ht="15.75" thickBot="1">
      <c r="A123" s="534"/>
      <c r="B123" s="543"/>
      <c r="C123" s="544">
        <v>100</v>
      </c>
      <c r="D123" s="544">
        <f t="shared" ref="D123:M123" si="32">C123-$K42</f>
        <v>98.5</v>
      </c>
      <c r="E123" s="544">
        <f t="shared" si="32"/>
        <v>97</v>
      </c>
      <c r="F123" s="544">
        <f t="shared" si="32"/>
        <v>95.5</v>
      </c>
      <c r="G123" s="544">
        <f t="shared" si="32"/>
        <v>94</v>
      </c>
      <c r="H123" s="544">
        <f t="shared" si="32"/>
        <v>92.5</v>
      </c>
      <c r="I123" s="544">
        <f t="shared" si="32"/>
        <v>91</v>
      </c>
      <c r="J123" s="544">
        <f t="shared" si="32"/>
        <v>89.5</v>
      </c>
      <c r="K123" s="544">
        <f t="shared" si="32"/>
        <v>88</v>
      </c>
      <c r="L123" s="544">
        <f t="shared" si="32"/>
        <v>86.5</v>
      </c>
      <c r="M123" s="545">
        <f t="shared" si="32"/>
        <v>85</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30031</v>
      </c>
      <c r="C2" s="2" t="s">
        <v>133</v>
      </c>
      <c r="D2" s="243"/>
      <c r="E2" s="243"/>
      <c r="F2" s="243"/>
      <c r="G2" s="243"/>
    </row>
    <row r="3" spans="1:7" s="244" customFormat="1" ht="18" customHeight="1" thickBot="1">
      <c r="A3" s="247" t="s">
        <v>85</v>
      </c>
      <c r="B3" s="248">
        <f ca="1">ROUND(B2*10000/'数据-汇总表'!E3,0)</f>
        <v>112841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53</v>
      </c>
      <c r="D10" s="1034">
        <f>'数据-汇总表'!E6</f>
        <v>2661.36</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53</v>
      </c>
      <c r="D19" s="1038">
        <f>'数据-汇总表'!E3</f>
        <v>2661.36</v>
      </c>
      <c r="E19" s="255">
        <f>'数据-取费表'!B31</f>
        <v>200</v>
      </c>
      <c r="F19" s="275"/>
      <c r="G19" s="1" t="s">
        <v>1074</v>
      </c>
    </row>
    <row r="20" spans="1:7" s="258" customFormat="1" ht="13.5" customHeight="1">
      <c r="A20" s="950" t="s">
        <v>1057</v>
      </c>
      <c r="B20" s="254" t="s">
        <v>104</v>
      </c>
      <c r="C20" s="276">
        <f>ROUND((C5+C19)*F20,0)</f>
        <v>207</v>
      </c>
      <c r="D20" s="276"/>
      <c r="E20" s="276"/>
      <c r="F20" s="277">
        <f>'数据-取费表'!B37</f>
        <v>0.01</v>
      </c>
      <c r="G20" s="1288"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3">
        <f ca="1">ROUND(SUM(C23:C25),0)</f>
        <v>2019</v>
      </c>
      <c r="D22" s="279">
        <f ca="1">C26</f>
        <v>5.0000000000000001E-4</v>
      </c>
      <c r="E22" s="280" t="s">
        <v>126</v>
      </c>
      <c r="F22" s="281">
        <f ca="1">'数据-取费表'!B40</f>
        <v>4.7500000000000001E-2</v>
      </c>
      <c r="G22" s="1288" t="str">
        <f>IF('数据-取费表'!B22&lt;=1,"单利计息","复利计息")</f>
        <v>复利计息</v>
      </c>
    </row>
    <row r="23" spans="1:7" s="258" customFormat="1" ht="13.5" customHeight="1">
      <c r="A23" s="953" t="s">
        <v>794</v>
      </c>
      <c r="B23" s="259" t="s">
        <v>1061</v>
      </c>
      <c r="C23" s="1354">
        <f ca="1">ROUND(IF('数据-取费表'!B22&lt;=1,C5*F22*'数据-取费表'!B23,C5*(POWER((1+F22),'数据-取费表'!B23)-1)),0)</f>
        <v>2004</v>
      </c>
      <c r="D23" s="282"/>
      <c r="E23" s="282"/>
      <c r="F23" s="283"/>
      <c r="G23" s="284" t="s">
        <v>108</v>
      </c>
    </row>
    <row r="24" spans="1:7" s="258" customFormat="1" ht="13.5" customHeight="1">
      <c r="A24" s="953" t="s">
        <v>792</v>
      </c>
      <c r="B24" s="259" t="s">
        <v>1056</v>
      </c>
      <c r="C24" s="1354">
        <f ca="1">ROUND(IF('数据-取费表'!B22&lt;=1,C19*F22*('数据-取费表'!B19/2+'数据-取费表'!B21),C19*(POWER((1+F22),('数据-取费表'!B19/2+'数据-取费表'!B21))-1)),0)</f>
        <v>5</v>
      </c>
      <c r="D24" s="282"/>
      <c r="E24" s="282"/>
      <c r="F24" s="283"/>
      <c r="G24" s="284" t="s">
        <v>109</v>
      </c>
    </row>
    <row r="25" spans="1:7" s="258" customFormat="1" ht="24">
      <c r="A25" s="953" t="s">
        <v>793</v>
      </c>
      <c r="B25" s="259" t="s">
        <v>1058</v>
      </c>
      <c r="C25" s="1354">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4174</v>
      </c>
      <c r="D27" s="279">
        <f>C29</f>
        <v>2E-3</v>
      </c>
      <c r="E27" s="280" t="s">
        <v>126</v>
      </c>
      <c r="F27" s="290">
        <f>'数据-取费表'!Q16</f>
        <v>0.2</v>
      </c>
      <c r="G27" s="291" t="s">
        <v>1069</v>
      </c>
    </row>
    <row r="28" spans="1:7" s="258" customFormat="1" ht="13.5" customHeight="1">
      <c r="A28" s="953" t="s">
        <v>794</v>
      </c>
      <c r="B28" s="292" t="s">
        <v>1062</v>
      </c>
      <c r="C28" s="293">
        <f>ROUND((C5+C19+C20)*F27*'数据-取费表'!B21/'数据-取费表'!B20,0)</f>
        <v>4174</v>
      </c>
      <c r="D28" s="279"/>
      <c r="E28" s="280"/>
      <c r="F28" s="290"/>
      <c r="G28" s="291"/>
    </row>
    <row r="29" spans="1:7" s="258" customFormat="1" ht="13.5" customHeight="1">
      <c r="A29" s="953" t="s">
        <v>792</v>
      </c>
      <c r="B29" s="292" t="s">
        <v>1063</v>
      </c>
      <c r="C29" s="282">
        <f>ROUND(C21*F27*'数据-取费表'!B21/'数据-取费表'!B20,4)</f>
        <v>2E-3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904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799</v>
      </c>
      <c r="D34" s="261"/>
      <c r="E34" s="264"/>
      <c r="F34" s="301">
        <f>IF('数据-取费表'!B24=0,1,'数据-取费表'!N16)</f>
        <v>1</v>
      </c>
      <c r="G34" s="263" t="s">
        <v>116</v>
      </c>
    </row>
    <row r="35" spans="1:7" ht="13.5" customHeight="1">
      <c r="A35" s="953" t="s">
        <v>796</v>
      </c>
      <c r="B35" s="259" t="s">
        <v>60</v>
      </c>
      <c r="C35" s="264">
        <f>ROUND(C34*F35,0)</f>
        <v>40</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53</v>
      </c>
      <c r="D37" s="261">
        <f>'数据-汇总表'!E3</f>
        <v>2661.36</v>
      </c>
      <c r="E37" s="293">
        <f>'数据-取费表'!B35</f>
        <v>200</v>
      </c>
      <c r="F37" s="303"/>
      <c r="G37" s="305" t="s">
        <v>119</v>
      </c>
    </row>
    <row r="38" spans="1:7" ht="13.5" customHeight="1">
      <c r="A38" s="953" t="s">
        <v>799</v>
      </c>
      <c r="B38" s="259" t="s">
        <v>63</v>
      </c>
      <c r="C38" s="264">
        <f>ROUND(C34*F38,0)</f>
        <v>12</v>
      </c>
      <c r="D38" s="264"/>
      <c r="E38" s="264"/>
      <c r="F38" s="303">
        <f>'数据-取费表'!B36</f>
        <v>1.4999999999999999E-2</v>
      </c>
      <c r="G38" s="263" t="s">
        <v>117</v>
      </c>
    </row>
    <row r="39" spans="1:7" s="258" customFormat="1" ht="13.5" customHeight="1">
      <c r="A39" s="950" t="s">
        <v>783</v>
      </c>
      <c r="B39" s="254" t="s">
        <v>104</v>
      </c>
      <c r="C39" s="276">
        <f>ROUND(C33*F20,0)</f>
        <v>9</v>
      </c>
      <c r="D39" s="276"/>
      <c r="E39" s="276"/>
      <c r="F39" s="277"/>
      <c r="G39" s="1288"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43</v>
      </c>
      <c r="D41" s="279">
        <f ca="1">C44</f>
        <v>5.0000000000000001E-4</v>
      </c>
      <c r="E41" s="280" t="s">
        <v>129</v>
      </c>
      <c r="F41" s="281"/>
      <c r="G41" s="1288" t="str">
        <f>IF('数据-取费表'!B22&lt;=1,"单利计息","复利计息")</f>
        <v>复利计息</v>
      </c>
    </row>
    <row r="42" spans="1:7" ht="13.5" customHeight="1">
      <c r="A42" s="953" t="s">
        <v>794</v>
      </c>
      <c r="B42" s="259" t="s">
        <v>1061</v>
      </c>
      <c r="C42" s="282">
        <f ca="1">ROUND(IF('数据-取费表'!B22&lt;=1,C33*F22*'数据-取费表'!B21/2,C33*(POWER((1+F22),'数据-取费表'!B21/2)-1)),0)</f>
        <v>43</v>
      </c>
      <c r="D42" s="282"/>
      <c r="E42" s="282"/>
      <c r="F42" s="283"/>
      <c r="G42" s="3189" t="s">
        <v>121</v>
      </c>
    </row>
    <row r="43" spans="1:7" ht="13.5" customHeight="1">
      <c r="A43" s="953" t="s">
        <v>792</v>
      </c>
      <c r="B43" s="259" t="s">
        <v>1064</v>
      </c>
      <c r="C43" s="282">
        <f ca="1">ROUND(IF('数据-取费表'!B22&lt;=1,C39*F22*'数据-取费表'!B21/2,C39*(POWER((1+F22),'数据-取费表'!B21/2)-1)),0)</f>
        <v>0</v>
      </c>
      <c r="D43" s="282"/>
      <c r="E43" s="282"/>
      <c r="F43" s="283"/>
      <c r="G43" s="3190"/>
    </row>
    <row r="44" spans="1:7" ht="13.5" customHeight="1">
      <c r="A44" s="953" t="s">
        <v>793</v>
      </c>
      <c r="B44" s="259" t="s">
        <v>1066</v>
      </c>
      <c r="C44" s="282">
        <f ca="1">ROUND(IF('数据-取费表'!B22&lt;=1,C40*F22*'数据-取费表'!B21/2,C40*(POWER((1+F22),'数据-取费表'!B21/2)-1)),4)</f>
        <v>5.0000000000000001E-4</v>
      </c>
      <c r="D44" s="282"/>
      <c r="E44" s="282"/>
      <c r="F44" s="283"/>
      <c r="G44" s="3191"/>
    </row>
    <row r="45" spans="1:7" s="258" customFormat="1" ht="13.5" customHeight="1">
      <c r="A45" s="950" t="s">
        <v>786</v>
      </c>
      <c r="B45" s="288" t="s">
        <v>112</v>
      </c>
      <c r="C45" s="289">
        <f>C46</f>
        <v>183</v>
      </c>
      <c r="D45" s="279">
        <f>C47</f>
        <v>2E-3</v>
      </c>
      <c r="E45" s="280" t="s">
        <v>129</v>
      </c>
      <c r="F45" s="290"/>
      <c r="G45" s="291" t="s">
        <v>1072</v>
      </c>
    </row>
    <row r="46" spans="1:7" s="258" customFormat="1" ht="13.5" customHeight="1">
      <c r="A46" s="953" t="s">
        <v>794</v>
      </c>
      <c r="B46" s="292" t="s">
        <v>1065</v>
      </c>
      <c r="C46" s="293">
        <f>ROUND((C33+C39)*F27,0)</f>
        <v>183</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1219</v>
      </c>
      <c r="D49" s="276"/>
      <c r="E49" s="276"/>
      <c r="F49" s="308"/>
      <c r="G49" s="278" t="s">
        <v>1073</v>
      </c>
    </row>
    <row r="50" spans="1:7" s="302" customFormat="1" ht="24">
      <c r="A50" s="950" t="s">
        <v>789</v>
      </c>
      <c r="B50" s="254" t="s">
        <v>124</v>
      </c>
      <c r="C50" s="276"/>
      <c r="D50" s="276"/>
      <c r="E50" s="276"/>
      <c r="F50" s="308">
        <f>IF('数据-取费表'!B24=0,'数据-取费表'!N16,1)</f>
        <v>0.87</v>
      </c>
      <c r="G50" s="291" t="s">
        <v>125</v>
      </c>
    </row>
    <row r="51" spans="1:7" ht="16.5" customHeight="1">
      <c r="A51" s="950" t="s">
        <v>790</v>
      </c>
      <c r="B51" s="254" t="s">
        <v>132</v>
      </c>
      <c r="C51" s="276">
        <f ca="1">ROUND(C49*F50,0)</f>
        <v>1061</v>
      </c>
      <c r="D51" s="276"/>
      <c r="E51" s="276"/>
      <c r="F51" s="308"/>
      <c r="G51" s="278" t="s">
        <v>64</v>
      </c>
    </row>
    <row r="52" spans="1:7" s="252" customFormat="1" ht="16.5" thickBot="1">
      <c r="A52" s="309" t="s">
        <v>65</v>
      </c>
      <c r="B52" s="310"/>
      <c r="C52" s="311">
        <f ca="1">C31+C51</f>
        <v>30031</v>
      </c>
      <c r="D52" s="310"/>
      <c r="E52" s="310"/>
      <c r="F52" s="310"/>
      <c r="G52" s="312"/>
    </row>
    <row r="55" spans="1:7" ht="15">
      <c r="B55" s="314" t="s">
        <v>66</v>
      </c>
      <c r="C55" s="315"/>
    </row>
    <row r="56" spans="1:7">
      <c r="B56" s="317" t="s">
        <v>67</v>
      </c>
      <c r="C56" s="318">
        <f ca="1">ROUND(C51/C52,3)</f>
        <v>3.5000000000000003E-2</v>
      </c>
    </row>
    <row r="57" spans="1:7">
      <c r="B57" s="317" t="s">
        <v>68</v>
      </c>
      <c r="C57" s="319">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6" t="s">
        <v>156</v>
      </c>
      <c r="B1" s="3326"/>
      <c r="C1" s="3326"/>
      <c r="D1" s="3326"/>
      <c r="E1" s="3326"/>
      <c r="F1" s="332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7" t="s">
        <v>169</v>
      </c>
      <c r="B2" s="3327"/>
      <c r="C2" s="3327"/>
      <c r="D2" s="3327"/>
      <c r="E2" s="3327"/>
      <c r="F2" s="332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6" t="s">
        <v>871</v>
      </c>
      <c r="B1" s="332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82" workbookViewId="0">
      <selection activeCell="M175" sqref="A96:M175"/>
    </sheetView>
  </sheetViews>
  <sheetFormatPr defaultRowHeight="13.5"/>
  <sheetData/>
  <phoneticPr fontId="143" type="noConversion"/>
  <pageMargins left="0.7" right="0.7" top="0.75" bottom="0.75" header="0.3" footer="0.3"/>
  <pageSetup paperSize="9" scale="2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7"/>
  <sheetViews>
    <sheetView workbookViewId="0">
      <selection activeCell="H31" sqref="H31"/>
    </sheetView>
  </sheetViews>
  <sheetFormatPr defaultRowHeight="13.5"/>
  <cols>
    <col min="5" max="5" width="15.625" bestFit="1" customWidth="1"/>
  </cols>
  <sheetData>
    <row r="2" spans="2:5">
      <c r="B2" s="3330" t="s">
        <v>3140</v>
      </c>
      <c r="C2" s="3330" t="s">
        <v>3141</v>
      </c>
      <c r="D2" s="3330" t="s">
        <v>3142</v>
      </c>
      <c r="E2" s="3330" t="s">
        <v>3143</v>
      </c>
    </row>
    <row r="3" spans="2:5">
      <c r="B3" s="3331" t="s">
        <v>3155</v>
      </c>
      <c r="C3" s="3330">
        <v>261.92</v>
      </c>
      <c r="D3" s="3330">
        <v>267682</v>
      </c>
      <c r="E3" s="3332">
        <v>44091</v>
      </c>
    </row>
    <row r="4" spans="2:5">
      <c r="B4" s="3331" t="s">
        <v>3153</v>
      </c>
      <c r="C4" s="3330">
        <v>315.70999999999998</v>
      </c>
      <c r="D4" s="3330">
        <v>368750</v>
      </c>
      <c r="E4" s="3332">
        <v>44128</v>
      </c>
    </row>
    <row r="5" spans="2:5">
      <c r="B5" s="3331" t="s">
        <v>3154</v>
      </c>
      <c r="C5" s="3330">
        <v>289</v>
      </c>
      <c r="D5" s="3330">
        <v>295358</v>
      </c>
      <c r="E5" s="3332">
        <v>44049</v>
      </c>
    </row>
    <row r="6" spans="2:5">
      <c r="B6" s="3331" t="s">
        <v>3156</v>
      </c>
      <c r="C6" s="3330">
        <v>186.43</v>
      </c>
      <c r="D6" s="3330">
        <v>190531</v>
      </c>
      <c r="E6" s="3332">
        <v>44097</v>
      </c>
    </row>
    <row r="7" spans="2:5">
      <c r="B7" s="3331" t="s">
        <v>3157</v>
      </c>
      <c r="C7" s="3330">
        <v>277.52</v>
      </c>
      <c r="D7" s="3330">
        <v>202589</v>
      </c>
      <c r="E7" s="3332">
        <v>43699</v>
      </c>
    </row>
    <row r="8" spans="2:5">
      <c r="B8" s="3331" t="s">
        <v>3158</v>
      </c>
      <c r="C8" s="3330">
        <v>184.87</v>
      </c>
      <c r="D8" s="3330">
        <v>134955</v>
      </c>
      <c r="E8" s="3332">
        <v>43561</v>
      </c>
    </row>
    <row r="9" spans="2:5">
      <c r="B9" s="3331" t="s">
        <v>3159</v>
      </c>
      <c r="C9" s="3330">
        <v>190.44</v>
      </c>
      <c r="D9" s="3330">
        <v>252324</v>
      </c>
      <c r="E9" s="3332">
        <v>43803</v>
      </c>
    </row>
    <row r="10" spans="2:5">
      <c r="B10" s="3331" t="s">
        <v>3160</v>
      </c>
      <c r="C10" s="3330">
        <v>282.83</v>
      </c>
      <c r="D10" s="3330">
        <v>363379</v>
      </c>
      <c r="E10" s="3332">
        <v>44009</v>
      </c>
    </row>
    <row r="11" spans="2:5">
      <c r="B11" s="3331" t="s">
        <v>3161</v>
      </c>
      <c r="C11" s="3330">
        <v>150</v>
      </c>
      <c r="D11" s="3330">
        <v>273750</v>
      </c>
      <c r="E11" s="3332">
        <v>44361</v>
      </c>
    </row>
    <row r="12" spans="2:5">
      <c r="B12" s="3331" t="s">
        <v>3162</v>
      </c>
      <c r="C12" s="3330">
        <v>117.17</v>
      </c>
      <c r="D12" s="3330">
        <v>213835</v>
      </c>
      <c r="E12" s="3332">
        <v>44361</v>
      </c>
    </row>
    <row r="13" spans="2:5">
      <c r="C13">
        <f>SUM(C3:C12)</f>
        <v>2255.89</v>
      </c>
      <c r="D13">
        <f>SUM(D3:D12)</f>
        <v>2563153</v>
      </c>
    </row>
    <row r="14" spans="2:5">
      <c r="D14">
        <f>ROUND(D13/C13/365,1)</f>
        <v>3.1</v>
      </c>
    </row>
    <row r="16" spans="2:5">
      <c r="B16" t="s">
        <v>3141</v>
      </c>
      <c r="C16" t="s">
        <v>3144</v>
      </c>
      <c r="D16" t="s">
        <v>3145</v>
      </c>
    </row>
    <row r="17" spans="3:4">
      <c r="C17" t="s">
        <v>3079</v>
      </c>
      <c r="D17">
        <f>'比较法-租金'!C49</f>
        <v>5.8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1642</v>
      </c>
      <c r="B2" s="3015" t="s">
        <v>1643</v>
      </c>
      <c r="C2" s="3015" t="s">
        <v>1644</v>
      </c>
      <c r="D2" s="3015" t="str">
        <f>结果表!D116</f>
        <v>出让国有建设用地使用权价值</v>
      </c>
      <c r="E2" s="3015"/>
      <c r="F2" s="3015" t="str">
        <f>结果表!F116</f>
        <v>建筑物价值</v>
      </c>
      <c r="G2" s="3015"/>
      <c r="H2" s="3015" t="str">
        <f>IF(项目基本情况!B9="房地产市场价值","房地产市场价值","房地产价值")</f>
        <v>房地产价值</v>
      </c>
      <c r="I2" s="3015"/>
    </row>
    <row r="3" spans="1:9" ht="15">
      <c r="A3" s="3016"/>
      <c r="B3" s="3016"/>
      <c r="C3" s="3016"/>
      <c r="D3" s="1045" t="s">
        <v>1639</v>
      </c>
      <c r="E3" s="1045" t="s">
        <v>1645</v>
      </c>
      <c r="F3" s="1045" t="s">
        <v>1639</v>
      </c>
      <c r="G3" s="1045" t="s">
        <v>1640</v>
      </c>
      <c r="H3" s="1045" t="s">
        <v>1639</v>
      </c>
      <c r="I3" s="1045" t="s">
        <v>1640</v>
      </c>
    </row>
    <row r="4" spans="1:9" ht="30">
      <c r="A4" s="1971" t="str">
        <f>项目基本情况!S2</f>
        <v>北京市丰台区马家堡东路168号院10号楼房地产</v>
      </c>
      <c r="B4" s="1045">
        <f>项目基本情况!C17</f>
        <v>2661.36</v>
      </c>
      <c r="C4" s="1045">
        <f>项目基本情况!C18</f>
        <v>666.75</v>
      </c>
      <c r="D4" s="1045">
        <f ca="1">结果表!D118</f>
        <v>9241</v>
      </c>
      <c r="E4" s="1045">
        <f ca="1">结果表!E118</f>
        <v>34723</v>
      </c>
      <c r="F4" s="1045">
        <f ca="1">结果表!F118</f>
        <v>1061</v>
      </c>
      <c r="G4" s="1045">
        <f ca="1">结果表!G118</f>
        <v>3987</v>
      </c>
      <c r="H4" s="1045">
        <f ca="1">结果表!H118</f>
        <v>10302</v>
      </c>
      <c r="I4" s="1045">
        <f ca="1">结果表!I118</f>
        <v>38710</v>
      </c>
    </row>
    <row r="5" spans="1:9" ht="30" customHeight="1">
      <c r="A5" s="3016" t="s">
        <v>1641</v>
      </c>
      <c r="B5" s="3016"/>
      <c r="C5" s="3016"/>
      <c r="D5" s="3017" t="str">
        <f ca="1">结果表!D119</f>
        <v>玖仟贰佰肆拾壹万元整</v>
      </c>
      <c r="E5" s="3017"/>
      <c r="F5" s="3017" t="str">
        <f ca="1">结果表!F119</f>
        <v>壹仟零陆拾壹万元整</v>
      </c>
      <c r="G5" s="3017"/>
      <c r="H5" s="3017" t="str">
        <f ca="1">结果表!H119</f>
        <v>壹亿零叁佰零贰万元整</v>
      </c>
      <c r="I5" s="3017"/>
    </row>
    <row r="6" spans="1:9" ht="15.75">
      <c r="A6" s="3018" t="str">
        <f>结果表!A120</f>
        <v>估价师知悉的法定优先受偿款</v>
      </c>
      <c r="B6" s="3018"/>
      <c r="C6" s="3018"/>
      <c r="D6" s="3018">
        <f>结果表!D120</f>
        <v>0</v>
      </c>
      <c r="E6" s="3018"/>
      <c r="F6" s="3018"/>
      <c r="G6" s="3018"/>
      <c r="H6" s="3018"/>
      <c r="I6" s="3018"/>
    </row>
    <row r="7" spans="1:9" ht="15">
      <c r="A7" s="3016" t="s">
        <v>1641</v>
      </c>
      <c r="B7" s="3016"/>
      <c r="C7" s="3016"/>
      <c r="D7" s="3019" t="str">
        <f>结果表!D121</f>
        <v>零元整</v>
      </c>
      <c r="E7" s="3020"/>
      <c r="F7" s="3020"/>
      <c r="G7" s="3020"/>
      <c r="H7" s="3020"/>
      <c r="I7" s="3021"/>
    </row>
    <row r="8" spans="1:9" ht="15.75">
      <c r="A8" s="3018" t="str">
        <f>结果表!A122</f>
        <v>房地产抵押价值</v>
      </c>
      <c r="B8" s="3018"/>
      <c r="C8" s="3018"/>
      <c r="D8" s="3018">
        <f ca="1">结果表!D122</f>
        <v>10302</v>
      </c>
      <c r="E8" s="3018"/>
      <c r="F8" s="3018"/>
      <c r="G8" s="3018"/>
      <c r="H8" s="3018"/>
      <c r="I8" s="3018"/>
    </row>
    <row r="9" spans="1:9" ht="15">
      <c r="A9" s="3016" t="s">
        <v>1641</v>
      </c>
      <c r="B9" s="3016"/>
      <c r="C9" s="3016"/>
      <c r="D9" s="3017" t="str">
        <f ca="1">结果表!D123</f>
        <v>壹亿零叁佰零贰万元整</v>
      </c>
      <c r="E9" s="3017"/>
      <c r="F9" s="3017"/>
      <c r="G9" s="3017"/>
      <c r="H9" s="3017"/>
      <c r="I9" s="3017"/>
    </row>
    <row r="10" spans="1:9" ht="15.75">
      <c r="A10" s="3018" t="str">
        <f>结果表!A124</f>
        <v/>
      </c>
      <c r="B10" s="3018"/>
      <c r="C10" s="3018"/>
      <c r="D10" s="3018" t="str">
        <f>结果表!D124</f>
        <v>——</v>
      </c>
      <c r="E10" s="3018"/>
      <c r="F10" s="3018"/>
      <c r="G10" s="3018"/>
      <c r="H10" s="3018"/>
      <c r="I10" s="3018"/>
    </row>
    <row r="11" spans="1:9" ht="15">
      <c r="A11" s="3016" t="s">
        <v>1641</v>
      </c>
      <c r="B11" s="3016"/>
      <c r="C11" s="3016"/>
      <c r="D11" s="3017" t="e">
        <f>结果表!D125</f>
        <v>#VALUE!</v>
      </c>
      <c r="E11" s="3017"/>
      <c r="F11" s="3017"/>
      <c r="G11" s="3017"/>
      <c r="H11" s="3017"/>
      <c r="I11" s="3017"/>
    </row>
    <row r="12" spans="1:9" ht="15.75">
      <c r="A12" s="3018" t="str">
        <f>结果表!A126</f>
        <v/>
      </c>
      <c r="B12" s="3018"/>
      <c r="C12" s="3018"/>
      <c r="D12" s="3018" t="str">
        <f>结果表!D126</f>
        <v>——</v>
      </c>
      <c r="E12" s="3018"/>
      <c r="F12" s="3018"/>
      <c r="G12" s="3018"/>
      <c r="H12" s="3018"/>
      <c r="I12" s="3018"/>
    </row>
    <row r="13" spans="1:9" ht="15.75" thickBot="1">
      <c r="A13" s="3022" t="s">
        <v>1641</v>
      </c>
      <c r="B13" s="3022"/>
      <c r="C13" s="3022"/>
      <c r="D13" s="3023" t="e">
        <f>结果表!D127</f>
        <v>#VALUE!</v>
      </c>
      <c r="E13" s="3023"/>
      <c r="F13" s="3023"/>
      <c r="G13" s="3023"/>
      <c r="H13" s="3023"/>
      <c r="I13" s="3023"/>
    </row>
    <row r="14" spans="1:9" ht="15" thickTop="1">
      <c r="A14" s="3024" t="s">
        <v>1646</v>
      </c>
      <c r="B14" s="3024"/>
      <c r="C14" s="3024"/>
      <c r="D14" s="3024"/>
      <c r="E14" s="3024"/>
      <c r="F14" s="3024"/>
      <c r="G14" s="3024"/>
      <c r="H14" s="3024"/>
      <c r="I14" s="3024"/>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25" t="s">
        <v>1663</v>
      </c>
      <c r="B1" s="3025"/>
      <c r="C1" s="3025"/>
      <c r="D1" s="3025"/>
    </row>
    <row r="2" spans="1:4" ht="18">
      <c r="A2" s="3026" t="s">
        <v>1647</v>
      </c>
      <c r="B2" s="3026"/>
      <c r="C2" s="3026"/>
      <c r="D2" s="3026"/>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26" t="s">
        <v>1653</v>
      </c>
      <c r="B6" s="3026"/>
      <c r="C6" s="3026"/>
      <c r="D6" s="3026"/>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27" t="s">
        <v>1656</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1" t="s">
        <v>1657</v>
      </c>
      <c r="B16" s="3031"/>
      <c r="C16" s="3031"/>
      <c r="D16" s="3031"/>
    </row>
    <row r="17" spans="1:4" ht="144" customHeight="1">
      <c r="A17" s="3031" t="s">
        <v>1658</v>
      </c>
      <c r="B17" s="3031"/>
      <c r="C17" s="3031"/>
      <c r="D17" s="3031"/>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1659</v>
      </c>
      <c r="B22" s="3033"/>
      <c r="C22" s="3033"/>
      <c r="D22" s="3033"/>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39" t="s">
        <v>1670</v>
      </c>
      <c r="B15" s="3034" t="s">
        <v>136</v>
      </c>
      <c r="C15" s="3035"/>
    </row>
    <row r="16" spans="1:7" ht="13.5">
      <c r="A16" s="3040"/>
      <c r="B16" s="3034" t="s">
        <v>69</v>
      </c>
      <c r="C16" s="3035"/>
    </row>
    <row r="17" spans="1:3" ht="13.5">
      <c r="A17" s="3040"/>
      <c r="B17" s="3037" t="s">
        <v>1671</v>
      </c>
      <c r="C17" s="1998" t="s">
        <v>1670</v>
      </c>
    </row>
    <row r="18" spans="1:3" ht="13.5">
      <c r="A18" s="3040"/>
      <c r="B18" s="3037"/>
      <c r="C18" s="1998" t="s">
        <v>1672</v>
      </c>
    </row>
    <row r="19" spans="1:3" ht="13.5">
      <c r="A19" s="3040"/>
      <c r="B19" s="3037"/>
      <c r="C19" s="1998" t="s">
        <v>1673</v>
      </c>
    </row>
    <row r="20" spans="1:3" ht="13.5">
      <c r="A20" s="3041"/>
      <c r="B20" s="3036" t="s">
        <v>1674</v>
      </c>
      <c r="C20" s="3035"/>
    </row>
    <row r="21" spans="1:3" ht="13.5">
      <c r="A21" s="1999" t="s">
        <v>1675</v>
      </c>
      <c r="B21" s="2000"/>
      <c r="C21" s="2001"/>
    </row>
    <row r="22" spans="1:3" ht="13.5">
      <c r="A22" s="3038" t="s">
        <v>1676</v>
      </c>
      <c r="B22" s="3036" t="s">
        <v>1677</v>
      </c>
      <c r="C22" s="3035"/>
    </row>
    <row r="23" spans="1:3" ht="13.5">
      <c r="A23" s="3038"/>
      <c r="B23" s="3036" t="s">
        <v>1678</v>
      </c>
      <c r="C23" s="3035"/>
    </row>
    <row r="24" spans="1:3" ht="13.5">
      <c r="A24" s="3038"/>
      <c r="B24" s="3036" t="s">
        <v>1679</v>
      </c>
      <c r="C24" s="3035"/>
    </row>
    <row r="25" spans="1:3" ht="13.5">
      <c r="A25" s="3038"/>
      <c r="B25" s="3037" t="s">
        <v>1680</v>
      </c>
      <c r="C25" s="1998" t="s">
        <v>1681</v>
      </c>
    </row>
    <row r="26" spans="1:3" ht="13.5">
      <c r="A26" s="3038"/>
      <c r="B26" s="3037"/>
      <c r="C26" s="1998" t="s">
        <v>1682</v>
      </c>
    </row>
    <row r="27" spans="1:3" ht="13.5">
      <c r="A27" s="3038"/>
      <c r="B27" s="3037"/>
      <c r="C27" s="1998" t="s">
        <v>1683</v>
      </c>
    </row>
    <row r="28" spans="1:3" ht="13.5">
      <c r="A28" s="3038"/>
      <c r="B28" s="3037"/>
      <c r="C28" s="1998" t="s">
        <v>1684</v>
      </c>
    </row>
    <row r="29" spans="1:3" ht="13.5">
      <c r="A29" s="3038"/>
      <c r="B29" s="3037"/>
      <c r="C29" s="1998" t="s">
        <v>1685</v>
      </c>
    </row>
    <row r="30" spans="1:3" ht="13.5">
      <c r="A30" s="3038"/>
      <c r="B30" s="3037"/>
      <c r="C30" s="1998" t="s">
        <v>1686</v>
      </c>
    </row>
    <row r="31" spans="1:3" ht="13.5">
      <c r="A31" s="3038"/>
      <c r="B31" s="3037"/>
      <c r="C31" s="1998" t="s">
        <v>1687</v>
      </c>
    </row>
    <row r="32" spans="1:3" ht="13.5">
      <c r="A32" s="3038"/>
      <c r="B32" s="3037"/>
      <c r="C32" s="1998" t="s">
        <v>1688</v>
      </c>
    </row>
    <row r="33" spans="1:3" ht="13.5">
      <c r="A33" s="3038"/>
      <c r="B33" s="3037"/>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43136</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42" t="s">
        <v>846</v>
      </c>
      <c r="B25" s="3042"/>
      <c r="C25" s="3042"/>
      <c r="D25" s="3042"/>
      <c r="E25" s="3042"/>
      <c r="F25" s="3042"/>
      <c r="G25" s="3042"/>
    </row>
    <row r="26" spans="1:7" s="1027" customFormat="1" ht="24" customHeight="1">
      <c r="A26" s="3043" t="s">
        <v>847</v>
      </c>
      <c r="B26" s="3043"/>
      <c r="C26" s="3044"/>
      <c r="D26" s="3045" t="s">
        <v>848</v>
      </c>
      <c r="E26" s="3043"/>
      <c r="F26" s="3043"/>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8">
        <v>44377</v>
      </c>
    </row>
    <row r="29" spans="1:7" s="1029" customFormat="1" ht="24" customHeight="1">
      <c r="A29" s="1030"/>
      <c r="B29" s="1030"/>
      <c r="C29" s="2349"/>
      <c r="D29" s="2351" t="s">
        <v>856</v>
      </c>
      <c r="E29" s="1201" t="s">
        <v>1384</v>
      </c>
      <c r="F29" s="1202">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收益法-已出租</vt:lpstr>
      <vt:lpstr>收益法-未出租</vt:lpstr>
      <vt:lpstr>比较法-租金</vt:lpstr>
      <vt:lpstr>成本法（废）</vt:lpstr>
      <vt:lpstr>区片价</vt:lpstr>
      <vt:lpstr>因素修正幅度</vt:lpstr>
      <vt:lpstr>存贷款利率</vt:lpstr>
      <vt:lpstr>区片价（范围）</vt:lpstr>
      <vt:lpstr>案例</vt:lpstr>
      <vt:lpstr>租赁情况</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2018-01-31T06:49:33Z</cp:lastPrinted>
  <dcterms:created xsi:type="dcterms:W3CDTF">2015-07-13T07:17:23Z</dcterms:created>
  <dcterms:modified xsi:type="dcterms:W3CDTF">2018-02-05T07:40:17Z</dcterms:modified>
</cp:coreProperties>
</file>