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B14" i="74" l="1"/>
  <c r="D5" i="31" l="1"/>
  <c r="F5" i="31"/>
  <c r="C5" i="31"/>
  <c r="I42" i="21"/>
  <c r="G42" i="21"/>
  <c r="E42" i="21"/>
  <c r="I47" i="21" l="1"/>
  <c r="G47" i="21"/>
  <c r="E47" i="21"/>
  <c r="I33" i="21"/>
  <c r="G33" i="21"/>
  <c r="E33" i="21"/>
  <c r="E26" i="21"/>
  <c r="I27" i="21"/>
  <c r="G27" i="21"/>
  <c r="E27" i="21"/>
  <c r="I7" i="21"/>
  <c r="G7" i="21"/>
  <c r="E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12" i="76"/>
  <c r="M8" i="15"/>
  <c r="F9" i="15"/>
  <c r="C76" i="67"/>
  <c r="E11" i="76"/>
  <c r="M24" i="67"/>
  <c r="F6" i="67"/>
  <c r="M24" i="15"/>
  <c r="M26" i="15"/>
  <c r="L48" i="67"/>
  <c r="F43" i="15"/>
  <c r="F13" i="67"/>
  <c r="F7" i="67"/>
  <c r="F13" i="15"/>
  <c r="F38" i="15"/>
  <c r="B9" i="76"/>
  <c r="B10" i="76"/>
  <c r="J15" i="15"/>
  <c r="F37" i="15"/>
  <c r="D5" i="73"/>
  <c r="L47" i="67"/>
  <c r="M23" i="15"/>
  <c r="M22" i="15"/>
  <c r="M6" i="15"/>
  <c r="M26" i="67"/>
  <c r="M9" i="15"/>
  <c r="F16" i="67"/>
  <c r="M9" i="67"/>
  <c r="L48" i="15"/>
  <c r="F5" i="73"/>
  <c r="F20" i="31"/>
  <c r="F26" i="67"/>
  <c r="D7" i="73"/>
  <c r="F36" i="67"/>
  <c r="B7" i="76"/>
  <c r="F38" i="67"/>
  <c r="E2" i="69"/>
  <c r="B11" i="76"/>
  <c r="D35" i="9"/>
  <c r="F40" i="15"/>
  <c r="F26" i="15"/>
  <c r="E9" i="76"/>
  <c r="B13" i="76"/>
  <c r="F42" i="15"/>
  <c r="F8" i="15"/>
  <c r="J15" i="67"/>
  <c r="M28" i="15"/>
  <c r="F42" i="67"/>
  <c r="F37" i="67"/>
  <c r="M22" i="67"/>
  <c r="M8" i="67"/>
  <c r="F7" i="15"/>
  <c r="D3" i="73"/>
  <c r="D34" i="9"/>
  <c r="F40" i="67"/>
  <c r="B12" i="76"/>
  <c r="B8" i="76"/>
  <c r="M29" i="15"/>
  <c r="L47" i="15"/>
  <c r="F36" i="15"/>
  <c r="M23" i="67"/>
  <c r="E8" i="76"/>
  <c r="F9" i="67"/>
  <c r="E2" i="68"/>
  <c r="E7" i="76"/>
  <c r="F8" i="67"/>
  <c r="C76" i="15"/>
  <c r="F43" i="67"/>
  <c r="F4" i="73"/>
  <c r="M6" i="67"/>
  <c r="E13" i="76"/>
  <c r="F16" i="15"/>
  <c r="F3" i="73"/>
  <c r="F6" i="73"/>
  <c r="F6" i="15"/>
  <c r="M29" i="67"/>
  <c r="E10" i="76"/>
  <c r="M28" i="67"/>
  <c r="F7" i="73"/>
  <c r="AO13" i="1"/>
  <c r="M18" i="15" l="1"/>
  <c r="M18" i="67"/>
  <c r="F30" i="11"/>
  <c r="C48" i="11" s="1"/>
  <c r="F54" i="9"/>
  <c r="F32" i="15"/>
  <c r="F60" i="15" s="1"/>
  <c r="F52" i="9"/>
  <c r="F30" i="68"/>
  <c r="F48" i="68" s="1"/>
  <c r="R27" i="31"/>
  <c r="S27" i="31" s="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72" i="3"/>
  <c r="E54" i="3"/>
  <c r="E111" i="3"/>
  <c r="E168" i="3"/>
  <c r="E150" i="3"/>
  <c r="E208" i="3"/>
  <c r="E279" i="3"/>
  <c r="E257" i="3"/>
  <c r="E351" i="3"/>
  <c r="E357" i="3"/>
  <c r="E318"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D4" i="73"/>
  <c r="C16" i="15"/>
  <c r="C16" i="67"/>
  <c r="G1" i="73"/>
  <c r="N94" i="46" l="1"/>
  <c r="N370" i="46"/>
  <c r="E26" i="43"/>
  <c r="D26" i="43" s="1"/>
  <c r="C25" i="43" s="1"/>
  <c r="H26" i="43"/>
  <c r="J26" i="43"/>
  <c r="C30" i="11"/>
  <c r="C48" i="68"/>
  <c r="E580" i="3"/>
  <c r="E362" i="3"/>
  <c r="E394" i="3"/>
  <c r="E315" i="3"/>
  <c r="E274" i="3"/>
  <c r="E214" i="3"/>
  <c r="E256" i="3"/>
  <c r="E171" i="3"/>
  <c r="E203" i="3"/>
  <c r="E146" i="3"/>
  <c r="E73" i="3"/>
  <c r="E106" i="3"/>
  <c r="E55" i="3"/>
  <c r="E496" i="3"/>
  <c r="E429" i="3"/>
  <c r="AE6" i="3"/>
  <c r="E344" i="3"/>
  <c r="E424" i="3"/>
  <c r="E481" i="3"/>
  <c r="E437" i="3"/>
  <c r="Q6" i="3"/>
  <c r="E330" i="3"/>
  <c r="E177" i="3"/>
  <c r="E120" i="3"/>
  <c r="E262" i="3"/>
  <c r="E128" i="3"/>
  <c r="E434" i="3"/>
  <c r="E238" i="3"/>
  <c r="E156"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AA33" i="21" l="1"/>
  <c r="S33" i="21"/>
  <c r="AB33" i="21"/>
  <c r="U33" i="21"/>
  <c r="AC33" i="21"/>
  <c r="W33" i="21"/>
  <c r="C25" i="11"/>
  <c r="C22" i="11" s="1"/>
  <c r="C31" i="11"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R22" i="31" l="1"/>
  <c r="D14" i="74"/>
  <c r="B20" i="31"/>
  <c r="B21" i="31" s="1"/>
  <c r="C102" i="9"/>
  <c r="C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C20" i="9"/>
  <c r="D2" i="34"/>
  <c r="D19" i="9"/>
  <c r="D2" i="35"/>
  <c r="G19" i="9" l="1"/>
  <c r="G21" i="9" s="1"/>
  <c r="D102" i="9"/>
  <c r="D21" i="9"/>
  <c r="D22" i="9"/>
  <c r="C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D20" i="9"/>
  <c r="AO6" i="1"/>
  <c r="AO9" i="1"/>
  <c r="AO10" i="1"/>
  <c r="AO7" i="1"/>
  <c r="AO8" i="1"/>
  <c r="AO12" i="1"/>
  <c r="G20" i="9" l="1"/>
  <c r="C32" i="9" s="1"/>
  <c r="C35" i="9" s="1"/>
  <c r="C34" i="9" s="1"/>
  <c r="D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B1" i="74" l="1"/>
  <c r="E14" i="74"/>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<sst xmlns="http://schemas.openxmlformats.org/spreadsheetml/2006/main" count="7845" uniqueCount="3440">
  <si>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</si>
  <si>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</si>
  <si>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</si>
  <si>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</si>
  <si>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</si>
  <si>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</si>
  <si>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</si>
  <si>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</si>
  <si>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</si>
  <si>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</si>
  <si>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</si>
  <si>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</si>
  <si>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</si>
  <si>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</si>
  <si>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</si>
  <si>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</si>
  <si>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</si>
  <si>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</si>
  <si>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</si>
  <si>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</si>
  <si>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</si>
  <si>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</si>
  <si>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</si>
  <si>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</si>
  <si>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</si>
  <si>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</si>
  <si>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</si>
  <si>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</si>
  <si>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</si>
  <si>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</si>
  <si>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</si>
  <si>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</si>
  <si>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</si>
  <si>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</si>
  <si>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</si>
  <si>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</si>
  <si>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</si>
  <si>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</si>
  <si>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</si>
  <si>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</si>
  <si>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</si>
  <si>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</si>
  <si>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</si>
  <si>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</si>
  <si>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</si>
  <si>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</si>
  <si>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</si>
  <si>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</si>
  <si>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</si>
  <si>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</si>
  <si>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</si>
  <si>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</si>
  <si>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</si>
  <si>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</si>
  <si>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</si>
  <si>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</si>
  <si>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</si>
  <si>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</si>
  <si>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</si>
  <si>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</si>
  <si>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</si>
  <si>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</si>
  <si>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</si>
  <si>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</si>
  <si>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</si>
  <si>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</si>
  <si>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</si>
  <si>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</si>
  <si>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</si>
  <si>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</si>
  <si>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</si>
  <si>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</si>
  <si>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</si>
  <si>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</si>
  <si>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</si>
  <si>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</si>
  <si>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</si>
  <si>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</si>
  <si>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</si>
  <si>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</si>
  <si>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</si>
  <si>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</si>
  <si>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</si>
  <si>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</si>
  <si>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</si>
  <si>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</si>
  <si>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</si>
  <si>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</si>
  <si>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</si>
  <si>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</si>
  <si>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</si>
  <si>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</si>
  <si>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</si>
  <si>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</si>
  <si>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</si>
  <si>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</si>
  <si>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</si>
  <si>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</si>
  <si>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</si>
  <si>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</si>
  <si>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</si>
  <si>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</si>
  <si>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</si>
  <si>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</si>
  <si>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</si>
  <si>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</si>
  <si>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</si>
  <si>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</si>
  <si>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</si>
  <si>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</si>
  <si>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</si>
  <si>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</si>
  <si>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</si>
  <si>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</si>
  <si>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</si>
  <si>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</si>
  <si>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</si>
  <si>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</si>
  <si>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</si>
  <si>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</si>
  <si>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</si>
  <si>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</si>
  <si>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</si>
  <si>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</si>
  <si>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</si>
  <si>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</si>
  <si>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</si>
  <si>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</si>
  <si>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</si>
  <si>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</si>
  <si>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</si>
  <si>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</si>
  <si>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</si>
  <si>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</si>
  <si>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</si>
  <si>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</si>
  <si>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</si>
  <si>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</si>
  <si>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</si>
  <si>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</si>
  <si>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</si>
  <si>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</si>
  <si>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</si>
  <si>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</si>
  <si>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</si>
  <si>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</si>
  <si>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</si>
  <si>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</si>
  <si>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</si>
  <si>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</si>
  <si>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</si>
  <si>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</si>
  <si>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</si>
  <si>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</si>
  <si>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</si>
  <si>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</si>
  <si>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</si>
  <si>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</si>
  <si>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</si>
  <si>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</si>
  <si>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</si>
  <si>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</si>
  <si>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</si>
  <si>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</si>
  <si>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</si>
  <si>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</si>
  <si>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</si>
  <si>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</si>
  <si>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</si>
  <si>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</si>
  <si>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</si>
  <si>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</si>
  <si>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</si>
  <si>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</si>
  <si>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</si>
  <si>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</si>
  <si>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</si>
  <si>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</si>
  <si>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</si>
  <si>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</si>
  <si>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</si>
  <si>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</si>
  <si>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</si>
  <si>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</si>
  <si>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</si>
  <si>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</si>
  <si>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</si>
  <si>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</si>
  <si>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</si>
  <si>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</si>
  <si>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</si>
  <si>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</si>
  <si>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</si>
  <si>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</si>
  <si>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</si>
  <si>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</si>
  <si>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</si>
  <si>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</si>
  <si>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</si>
  <si>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</si>
  <si>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</si>
  <si>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</si>
  <si>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</si>
  <si>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</si>
  <si>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</si>
  <si>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</si>
  <si>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</si>
  <si>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</si>
  <si>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</si>
  <si>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</si>
  <si>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</si>
  <si>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</si>
  <si>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</si>
  <si>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</si>
  <si>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</si>
  <si>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</si>
  <si>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</si>
  <si>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</si>
  <si>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</si>
  <si>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</si>
  <si>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</si>
  <si>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</si>
  <si>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</si>
  <si>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</si>
  <si>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</si>
  <si>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</si>
  <si>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</si>
  <si>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</si>
  <si>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</si>
  <si>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</si>
  <si>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</si>
  <si>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</si>
  <si>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</si>
  <si>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</si>
  <si>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</si>
  <si>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</si>
  <si>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</si>
  <si>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</si>
  <si>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</si>
  <si>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</si>
  <si>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</si>
  <si>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</si>
  <si>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</si>
  <si>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</si>
  <si>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</si>
  <si>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</si>
  <si>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</si>
  <si>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</si>
  <si>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</si>
  <si>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</si>
  <si>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</si>
  <si>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</si>
  <si>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</si>
  <si>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</si>
  <si>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</si>
  <si>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</si>
  <si>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</si>
  <si>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</si>
  <si>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</si>
  <si>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</si>
  <si>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</si>
  <si>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</si>
  <si>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</si>
  <si>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</si>
  <si>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</si>
  <si>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</si>
  <si>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</si>
  <si>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</si>
  <si>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</si>
  <si>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</si>
  <si>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</si>
  <si>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</si>
  <si>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</si>
  <si>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</si>
  <si>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</si>
  <si>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</si>
  <si>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</si>
  <si>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</si>
  <si>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</si>
  <si>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</si>
  <si>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</si>
  <si>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</si>
  <si>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</si>
  <si>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</si>
  <si>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</si>
  <si>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</si>
  <si>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</si>
  <si>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</si>
  <si>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</si>
  <si>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</si>
  <si>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</si>
  <si>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</si>
  <si>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</si>
  <si>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</si>
  <si>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</si>
  <si>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</si>
  <si>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</si>
  <si>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</si>
  <si>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</si>
  <si>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</si>
  <si>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</si>
  <si>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</si>
  <si>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</si>
  <si>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</si>
  <si>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</si>
  <si>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</si>
  <si>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</si>
  <si>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</si>
  <si>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</si>
  <si>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</si>
  <si>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</si>
  <si>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</si>
  <si>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</si>
  <si>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</si>
  <si>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</si>
  <si>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</si>
  <si>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</si>
  <si>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</si>
  <si>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</si>
  <si>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</si>
  <si>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</si>
  <si>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</si>
  <si>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</si>
  <si>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</si>
  <si>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</si>
  <si>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</si>
  <si>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</si>
  <si>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</si>
  <si>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</si>
  <si>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</si>
  <si>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</si>
  <si>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</si>
  <si>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</si>
  <si>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</si>
  <si>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</si>
  <si>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</si>
  <si>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</si>
  <si>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</si>
  <si>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</si>
  <si>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</si>
  <si>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</si>
  <si>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</si>
  <si>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</si>
  <si>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</si>
  <si>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</si>
  <si>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</si>
  <si>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</si>
  <si>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</si>
  <si>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</si>
  <si>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</si>
  <si>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</si>
  <si>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</si>
  <si>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</si>
  <si>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</si>
  <si>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</si>
  <si>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</si>
  <si>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</si>
  <si>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</si>
  <si>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</si>
  <si>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</si>
  <si>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</si>
  <si>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</si>
  <si>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</si>
  <si>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</si>
  <si>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</si>
  <si>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</si>
  <si>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</si>
  <si>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</si>
  <si>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</si>
  <si>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</si>
  <si>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</si>
  <si>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</si>
  <si>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</si>
  <si>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</si>
  <si>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</si>
  <si>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</si>
  <si>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</si>
  <si>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</si>
  <si>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</si>
  <si>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</si>
  <si>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</si>
  <si>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</si>
  <si>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</si>
  <si>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</si>
  <si>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</si>
  <si>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</si>
  <si>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</si>
  <si>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</si>
  <si>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</si>
  <si>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</si>
  <si>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</si>
  <si>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</si>
  <si>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</si>
  <si>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</si>
  <si>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</si>
  <si>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</si>
  <si>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</si>
  <si>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</si>
  <si>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</si>
  <si>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</si>
  <si>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</si>
  <si>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</si>
  <si>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</si>
  <si>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</si>
  <si>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</si>
  <si>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</si>
  <si>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</si>
  <si>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</si>
  <si>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</si>
  <si>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</si>
  <si>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</si>
  <si>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</si>
  <si>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</si>
  <si>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</si>
  <si>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</si>
  <si>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</si>
  <si>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</si>
  <si>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</si>
  <si>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</si>
  <si>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</si>
  <si>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</si>
  <si>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</si>
  <si>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</si>
  <si>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</si>
  <si>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</si>
  <si>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</si>
  <si>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</si>
  <si>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</si>
  <si>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</si>
  <si>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</si>
  <si>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</si>
  <si>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</si>
  <si>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</si>
  <si>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</si>
  <si>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</si>
  <si>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</si>
  <si>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</si>
  <si>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</si>
  <si>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</si>
  <si>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</si>
  <si>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</si>
  <si>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</si>
  <si>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</si>
  <si>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</si>
  <si>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</si>
  <si>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</si>
  <si>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</si>
  <si>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</si>
  <si>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</si>
  <si>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</si>
  <si>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</si>
  <si>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</si>
  <si>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</si>
  <si>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</si>
  <si>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</si>
  <si>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</si>
  <si>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</si>
  <si>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</si>
  <si>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</si>
  <si>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</si>
  <si>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</si>
  <si>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</si>
  <si>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</si>
  <si>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</si>
  <si>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</si>
  <si>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</si>
  <si>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</si>
  <si>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</si>
  <si>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</si>
  <si>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</si>
  <si>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</si>
  <si>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</si>
  <si>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</si>
  <si>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</si>
  <si>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</si>
  <si>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</si>
  <si>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</si>
  <si>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</si>
  <si>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</si>
  <si>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</si>
  <si>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</si>
  <si>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</si>
  <si>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</si>
  <si>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</si>
  <si>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</si>
  <si>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</si>
  <si>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</si>
  <si>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</si>
  <si>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</si>
  <si>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</si>
  <si>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</si>
  <si>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</si>
  <si>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</si>
  <si>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</si>
  <si>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</si>
  <si>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</si>
  <si>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</si>
  <si>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</si>
  <si>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</si>
  <si>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</si>
  <si>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</si>
  <si>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</si>
  <si>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</si>
  <si>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</si>
  <si>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</si>
  <si>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</si>
  <si>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</si>
  <si>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</si>
  <si>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</si>
  <si>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</si>
  <si>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</si>
  <si>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</si>
  <si>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</si>
  <si>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</si>
  <si>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</si>
  <si>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</si>
  <si>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</si>
  <si>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</si>
  <si>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</si>
  <si>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</si>
  <si>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</si>
  <si>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</si>
  <si>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</si>
  <si>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</si>
  <si>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</si>
  <si>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</si>
  <si>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</si>
  <si>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</si>
  <si>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</si>
  <si>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</si>
  <si>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</si>
  <si>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</si>
  <si>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</si>
  <si>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</si>
  <si>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</si>
  <si>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</si>
  <si>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</si>
  <si>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</si>
  <si>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</si>
  <si>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</si>
  <si>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</si>
  <si>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</si>
  <si>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</si>
  <si>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</si>
  <si>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</si>
  <si>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</si>
  <si>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</si>
  <si>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</si>
  <si>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</si>
  <si>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</si>
  <si>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</si>
  <si>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</si>
  <si>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</si>
  <si>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</si>
  <si>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</si>
  <si>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</si>
  <si>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</si>
  <si>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</si>
  <si>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</si>
  <si>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</si>
  <si>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</si>
  <si>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</si>
  <si>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</si>
  <si>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</si>
  <si>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</si>
  <si>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</si>
  <si>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</si>
  <si>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</si>
  <si>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</si>
  <si>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</si>
  <si>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</si>
  <si>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</si>
  <si>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</si>
  <si>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</si>
  <si>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</si>
  <si>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</si>
  <si>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</si>
  <si>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</si>
  <si>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</si>
  <si>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</si>
  <si>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</si>
  <si>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</si>
  <si>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</si>
  <si>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</si>
  <si>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</si>
  <si>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</si>
  <si>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</si>
  <si>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</si>
  <si>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</si>
  <si>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</si>
  <si>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</si>
  <si>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</si>
  <si>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</si>
  <si>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</si>
  <si>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</si>
  <si>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</si>
  <si>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</si>
  <si>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</si>
  <si>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</si>
  <si>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</si>
  <si>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</si>
  <si>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</si>
  <si>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</si>
  <si>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</si>
  <si>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</si>
  <si>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</si>
  <si>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</si>
  <si>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</si>
  <si>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</si>
  <si>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</si>
  <si>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</si>
  <si>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</si>
  <si>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</si>
  <si>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</si>
  <si>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</si>
  <si>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</si>
  <si>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</si>
  <si>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</si>
  <si>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</si>
  <si>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</si>
  <si>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</si>
  <si>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</si>
  <si>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</si>
  <si>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</si>
  <si>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</si>
  <si>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</si>
  <si>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</si>
  <si>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</si>
  <si>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</si>
  <si>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</si>
  <si>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</si>
  <si>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</si>
  <si>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</si>
  <si>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</si>
  <si>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</si>
  <si>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</si>
  <si>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</si>
  <si>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</si>
  <si>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</si>
  <si>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</si>
  <si>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</si>
  <si>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</si>
  <si>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</si>
  <si>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</si>
  <si>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</si>
  <si>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</si>
  <si>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</si>
  <si>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</si>
  <si>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</si>
  <si>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</si>
  <si>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</si>
  <si>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</si>
  <si>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</si>
  <si>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</si>
  <si>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</si>
  <si>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</si>
  <si>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</si>
  <si>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</si>
  <si>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</si>
  <si>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</si>
  <si>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</si>
  <si>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</si>
  <si>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</si>
  <si>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</si>
  <si>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</si>
  <si>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</si>
  <si>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</si>
  <si>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</si>
  <si>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</si>
  <si>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</si>
  <si>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</si>
  <si>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</si>
  <si>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</si>
  <si>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</si>
  <si>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</si>
  <si>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</si>
  <si>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</si>
  <si>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</si>
  <si>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</si>
  <si>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</si>
  <si>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</si>
  <si>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</si>
  <si>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</si>
  <si>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</si>
  <si>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</si>
  <si>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</si>
  <si>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</si>
  <si>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</si>
  <si>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</si>
  <si>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</si>
  <si>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</si>
  <si>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</si>
  <si>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</si>
  <si>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</si>
  <si>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</si>
  <si>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</si>
  <si>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</si>
  <si>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</si>
  <si>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</si>
  <si>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</si>
  <si>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</si>
  <si>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</si>
  <si>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</si>
  <si>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</si>
  <si>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</si>
  <si>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</si>
  <si>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</si>
  <si>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</si>
  <si>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</si>
  <si>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</si>
  <si>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</si>
  <si>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</si>
  <si>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</si>
  <si>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</si>
  <si>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</si>
  <si>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</si>
  <si>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</si>
  <si>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</si>
  <si>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</si>
  <si>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</si>
  <si>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</si>
  <si>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</si>
  <si>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</si>
  <si>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</si>
  <si>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</si>
  <si>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</si>
  <si>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</si>
  <si>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</si>
  <si>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</si>
  <si>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</si>
  <si>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</si>
  <si>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</si>
  <si>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</si>
  <si>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</si>
  <si>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</si>
  <si>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</si>
  <si>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</si>
  <si>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</si>
  <si>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</si>
  <si>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</si>
  <si>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</si>
  <si>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</si>
  <si>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</si>
  <si>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</si>
  <si>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</si>
  <si>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</si>
  <si>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</si>
  <si>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</si>
  <si>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</si>
  <si>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</si>
  <si>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</si>
  <si>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</si>
  <si>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</si>
  <si>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</si>
  <si>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</si>
  <si>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</si>
  <si>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</si>
  <si>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</si>
  <si>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</si>
  <si>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</si>
  <si>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</si>
  <si>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</si>
  <si>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</si>
  <si>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</si>
  <si>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</si>
  <si>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</si>
  <si>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</si>
  <si>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</si>
  <si>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</si>
  <si>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</si>
  <si>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</si>
  <si>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</si>
  <si>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</si>
  <si>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</si>
  <si>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</si>
  <si>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</si>
  <si>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</si>
  <si>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</si>
  <si>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</si>
  <si>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</si>
  <si>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</si>
  <si>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</si>
  <si>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</si>
  <si>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</si>
  <si>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</si>
  <si>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</si>
  <si>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</si>
  <si>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</si>
  <si>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</si>
  <si>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</si>
  <si>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</si>
  <si>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</si>
  <si>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</si>
  <si>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</si>
  <si>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</si>
  <si>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</si>
  <si>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</si>
  <si>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</si>
  <si>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</si>
  <si>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</si>
  <si>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</si>
  <si>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</si>
  <si>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</si>
  <si>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</si>
  <si>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</si>
  <si>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</si>
  <si>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</si>
  <si>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</si>
  <si>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</si>
  <si>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</si>
  <si>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</si>
  <si>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</si>
  <si>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</si>
  <si>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</si>
  <si>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</si>
  <si>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</si>
  <si>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</si>
  <si>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</si>
  <si>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</si>
  <si>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</si>
  <si>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</si>
  <si>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</si>
  <si>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</si>
  <si>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</si>
  <si>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</si>
  <si>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</si>
  <si>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</si>
  <si>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</si>
  <si>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</si>
  <si>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</si>
  <si>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</si>
  <si>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</si>
  <si>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</si>
  <si>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</si>
  <si>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</si>
  <si>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</si>
  <si>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</si>
  <si>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</si>
  <si>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</si>
  <si>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</si>
  <si>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</si>
  <si>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</si>
  <si>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</si>
  <si>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</si>
  <si>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</si>
  <si>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</si>
  <si>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</si>
  <si>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</si>
  <si>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</si>
  <si>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</si>
  <si>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</si>
  <si>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</si>
  <si>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</si>
  <si>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</si>
  <si>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</si>
  <si>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</si>
  <si>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</si>
  <si>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</si>
  <si>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</si>
  <si>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</si>
  <si>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</si>
  <si>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</si>
  <si>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</si>
  <si>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</si>
  <si>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</si>
  <si>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</si>
  <si>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</si>
  <si>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</si>
  <si>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</si>
  <si>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</si>
  <si>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</si>
  <si>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</si>
  <si>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</si>
  <si>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</si>
  <si>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</si>
  <si>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</si>
  <si>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</si>
  <si>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</si>
  <si>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</si>
  <si>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</si>
  <si>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</si>
  <si>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</si>
  <si>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</si>
  <si>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</si>
  <si>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</si>
  <si>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</si>
  <si>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</si>
  <si>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</si>
  <si>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</si>
  <si>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</si>
  <si>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</si>
  <si>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</si>
  <si>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</si>
  <si>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</si>
  <si>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</si>
  <si>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</si>
  <si>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</si>
  <si>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</si>
  <si>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</si>
  <si>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</si>
  <si>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</si>
  <si>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</si>
  <si>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</si>
  <si>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</si>
  <si>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</si>
  <si>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</si>
  <si>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</si>
  <si>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</si>
  <si>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</si>
  <si>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</si>
  <si>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</si>
  <si>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</si>
  <si>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</si>
  <si>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</si>
  <si>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</si>
  <si>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</si>
  <si>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</si>
  <si>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</si>
  <si>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</si>
  <si>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</si>
  <si>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</si>
  <si>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</si>
  <si>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</si>
  <si>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</si>
  <si>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</si>
  <si>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</si>
  <si>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</si>
  <si>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</si>
  <si>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</si>
  <si>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</si>
  <si>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</si>
  <si>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</si>
  <si>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</si>
  <si>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</si>
  <si>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</si>
  <si>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</si>
  <si>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</si>
  <si>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</si>
  <si>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</si>
  <si>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</si>
  <si>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</si>
  <si>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</si>
  <si>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</si>
  <si>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</si>
  <si>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</si>
  <si>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</si>
  <si>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</si>
  <si>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</si>
  <si>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</si>
  <si>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</si>
  <si>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</si>
  <si>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</si>
  <si>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</si>
  <si>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</si>
  <si>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</si>
  <si>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</si>
  <si>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</si>
  <si>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</si>
  <si>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</si>
  <si>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</si>
  <si>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</si>
  <si>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</si>
  <si>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</si>
  <si>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</si>
  <si>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</si>
  <si>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</si>
  <si>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</si>
  <si>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</si>
  <si>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</si>
  <si>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</si>
  <si>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</si>
  <si>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</si>
  <si>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</si>
  <si>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</si>
  <si>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</si>
  <si>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</si>
  <si>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</si>
  <si>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</si>
  <si>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</si>
  <si>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</si>
  <si>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</si>
  <si>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</si>
  <si>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</si>
  <si>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</si>
  <si>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</si>
  <si>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</si>
  <si>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</si>
  <si>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</si>
  <si>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</si>
  <si>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</si>
  <si>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</si>
  <si>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</si>
  <si>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</si>
  <si>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</si>
  <si>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</si>
  <si>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</si>
  <si>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</si>
  <si>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</si>
  <si>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</si>
  <si>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</si>
  <si>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</si>
  <si>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</si>
  <si>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</si>
  <si>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</si>
  <si>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</si>
  <si>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</si>
  <si>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</si>
  <si>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</si>
  <si>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</si>
  <si>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</si>
  <si>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</si>
  <si>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</si>
  <si>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</si>
  <si>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</si>
  <si>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</si>
  <si>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</si>
  <si>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</si>
  <si>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</si>
  <si>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</si>
  <si>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</si>
  <si>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</si>
  <si>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</si>
  <si>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</si>
  <si>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</si>
  <si>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</si>
  <si>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</si>
  <si>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</si>
  <si>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</si>
  <si>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</si>
  <si>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</si>
  <si>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</si>
  <si>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</si>
  <si>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</si>
  <si>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</si>
  <si>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</si>
  <si>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</si>
  <si>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</si>
  <si>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</si>
  <si>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</si>
  <si>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</si>
  <si>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</si>
  <si>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</si>
  <si>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</si>
  <si>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</si>
  <si>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</si>
  <si>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</si>
  <si>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</si>
  <si>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</si>
  <si>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</si>
  <si>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</si>
  <si>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</si>
  <si>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</si>
  <si>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</si>
  <si>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</si>
  <si>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</si>
  <si>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</si>
  <si>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</si>
  <si>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</si>
  <si>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</si>
  <si>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</si>
  <si>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</si>
  <si>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</si>
  <si>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</si>
  <si>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</si>
  <si>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</si>
  <si>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</si>
  <si>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</si>
  <si>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</si>
  <si>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</si>
  <si>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</si>
  <si>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</si>
  <si>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</si>
  <si>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</si>
  <si>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</si>
  <si>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</si>
  <si>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</si>
  <si>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</si>
  <si>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</si>
  <si>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</si>
  <si>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</si>
  <si>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</si>
  <si>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</si>
  <si>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</si>
  <si>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</si>
  <si>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</si>
  <si>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</si>
  <si>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</si>
  <si>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</si>
  <si>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</si>
  <si>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</si>
  <si>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</si>
  <si>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</si>
  <si>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</si>
  <si>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</si>
  <si>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</si>
  <si>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</si>
  <si>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</si>
  <si>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</si>
  <si>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</si>
  <si>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</si>
  <si>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</si>
  <si>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</si>
  <si>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</si>
  <si>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</si>
  <si>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</si>
  <si>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</si>
  <si>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</si>
  <si>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</si>
  <si>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</si>
  <si>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</si>
  <si>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</si>
  <si>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</si>
  <si>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</si>
  <si>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</si>
  <si>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</si>
  <si>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</si>
  <si>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</si>
  <si>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</si>
  <si>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</si>
  <si>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</si>
  <si>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</si>
  <si>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</si>
  <si>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</si>
  <si>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</si>
  <si>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</si>
  <si>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</si>
  <si>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</si>
  <si>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</si>
  <si>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</si>
  <si>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</si>
  <si>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</si>
  <si>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</si>
  <si>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</si>
  <si>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</si>
  <si>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</si>
  <si>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</si>
  <si>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</si>
  <si>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</si>
  <si>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</si>
  <si>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</si>
  <si>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</si>
  <si>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</si>
  <si>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</si>
  <si>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</si>
  <si>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</si>
  <si>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</si>
  <si>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</si>
  <si>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</si>
  <si>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</si>
  <si>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</si>
  <si>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</si>
  <si>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</si>
  <si>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</si>
  <si>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</si>
  <si>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</si>
  <si>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</si>
  <si>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</si>
  <si>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</si>
  <si>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</si>
  <si>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</si>
  <si>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</si>
  <si>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</si>
  <si>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</si>
  <si>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</si>
  <si>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</si>
  <si>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</si>
  <si>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</si>
  <si>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</si>
  <si>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</si>
  <si>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</si>
  <si>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</si>
  <si>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</si>
  <si>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</si>
  <si>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</si>
  <si>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</si>
  <si>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</si>
  <si>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</si>
  <si>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</si>
  <si>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</si>
  <si>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</si>
  <si>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</si>
  <si>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</si>
  <si>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</si>
  <si>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</si>
  <si>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</si>
  <si>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</si>
  <si>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</si>
  <si>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</si>
  <si>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</si>
  <si>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</si>
  <si>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</si>
  <si>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</si>
  <si>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</si>
  <si>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</si>
  <si>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</si>
  <si>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</si>
  <si>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</si>
  <si>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</si>
  <si>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</si>
  <si>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</si>
  <si>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</si>
  <si>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</si>
  <si>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</si>
  <si>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</si>
  <si>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</si>
  <si>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</si>
  <si>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</si>
  <si>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</si>
  <si>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</si>
  <si>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</si>
  <si>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</si>
  <si>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</si>
  <si>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</si>
  <si>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</si>
  <si>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</si>
  <si>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</si>
  <si>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</si>
  <si>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</si>
  <si>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</si>
  <si>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</si>
  <si>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</si>
  <si>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</si>
  <si>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</si>
  <si>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</si>
  <si>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</si>
  <si>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</si>
  <si>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</si>
  <si>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</si>
  <si>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</si>
  <si>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</si>
  <si>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</si>
  <si>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</si>
  <si>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</si>
  <si>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</si>
  <si>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</si>
  <si>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</si>
  <si>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</si>
  <si>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</si>
  <si>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</si>
  <si>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</si>
  <si>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</si>
  <si>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</si>
  <si>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</si>
  <si>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</si>
  <si>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</si>
  <si>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</si>
  <si>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</si>
  <si>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</si>
  <si>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</si>
  <si>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</si>
  <si>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</si>
  <si>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</si>
  <si>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</si>
  <si>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</si>
  <si>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</si>
  <si>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</si>
  <si>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</si>
  <si>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</si>
  <si>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</si>
  <si>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</si>
  <si>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</si>
  <si>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</si>
  <si>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</si>
  <si>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</si>
  <si>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</si>
  <si>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</si>
  <si>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</si>
  <si>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</si>
  <si>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</si>
  <si>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</si>
  <si>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</si>
  <si>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</si>
  <si>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</si>
  <si>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</si>
  <si>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</si>
  <si>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</si>
  <si>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</si>
  <si>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</si>
  <si>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</si>
  <si>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</si>
  <si>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</si>
  <si>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</si>
  <si>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</si>
  <si>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</si>
  <si>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</si>
  <si>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</si>
  <si>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</si>
  <si>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</si>
  <si>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</si>
  <si>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</si>
  <si>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</si>
  <si>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</si>
  <si>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</si>
  <si>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</si>
  <si>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</si>
  <si>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</si>
  <si>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</si>
  <si>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</si>
  <si>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</si>
  <si>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</si>
  <si>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</si>
  <si>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</si>
  <si>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</si>
  <si>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</si>
  <si>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</si>
  <si>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</si>
  <si>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</si>
  <si>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</si>
  <si>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</si>
  <si>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</si>
  <si>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</si>
  <si>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</si>
  <si>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</si>
  <si>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</si>
  <si>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</si>
  <si>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</si>
  <si>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</si>
  <si>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</si>
  <si>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</si>
  <si>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</si>
  <si>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</si>
  <si>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</si>
  <si>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</si>
  <si>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</si>
  <si>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</si>
  <si>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</si>
  <si>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</si>
  <si>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</si>
  <si>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</si>
  <si>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</si>
  <si>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</si>
  <si>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</si>
  <si>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</si>
  <si>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</si>
  <si>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</si>
  <si>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</si>
  <si>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</si>
  <si>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</si>
  <si>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</si>
  <si>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</si>
  <si>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</si>
  <si>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</si>
  <si>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</si>
  <si>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</si>
  <si>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</si>
  <si>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</si>
  <si>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</si>
  <si>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</si>
  <si>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</si>
  <si>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</si>
  <si>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</si>
  <si>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</si>
  <si>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</si>
  <si>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</si>
  <si>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</si>
  <si>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</si>
  <si>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</si>
  <si>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</si>
  <si>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</si>
  <si>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</si>
  <si>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</si>
  <si>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</si>
  <si>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</si>
  <si>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</si>
  <si>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</si>
  <si>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</si>
  <si>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</si>
  <si>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</si>
  <si>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</si>
  <si>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</si>
  <si>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</si>
  <si>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</si>
  <si>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</si>
  <si>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</si>
  <si>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</si>
  <si>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</si>
  <si>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</si>
  <si>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</si>
  <si>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</si>
  <si>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</si>
  <si>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</si>
  <si>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</si>
  <si>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</si>
  <si>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</si>
  <si>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</si>
  <si>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</si>
  <si>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</si>
  <si>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</si>
  <si>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</si>
  <si>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</si>
  <si>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</si>
  <si>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</si>
  <si>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</si>
  <si>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</si>
  <si>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</si>
  <si>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</si>
  <si>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</si>
  <si>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</si>
  <si>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</si>
  <si>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</si>
  <si>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</si>
  <si>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</si>
  <si>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</si>
  <si>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</si>
  <si>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</si>
  <si>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</si>
  <si>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</si>
  <si>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</si>
  <si>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</si>
  <si>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</si>
  <si>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</si>
  <si>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</si>
  <si>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</si>
  <si>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</si>
  <si>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</si>
  <si>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</si>
  <si>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</si>
  <si>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</si>
  <si>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</si>
  <si>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</si>
  <si>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</si>
  <si>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</si>
  <si>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</si>
  <si>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</si>
  <si>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</si>
  <si>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</si>
  <si>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</si>
  <si>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</si>
  <si>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</si>
  <si>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</si>
  <si>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</si>
  <si>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</si>
  <si>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</si>
  <si>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</si>
  <si>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</si>
  <si>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</si>
  <si>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</si>
  <si>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</si>
  <si>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</si>
  <si>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</si>
  <si>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</si>
  <si>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</si>
  <si>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</si>
  <si>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</si>
  <si>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</si>
  <si>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</si>
  <si>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</si>
  <si>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</si>
  <si>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</si>
  <si>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</si>
  <si>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</si>
  <si>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</si>
  <si>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</si>
  <si>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</si>
  <si>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</si>
  <si>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</si>
  <si>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</si>
  <si>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</si>
  <si>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</si>
  <si>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</si>
  <si>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</si>
  <si>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</si>
  <si>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</si>
  <si>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</si>
  <si>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</si>
  <si>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</si>
  <si>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</si>
  <si>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</si>
  <si>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</si>
  <si>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</si>
  <si>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</si>
  <si>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</si>
  <si>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</si>
  <si>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</si>
  <si>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</si>
  <si>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</si>
  <si>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</si>
  <si>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</si>
  <si>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</si>
  <si>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</si>
  <si>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</si>
  <si>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</si>
  <si>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</si>
  <si>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</si>
  <si>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</si>
  <si>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</si>
  <si>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</si>
  <si>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</si>
  <si>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</si>
  <si>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</si>
  <si>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</si>
  <si>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</si>
  <si>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</si>
  <si>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</si>
  <si>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</si>
  <si>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</si>
  <si>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</si>
  <si>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</si>
  <si>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</si>
  <si>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</si>
  <si>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</si>
  <si>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</si>
  <si>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</si>
  <si>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</si>
  <si>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</si>
  <si>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</si>
  <si>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</si>
  <si>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</si>
  <si>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</si>
  <si>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</si>
  <si>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</si>
  <si>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</si>
  <si>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</si>
  <si>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</si>
  <si>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</si>
  <si>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</si>
  <si>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</si>
  <si>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</si>
  <si>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</si>
  <si>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</si>
  <si>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</si>
  <si>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</si>
  <si>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</si>
  <si>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</si>
  <si>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</si>
  <si>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</si>
  <si>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</si>
  <si>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</si>
  <si>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</si>
  <si>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</si>
  <si>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</si>
  <si>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</si>
  <si>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</si>
  <si>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</si>
  <si>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</si>
  <si>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</si>
  <si>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</si>
  <si>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</si>
  <si>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</si>
  <si>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</si>
  <si>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</si>
  <si>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</si>
  <si>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</si>
  <si>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</si>
  <si>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</si>
  <si>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</si>
  <si>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</si>
  <si>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</si>
  <si>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</si>
  <si>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</si>
  <si>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</si>
  <si>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</si>
  <si>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</si>
  <si>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</si>
  <si>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</si>
  <si>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</si>
  <si>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</si>
  <si>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</si>
  <si>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</si>
  <si>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</si>
  <si>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</si>
  <si>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</si>
  <si>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</si>
  <si>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</si>
  <si>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</si>
  <si>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</si>
  <si>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</si>
  <si>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</si>
  <si>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</si>
  <si>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</si>
  <si>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</si>
  <si>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</si>
  <si>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</si>
  <si>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</si>
  <si>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</si>
  <si>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</si>
  <si>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</si>
  <si>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</si>
  <si>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</si>
  <si>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</si>
  <si>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</si>
  <si>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</si>
  <si>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</si>
  <si>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</si>
  <si>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</si>
  <si>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</si>
  <si>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</si>
  <si>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</si>
  <si>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</si>
  <si>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</si>
  <si>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</si>
  <si>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</si>
  <si>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</si>
  <si>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</si>
  <si>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</si>
  <si>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</si>
  <si>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</si>
  <si>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</si>
  <si>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</si>
  <si>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</si>
  <si>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</si>
  <si>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</si>
  <si>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</si>
  <si>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</si>
  <si>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</si>
  <si>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</si>
  <si>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</si>
  <si>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</si>
  <si>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</si>
  <si>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</si>
  <si>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</si>
  <si>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</si>
  <si>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</si>
  <si>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</si>
  <si>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</si>
  <si>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</si>
  <si>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</si>
  <si>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</si>
  <si>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</si>
  <si>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</si>
  <si>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</si>
  <si>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</si>
  <si>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</si>
  <si>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</si>
  <si>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</si>
  <si>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</si>
  <si>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</si>
  <si>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</si>
  <si>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</si>
  <si>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</si>
  <si>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</si>
  <si>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</si>
  <si>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</si>
  <si>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</si>
  <si>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</si>
  <si>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</si>
  <si>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</si>
  <si>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</si>
  <si>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</si>
  <si>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</si>
  <si>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</si>
  <si>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</si>
  <si>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</si>
  <si>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</si>
  <si>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</si>
  <si>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</si>
  <si>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</si>
  <si>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</si>
  <si>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</si>
  <si>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</si>
  <si>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</si>
  <si>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</si>
  <si>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</si>
  <si>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</si>
  <si>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</si>
  <si>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</si>
  <si>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</si>
  <si>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</si>
  <si>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</si>
  <si>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</si>
  <si>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</si>
  <si>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</si>
  <si>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</si>
  <si>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</si>
  <si>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</si>
  <si>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</si>
  <si>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</si>
  <si>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</si>
  <si>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</si>
  <si>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</si>
  <si>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</si>
  <si>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</si>
  <si>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</si>
  <si>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</si>
  <si>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</si>
  <si>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</si>
  <si>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</si>
  <si>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</si>
  <si>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</si>
  <si>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</si>
  <si>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</si>
  <si>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</si>
  <si>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</si>
  <si>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</si>
  <si>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</si>
  <si>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</si>
  <si>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</si>
  <si>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</si>
  <si>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</si>
  <si>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</si>
  <si>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</si>
  <si>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</si>
  <si>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</si>
  <si>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</si>
  <si>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</si>
  <si>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</si>
  <si>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</si>
  <si>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</si>
  <si>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</si>
  <si>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</si>
  <si>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</si>
  <si>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</si>
  <si>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</si>
  <si>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</si>
  <si>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</si>
  <si>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</si>
  <si>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</si>
  <si>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</si>
  <si>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</si>
  <si>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</si>
  <si>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</si>
  <si>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</si>
  <si>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</si>
  <si>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</si>
  <si>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</si>
  <si>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</si>
  <si>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</si>
  <si>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</si>
  <si>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</si>
  <si>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</si>
  <si>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</si>
  <si>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</si>
  <si>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</si>
  <si>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</si>
  <si>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</si>
  <si>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</si>
  <si>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</si>
  <si>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</si>
  <si>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</si>
  <si>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</si>
  <si>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</si>
  <si>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</si>
  <si>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</si>
  <si>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</si>
  <si>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</si>
  <si>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</si>
  <si>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</si>
  <si>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</si>
  <si>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</si>
  <si>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</si>
  <si>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</si>
  <si>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</si>
  <si>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</si>
  <si>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</si>
  <si>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</si>
  <si>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</si>
  <si>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</si>
  <si>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</si>
  <si>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</si>
  <si>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</si>
  <si>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</si>
  <si>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</si>
  <si>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</si>
  <si>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</si>
  <si>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</si>
  <si>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</si>
  <si>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</si>
  <si>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</si>
  <si>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</si>
  <si>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</si>
  <si>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</si>
  <si>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</si>
  <si>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</si>
  <si>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</si>
  <si>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</si>
  <si>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</si>
  <si>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</si>
  <si>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</si>
  <si>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</si>
  <si>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</si>
  <si>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</si>
  <si>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</si>
  <si>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</si>
  <si>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</si>
  <si>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</si>
  <si>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</si>
  <si>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</si>
  <si>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</si>
  <si>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</si>
  <si>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</si>
  <si>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</si>
  <si>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</si>
  <si>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</si>
  <si>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</si>
  <si>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</si>
  <si>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</si>
  <si>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</si>
  <si>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</si>
  <si>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</si>
  <si>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</si>
  <si>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</si>
  <si>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</si>
  <si>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</si>
  <si>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</si>
  <si>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</si>
  <si>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</si>
  <si>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</si>
  <si>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</si>
  <si>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</si>
  <si>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</si>
  <si>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</si>
  <si>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</si>
  <si>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</si>
  <si>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</si>
  <si>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</si>
  <si>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</si>
  <si>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</si>
  <si>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</si>
  <si>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</si>
  <si>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</si>
  <si>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</si>
  <si>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</si>
  <si>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</si>
  <si>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</si>
  <si>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</si>
  <si>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</si>
  <si>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</si>
  <si>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</si>
  <si>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</si>
  <si>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</si>
  <si>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</si>
  <si>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</si>
  <si>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</si>
  <si>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</si>
  <si>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</si>
  <si>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</si>
  <si>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</si>
  <si>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</si>
  <si>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</si>
  <si>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</si>
  <si>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</si>
  <si>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</si>
  <si>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</si>
  <si>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</si>
  <si>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</si>
  <si>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</si>
  <si>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</si>
  <si>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</si>
  <si>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</si>
  <si>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</si>
  <si>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</si>
  <si>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</si>
  <si>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</si>
  <si>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</si>
  <si>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</si>
  <si>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</si>
  <si>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</si>
  <si>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</si>
  <si>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</si>
  <si>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</si>
  <si>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</si>
  <si>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</si>
  <si>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</si>
  <si>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</si>
  <si>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</si>
  <si>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</si>
  <si>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</si>
  <si>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</si>
  <si>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</si>
  <si>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</si>
  <si>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</si>
  <si>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</si>
  <si>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</si>
  <si>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</si>
  <si>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</si>
  <si>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</si>
  <si>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</si>
  <si>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</si>
  <si>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</si>
  <si>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</si>
  <si>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</si>
  <si>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</si>
  <si>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</si>
  <si>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</si>
  <si>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</si>
  <si>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</si>
  <si>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</si>
  <si>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</si>
  <si>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</si>
  <si>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</si>
  <si>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</si>
  <si>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</si>
  <si>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</si>
  <si>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</si>
  <si>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</si>
  <si>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</si>
  <si>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</si>
  <si>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</si>
  <si>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</si>
  <si>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</si>
  <si>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</si>
  <si>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</si>
  <si>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</si>
  <si>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</si>
  <si>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</si>
  <si>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</si>
  <si>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</si>
  <si>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</si>
  <si>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</si>
  <si>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</si>
  <si>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</si>
  <si>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</si>
  <si>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</si>
  <si>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</si>
  <si>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</si>
  <si>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</si>
  <si>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</si>
  <si>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</si>
  <si>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</si>
  <si>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</si>
  <si>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</si>
  <si>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</si>
  <si>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</si>
  <si>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</si>
  <si>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</si>
  <si>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</si>
  <si>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</si>
  <si>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</si>
  <si>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</si>
  <si>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</si>
  <si>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</si>
  <si>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</si>
  <si>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</si>
  <si>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</si>
  <si>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</si>
  <si>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</si>
  <si>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</si>
  <si>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</si>
  <si>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</si>
  <si>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</si>
  <si>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</si>
  <si>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</si>
  <si>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</si>
  <si>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</si>
  <si>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</si>
  <si>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</si>
  <si>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</si>
  <si>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</si>
  <si>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</si>
  <si>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</si>
  <si>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</si>
  <si>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</si>
  <si>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</si>
  <si>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</si>
  <si>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</si>
  <si>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</si>
  <si>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</si>
  <si>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</si>
  <si>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</si>
  <si>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</si>
  <si>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</si>
  <si>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</si>
  <si>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</si>
  <si>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</si>
  <si>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</si>
  <si>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</si>
  <si>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</si>
  <si>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</si>
  <si>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</si>
  <si>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</si>
  <si>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</si>
  <si>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</si>
  <si>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</si>
  <si>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</si>
  <si>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</si>
  <si>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</si>
  <si>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</si>
  <si>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</si>
  <si>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</si>
  <si>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</si>
  <si>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</si>
  <si>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</si>
  <si>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</si>
  <si>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</si>
  <si>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</si>
  <si>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</si>
  <si>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</si>
  <si>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</si>
  <si>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</si>
  <si>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</si>
  <si>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</si>
  <si>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</si>
  <si>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</si>
  <si>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</si>
  <si>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</si>
  <si>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</si>
  <si>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</si>
  <si>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</si>
  <si>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</si>
  <si>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</si>
  <si>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</si>
  <si>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</si>
  <si>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</si>
  <si>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</si>
  <si>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</si>
  <si>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</si>
  <si>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</si>
  <si>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</si>
  <si>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</si>
  <si>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</si>
  <si>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</si>
  <si>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</si>
  <si>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</si>
  <si>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</si>
  <si>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</si>
  <si>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</si>
  <si>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</si>
  <si>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</si>
  <si>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</si>
  <si>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</si>
  <si>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</si>
  <si>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</si>
  <si>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</si>
  <si>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</si>
  <si>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</si>
  <si>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</si>
  <si>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</si>
  <si>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</si>
  <si>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</si>
  <si>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</si>
  <si>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</si>
  <si>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</si>
  <si>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</si>
  <si>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</si>
  <si>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</si>
  <si>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</si>
  <si>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</si>
  <si>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</si>
  <si>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</si>
  <si>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</si>
  <si>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</si>
  <si>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</si>
  <si>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</si>
  <si>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</si>
  <si>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</si>
  <si>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</si>
  <si>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</si>
  <si>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</si>
  <si>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</si>
  <si>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</si>
  <si>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</si>
  <si>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</si>
  <si>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</si>
  <si>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</si>
  <si>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</si>
  <si>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</si>
  <si>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</si>
  <si>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</si>
  <si>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</si>
  <si>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</si>
  <si>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</si>
  <si>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</si>
  <si>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</si>
  <si>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</si>
  <si>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</si>
  <si>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</si>
  <si>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</si>
  <si>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</si>
  <si>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</si>
  <si>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</si>
  <si>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</si>
  <si>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</si>
  <si>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</si>
  <si>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</si>
  <si>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</si>
  <si>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</si>
  <si>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</si>
  <si>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</si>
  <si>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</si>
  <si>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</si>
  <si>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</si>
  <si>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</si>
  <si>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</si>
  <si>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</si>
  <si>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</si>
  <si>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</si>
  <si>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</si>
  <si>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</si>
  <si>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</si>
  <si>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</si>
  <si>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</si>
  <si>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</si>
  <si>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</si>
  <si>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</si>
  <si>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</si>
  <si>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</si>
  <si>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</si>
  <si>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</si>
  <si>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</si>
  <si>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</si>
  <si>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</si>
  <si>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</si>
  <si>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</si>
  <si>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</si>
  <si>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</si>
  <si>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</si>
  <si>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</si>
  <si>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</si>
  <si>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</si>
  <si>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</si>
  <si>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</si>
  <si>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</si>
  <si>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</si>
  <si>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</si>
  <si>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</si>
  <si>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</si>
  <si>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</si>
  <si>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</si>
  <si>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</si>
  <si>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</si>
  <si>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</si>
  <si>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</si>
  <si>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</si>
  <si>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</si>
  <si>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</si>
  <si>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</si>
  <si>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</si>
  <si>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</si>
  <si>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</si>
  <si>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</si>
  <si>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</si>
  <si>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</si>
  <si>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</si>
  <si>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</si>
  <si>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</si>
  <si>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</si>
  <si>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</si>
  <si>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</si>
  <si>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</si>
  <si>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</si>
  <si>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</si>
  <si>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</si>
  <si>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</si>
  <si>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</si>
  <si>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</si>
  <si>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</si>
  <si>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</si>
  <si>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</si>
  <si>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</si>
  <si>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</si>
  <si>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</si>
  <si>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</si>
  <si>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</si>
  <si>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</si>
  <si>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</si>
  <si>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</si>
  <si>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</si>
  <si>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</si>
  <si>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</si>
  <si>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</si>
  <si>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</si>
  <si>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</si>
  <si>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</si>
  <si>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</si>
  <si>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</si>
  <si>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</si>
  <si>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</si>
  <si>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</si>
  <si>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</si>
  <si>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</si>
  <si>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</si>
  <si>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</si>
  <si>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</si>
  <si>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</si>
  <si>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</si>
  <si>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</si>
  <si>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</si>
  <si>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</si>
  <si>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</si>
  <si>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</si>
  <si>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</si>
  <si>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</si>
  <si>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</si>
  <si>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</si>
  <si>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</si>
  <si>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</si>
  <si>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</si>
  <si>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</si>
  <si>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</si>
  <si>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</si>
  <si>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</si>
  <si>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</si>
  <si>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</si>
  <si>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</si>
  <si>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</si>
  <si>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</si>
  <si>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</si>
  <si>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</si>
  <si>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</si>
  <si>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</si>
  <si>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</si>
  <si>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</si>
  <si>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</si>
  <si>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</si>
  <si>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</si>
  <si>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</si>
  <si>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</si>
  <si>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</si>
  <si>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</si>
  <si>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</si>
  <si>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</si>
  <si>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</si>
  <si>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</si>
  <si>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</si>
  <si>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</si>
  <si>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</si>
  <si>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</si>
  <si>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</si>
  <si>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</si>
  <si>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</si>
  <si>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</si>
  <si>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</si>
  <si>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</si>
  <si>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</si>
  <si>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</si>
  <si>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</si>
  <si>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</si>
  <si>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</si>
  <si>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</si>
  <si>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</si>
  <si>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</si>
  <si>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</si>
  <si>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</si>
  <si>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</si>
  <si>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</si>
  <si>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</si>
  <si>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</si>
  <si>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</si>
  <si>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</si>
  <si>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</si>
  <si>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</si>
  <si>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</si>
  <si>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</si>
  <si>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</si>
  <si>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</si>
  <si>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</si>
  <si>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</si>
  <si>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</si>
  <si>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</si>
  <si>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</si>
  <si>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</si>
  <si>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</si>
  <si>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</si>
  <si>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</si>
  <si>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</si>
  <si>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</si>
  <si>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</si>
  <si>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</si>
  <si>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</si>
  <si>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</si>
  <si>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</si>
  <si>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</si>
  <si>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</si>
  <si>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</si>
  <si>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</si>
  <si>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</si>
  <si>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</si>
  <si>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</si>
  <si>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</si>
  <si>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</si>
  <si>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</si>
  <si>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</si>
  <si>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</si>
  <si>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</si>
  <si>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</si>
  <si>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</si>
  <si>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</si>
  <si>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</si>
  <si>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</si>
  <si>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</si>
  <si>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</si>
  <si>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</si>
  <si>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</si>
  <si>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</si>
  <si>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</si>
  <si>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</si>
  <si>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</si>
  <si>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</si>
  <si>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</si>
  <si>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</si>
  <si>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</si>
  <si>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</si>
  <si>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</si>
  <si>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</si>
  <si>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</si>
  <si>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</si>
  <si>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</si>
  <si>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</si>
  <si>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</si>
  <si>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</si>
  <si>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</si>
  <si>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</si>
  <si>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</si>
  <si>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</si>
  <si>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</si>
  <si>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</si>
  <si>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</si>
  <si>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</si>
  <si>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</si>
  <si>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</si>
  <si>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</si>
  <si>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</si>
  <si>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</si>
  <si>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</si>
  <si>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</si>
  <si>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</si>
  <si>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</si>
  <si>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</si>
  <si>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</si>
  <si>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</si>
  <si>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</si>
  <si>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</si>
  <si>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</si>
  <si>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</si>
  <si>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</si>
  <si>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</si>
  <si>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</si>
  <si>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</si>
  <si>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</si>
  <si>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</si>
  <si>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</si>
  <si>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</si>
  <si>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</si>
  <si>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</si>
  <si>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</si>
  <si>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</si>
  <si>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</si>
  <si>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</si>
  <si>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</si>
  <si>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</si>
  <si>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</si>
  <si>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</si>
  <si>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</si>
  <si>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</si>
  <si>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</si>
  <si>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</si>
  <si>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</si>
  <si>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</si>
  <si>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</si>
  <si>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</si>
  <si>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</si>
  <si>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</si>
  <si>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</si>
  <si>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</si>
  <si>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</si>
  <si>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</si>
  <si>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</si>
  <si>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</si>
  <si>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</si>
  <si>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</si>
  <si>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</si>
  <si>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</si>
  <si>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</si>
  <si>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</si>
  <si>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</si>
  <si>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</si>
  <si>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</si>
  <si>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</si>
  <si>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</si>
  <si>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</si>
  <si>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</si>
  <si>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</si>
  <si>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</si>
  <si>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</si>
  <si>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</si>
  <si>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</si>
  <si>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</si>
  <si>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</si>
  <si>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</si>
  <si>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</si>
  <si>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</si>
  <si>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</si>
  <si>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</si>
  <si>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</si>
  <si>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</si>
  <si>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</si>
  <si>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</si>
  <si>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</si>
  <si>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</si>
  <si>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</si>
  <si>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</si>
  <si>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</si>
  <si>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</si>
  <si>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</si>
  <si>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</si>
  <si>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</si>
  <si>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</si>
  <si>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</si>
  <si>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</si>
  <si>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</si>
  <si>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</si>
  <si>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</si>
  <si>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</si>
  <si>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</si>
  <si>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</si>
  <si>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</si>
  <si>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</si>
  <si>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</si>
  <si>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</si>
  <si>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</si>
  <si>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</si>
  <si>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</si>
  <si>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</si>
  <si>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</si>
  <si>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</si>
  <si>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</si>
  <si>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</si>
  <si>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</si>
  <si>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</si>
  <si>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</si>
  <si>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</si>
  <si>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</si>
  <si>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</si>
  <si>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</si>
  <si>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</si>
  <si>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</si>
  <si>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</si>
  <si>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</si>
  <si>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</si>
  <si>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</si>
  <si>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</si>
  <si>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</si>
  <si>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</si>
  <si>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</si>
  <si>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</si>
  <si>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</si>
  <si>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</si>
  <si>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</si>
  <si>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</si>
  <si>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</si>
  <si>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</si>
  <si>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</si>
  <si>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</si>
  <si>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</si>
  <si>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</si>
  <si>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</si>
  <si>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</si>
  <si>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</si>
  <si>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</si>
  <si>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</si>
  <si>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</si>
  <si>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</si>
  <si>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</si>
  <si>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</si>
  <si>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</si>
  <si>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</si>
  <si>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</si>
  <si>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</si>
  <si>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</si>
  <si>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</si>
  <si>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</si>
  <si>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</si>
  <si>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</si>
  <si>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</si>
  <si>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</si>
  <si>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</si>
  <si>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</si>
  <si>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</si>
  <si>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</si>
  <si>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</si>
  <si>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</si>
  <si>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</si>
  <si>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</si>
  <si>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</si>
  <si>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</si>
  <si>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</si>
  <si>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</si>
  <si>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</si>
  <si>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</si>
  <si>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</si>
  <si>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</si>
  <si>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</si>
  <si>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</si>
  <si>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</si>
  <si>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</si>
  <si>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</si>
  <si>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</si>
  <si>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</si>
  <si>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</si>
  <si>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</si>
  <si>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</si>
  <si>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</si>
  <si>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</si>
  <si>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</si>
  <si>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</si>
  <si>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</si>
  <si>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</si>
  <si>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</si>
  <si>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</si>
  <si>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</si>
  <si>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</si>
  <si>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</si>
  <si>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</si>
  <si>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</si>
  <si>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</si>
  <si>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</si>
  <si>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</si>
  <si>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</si>
  <si>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</si>
  <si>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</si>
  <si>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</si>
  <si>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</si>
  <si>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</si>
  <si>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</si>
  <si>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</si>
  <si>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</si>
  <si>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</si>
  <si>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</si>
  <si>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</si>
  <si>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</si>
  <si>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</si>
  <si>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</si>
  <si>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</si>
  <si>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</si>
  <si>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</si>
  <si>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</si>
  <si>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</si>
  <si>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</si>
  <si>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</si>
  <si>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</si>
  <si>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</si>
  <si>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</si>
  <si>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</si>
  <si>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</si>
  <si>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</si>
  <si>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</si>
  <si>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</si>
  <si>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</si>
  <si>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</si>
  <si>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</si>
  <si>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</si>
  <si>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</si>
  <si>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</si>
  <si>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</si>
  <si>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</si>
  <si>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</si>
  <si>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</si>
  <si>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</si>
  <si>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</si>
  <si>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</si>
  <si>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</si>
  <si>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</si>
  <si>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</si>
  <si>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</si>
  <si>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</si>
  <si>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</si>
  <si>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</si>
  <si>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</si>
  <si>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</si>
  <si>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</si>
  <si>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</si>
  <si>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</si>
  <si>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</si>
  <si>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</si>
  <si>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</si>
  <si>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</si>
  <si>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</si>
  <si>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</si>
  <si>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</si>
  <si>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</si>
  <si>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</si>
  <si>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</si>
  <si>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</si>
  <si>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</si>
  <si>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</si>
  <si>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</si>
  <si>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</si>
  <si>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</si>
  <si>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</si>
  <si>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</si>
  <si>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</si>
  <si>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</si>
  <si>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</si>
  <si>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</si>
  <si>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</si>
  <si>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</si>
  <si>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</si>
  <si>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</si>
  <si>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</si>
  <si>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</si>
  <si>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</si>
  <si>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</si>
  <si>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</si>
  <si>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</si>
  <si>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</si>
  <si>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</si>
  <si>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</si>
  <si>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</si>
  <si>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</si>
  <si>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</si>
  <si>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</si>
  <si>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</si>
  <si>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</si>
  <si>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</si>
  <si>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</si>
  <si>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</si>
  <si>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</si>
  <si>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</si>
  <si>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</si>
  <si>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</si>
  <si>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</si>
  <si>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</si>
  <si>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</si>
  <si>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</si>
  <si>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</si>
  <si>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</si>
  <si>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</si>
  <si>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</si>
  <si>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</si>
  <si>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</si>
  <si>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</si>
  <si>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</si>
  <si>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</si>
  <si>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</si>
  <si>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</si>
  <si>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</si>
  <si>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</si>
  <si>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</si>
  <si>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</si>
  <si>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</si>
  <si>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</si>
  <si>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</si>
  <si>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</si>
  <si>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</si>
  <si>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</si>
  <si>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</si>
  <si>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</si>
  <si>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</si>
  <si>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</si>
  <si>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</si>
  <si>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</si>
  <si>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</si>
  <si>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</si>
  <si>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</si>
  <si>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</si>
  <si>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</si>
  <si>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</si>
  <si>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</si>
  <si>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</si>
  <si>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</si>
  <si>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</si>
  <si>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</si>
  <si>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</si>
  <si>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</si>
  <si>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</si>
  <si>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</si>
  <si>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</si>
  <si>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</si>
  <si>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</si>
  <si>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</si>
  <si>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</si>
  <si>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</si>
  <si>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</si>
  <si>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</si>
  <si>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</si>
  <si>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</si>
  <si>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</si>
  <si>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</si>
  <si>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</si>
  <si>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</si>
  <si>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</si>
  <si>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</si>
  <si>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</si>
  <si>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</si>
  <si>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</si>
  <si>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</si>
  <si>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</si>
  <si>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</si>
  <si>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</si>
  <si>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</si>
  <si>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</si>
  <si>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</si>
  <si>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</si>
  <si>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</si>
  <si>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</si>
  <si>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</si>
  <si>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</si>
  <si>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</si>
  <si>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</si>
  <si>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</si>
  <si>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</si>
  <si>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</si>
  <si>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</si>
  <si>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</si>
  <si>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</si>
  <si>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</si>
  <si>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</si>
  <si>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</si>
  <si>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</si>
  <si>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</si>
  <si>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</si>
  <si>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</si>
  <si>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</si>
  <si>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</si>
  <si>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</si>
  <si>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</si>
  <si>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</si>
  <si>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</si>
  <si>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</si>
  <si>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</si>
  <si>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</si>
  <si>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</si>
  <si>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</si>
  <si>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</si>
  <si>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</si>
  <si>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</si>
  <si>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</si>
  <si>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</si>
  <si>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</si>
  <si>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</si>
  <si>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</si>
  <si>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</si>
  <si>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</si>
  <si>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</si>
  <si>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</si>
  <si>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</si>
  <si>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</si>
  <si>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</si>
  <si>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</si>
  <si>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</si>
  <si>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</si>
  <si>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</si>
  <si>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</si>
  <si>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</si>
  <si>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</si>
  <si>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</si>
  <si>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</si>
  <si>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</si>
  <si>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</si>
  <si>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</si>
  <si>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</si>
  <si>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</si>
  <si>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</si>
  <si>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</si>
  <si>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</si>
  <si>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</si>
  <si>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</si>
  <si>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</si>
  <si>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</si>
  <si>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</si>
  <si>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</si>
  <si>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</si>
  <si>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</si>
  <si>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</si>
  <si>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</si>
  <si>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</si>
  <si>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</si>
  <si>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</si>
  <si>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</si>
  <si>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</si>
  <si>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</si>
  <si>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</si>
  <si>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</si>
  <si>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</si>
  <si>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</si>
  <si>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</si>
  <si>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</si>
  <si>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</si>
  <si>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</si>
  <si>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</si>
  <si>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</si>
  <si>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</si>
  <si>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</si>
  <si>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</si>
  <si>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</si>
  <si>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</si>
  <si>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</si>
  <si>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</si>
  <si>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</si>
  <si>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</si>
  <si>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</si>
  <si>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</si>
  <si>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</si>
  <si>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</si>
  <si>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</si>
  <si>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</si>
  <si>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</si>
  <si>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</si>
  <si>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</si>
  <si>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</si>
  <si>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</si>
  <si>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</si>
  <si>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</si>
  <si>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</si>
  <si>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</si>
  <si>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</si>
  <si>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</si>
  <si>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</si>
  <si>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</si>
  <si>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</si>
  <si>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</si>
  <si>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</si>
  <si>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</si>
  <si>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</si>
  <si>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</si>
  <si>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</si>
  <si>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</si>
  <si>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</si>
  <si>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</si>
  <si>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</si>
  <si>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</si>
  <si>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</si>
  <si>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</si>
  <si>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</si>
  <si>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</si>
  <si>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</si>
  <si>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</si>
  <si>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</si>
  <si>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</si>
  <si>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</si>
  <si>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</si>
  <si>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</si>
  <si>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</si>
  <si>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</si>
  <si>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</si>
  <si>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</si>
  <si>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</si>
  <si>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</si>
  <si>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</si>
  <si>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</si>
  <si>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</si>
  <si>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</si>
  <si>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</si>
  <si>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</si>
  <si>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</si>
  <si>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</si>
  <si>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</si>
  <si>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</si>
  <si>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</si>
  <si>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</si>
  <si>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</si>
  <si>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</si>
  <si>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</si>
  <si>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</si>
  <si>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</si>
  <si>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</si>
  <si>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</si>
  <si>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</si>
  <si>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</si>
  <si>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</si>
  <si>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</si>
  <si>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</si>
  <si>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</si>
  <si>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</si>
  <si>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</si>
  <si>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</si>
  <si>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</si>
  <si>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</si>
  <si>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</si>
  <si>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</si>
  <si>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</si>
  <si>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</si>
  <si>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</si>
  <si>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</si>
  <si>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</si>
  <si>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</si>
  <si>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</si>
  <si>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</si>
  <si>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</si>
  <si>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</si>
  <si>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</si>
  <si>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</si>
  <si>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</si>
  <si>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</si>
  <si>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</si>
  <si>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</si>
  <si>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</si>
  <si>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</si>
  <si>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</si>
  <si>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</si>
  <si>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</si>
  <si>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</si>
  <si>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</si>
  <si>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</si>
  <si>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</si>
  <si>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</si>
  <si>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</si>
  <si>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</si>
  <si>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</si>
  <si>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</si>
  <si>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</si>
  <si>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</si>
  <si>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</si>
  <si>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</si>
  <si>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</si>
  <si>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</si>
  <si>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</si>
  <si>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</si>
  <si>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</si>
  <si>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</si>
  <si>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</si>
  <si>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</si>
  <si>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</si>
  <si>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</si>
  <si>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</si>
  <si>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</si>
  <si>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</si>
  <si>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</si>
  <si>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</si>
  <si>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</si>
  <si>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</si>
  <si>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</si>
  <si>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</si>
  <si>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</si>
  <si>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</si>
  <si>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</si>
  <si>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</si>
  <si>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</si>
  <si>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</si>
  <si>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</si>
  <si>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</si>
  <si>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</si>
  <si>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</si>
  <si>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</si>
  <si>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</si>
  <si>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</si>
  <si>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</si>
  <si>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</si>
  <si>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</si>
  <si>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</si>
  <si>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</si>
  <si>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</si>
  <si>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</si>
  <si>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</si>
  <si>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</si>
  <si>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</si>
  <si>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</si>
  <si>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</si>
  <si>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</si>
  <si>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</si>
  <si>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</si>
  <si>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</si>
  <si>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</si>
  <si>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</si>
  <si>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</si>
  <si>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</si>
  <si>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</si>
  <si>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</si>
  <si>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</si>
  <si>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</si>
  <si>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</si>
  <si>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</si>
  <si>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</si>
  <si>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</si>
  <si>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</si>
  <si>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</si>
  <si>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</si>
  <si>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</si>
  <si>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</si>
  <si>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</si>
  <si>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</si>
  <si>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</si>
  <si>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</si>
  <si>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</si>
  <si>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</si>
  <si>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</si>
  <si>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</si>
  <si>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</si>
  <si>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</si>
  <si>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</si>
  <si>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</si>
  <si>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</si>
  <si>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</si>
  <si>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</si>
  <si>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</si>
  <si>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</si>
  <si>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</si>
  <si>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</si>
  <si>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</si>
  <si>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</si>
  <si>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</si>
  <si>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</si>
  <si>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</si>
  <si>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</si>
  <si>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</si>
  <si>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</si>
  <si>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</si>
  <si>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</si>
  <si>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</si>
  <si>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</si>
  <si>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</si>
  <si>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</si>
  <si>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</si>
  <si>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</si>
  <si>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</si>
  <si>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</si>
  <si>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</si>
  <si>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</si>
  <si>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</si>
  <si>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</si>
  <si>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</si>
  <si>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</si>
  <si>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</si>
  <si>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</si>
  <si>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</si>
  <si>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</si>
  <si>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</si>
  <si>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</si>
  <si>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</si>
  <si>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</si>
  <si>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</si>
  <si>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</si>
  <si>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</si>
  <si>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</si>
  <si>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</si>
  <si>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</si>
  <si>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</si>
  <si>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</si>
  <si>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</si>
  <si>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</si>
  <si>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</si>
  <si>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</si>
  <si>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</si>
  <si>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</si>
  <si>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</si>
  <si>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</si>
  <si>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</si>
  <si>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</si>
  <si>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</si>
  <si>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</si>
  <si>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</si>
  <si>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</si>
  <si>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</si>
  <si>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</si>
  <si>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</si>
  <si>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</si>
  <si>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</si>
  <si>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</si>
  <si>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</si>
  <si>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</si>
  <si>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</si>
  <si>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</si>
  <si>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</si>
  <si>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</si>
  <si>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</si>
  <si>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</si>
  <si>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</si>
  <si>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</si>
  <si>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</si>
  <si>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</si>
  <si>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</si>
  <si>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</si>
  <si>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</si>
  <si>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</si>
  <si>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</si>
  <si>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</si>
  <si>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</si>
  <si>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</si>
  <si>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</si>
  <si>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</si>
  <si>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</si>
  <si>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</si>
  <si>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</si>
  <si>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</si>
  <si>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</si>
  <si>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</si>
  <si>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</si>
  <si>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</si>
  <si>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</si>
  <si>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</si>
  <si>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</si>
  <si>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</si>
  <si>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</si>
  <si>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</si>
  <si>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</si>
  <si>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</si>
  <si>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</si>
  <si>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</si>
  <si>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</si>
  <si>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</si>
  <si>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</si>
  <si>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</si>
  <si>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</si>
  <si>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</si>
  <si>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</si>
  <si>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</si>
  <si>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</si>
  <si>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</si>
  <si>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</si>
  <si>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</si>
  <si>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</si>
  <si>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</si>
  <si>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</si>
  <si>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</si>
  <si>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</si>
  <si>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</si>
  <si>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</si>
  <si>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</si>
  <si>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</si>
  <si>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</si>
  <si>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</si>
  <si>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</si>
  <si>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</si>
  <si>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</si>
  <si>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</si>
  <si>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</si>
  <si>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</si>
  <si>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</si>
  <si>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</si>
  <si>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</si>
  <si>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</si>
  <si>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</si>
  <si>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</si>
  <si>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</si>
  <si>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</si>
  <si>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</si>
  <si>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</si>
  <si>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</si>
  <si>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</si>
  <si>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</si>
  <si>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</si>
  <si>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</si>
  <si>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</si>
  <si>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</si>
  <si>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</si>
  <si>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</si>
  <si>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</si>
  <si>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</si>
  <si>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</si>
  <si>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</si>
  <si>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</si>
  <si>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</si>
  <si>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</si>
  <si>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</si>
  <si>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</si>
  <si>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</si>
  <si>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</si>
  <si>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</si>
  <si>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</si>
  <si>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</si>
  <si>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</si>
  <si>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</si>
  <si>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</si>
  <si>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</si>
  <si>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</si>
  <si>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</si>
  <si>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</si>
  <si>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</si>
  <si>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</si>
  <si>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</si>
  <si>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</si>
  <si>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</si>
  <si>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</si>
  <si>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</si>
  <si>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</si>
  <si>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</si>
  <si>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</si>
  <si>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</si>
  <si>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</si>
  <si>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</si>
  <si>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</si>
  <si>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</si>
  <si>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</si>
  <si>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</si>
  <si>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</si>
  <si>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</si>
  <si>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</si>
  <si>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</si>
  <si>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</si>
  <si>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</si>
  <si>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</si>
  <si>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</si>
  <si>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</si>
  <si>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</si>
  <si>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</si>
  <si>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</si>
  <si>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</si>
  <si>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</si>
  <si>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</si>
  <si>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</si>
  <si>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</si>
  <si>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</si>
  <si>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</si>
  <si>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</si>
  <si>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</si>
  <si>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</si>
  <si>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</si>
  <si>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</si>
  <si>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</si>
  <si>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</si>
  <si>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</si>
  <si>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</si>
  <si>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</si>
  <si>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</si>
  <si>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</si>
  <si>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</si>
  <si>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</si>
  <si>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</si>
  <si>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</si>
  <si>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</si>
  <si>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</si>
  <si>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</si>
  <si>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</si>
  <si>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</si>
  <si>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</si>
  <si>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</si>
  <si>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</si>
  <si>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</si>
  <si>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</si>
  <si>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</si>
  <si>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</si>
  <si>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</si>
  <si>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</si>
  <si>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</si>
  <si>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</si>
  <si>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</si>
  <si>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</si>
  <si>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</si>
  <si>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</si>
  <si>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</si>
  <si>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</si>
  <si>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</si>
  <si>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</si>
  <si>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</si>
  <si>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</si>
  <si>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</si>
  <si>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</si>
  <si>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</si>
  <si>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</si>
  <si>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</si>
  <si>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</si>
  <si>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</si>
  <si>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</si>
  <si>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</si>
  <si>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</si>
  <si>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</si>
  <si>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</si>
  <si>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</si>
  <si>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</si>
  <si>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</si>
  <si>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</si>
  <si>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</si>
  <si>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</si>
  <si>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</si>
  <si>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</si>
  <si>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</si>
  <si>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</si>
  <si>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</si>
  <si>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</si>
  <si>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</si>
  <si>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</si>
  <si>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</si>
  <si>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</si>
  <si>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</si>
  <si>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</si>
  <si>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</si>
  <si>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</si>
  <si>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</si>
  <si>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</si>
  <si>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</si>
  <si>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</si>
  <si>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</si>
  <si>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</si>
  <si>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</si>
  <si>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</si>
  <si>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</si>
  <si>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</si>
  <si>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</si>
  <si>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</si>
  <si>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</si>
  <si>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</si>
  <si>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</si>
  <si>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</si>
  <si>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</si>
  <si>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</si>
  <si>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</si>
  <si>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</si>
  <si>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</si>
  <si>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</si>
  <si>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</si>
  <si>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</si>
  <si>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</si>
  <si>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</si>
  <si>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</si>
  <si>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</si>
  <si>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</si>
  <si>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</si>
  <si>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</si>
  <si>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</si>
  <si>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</si>
  <si>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</si>
  <si>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</si>
  <si>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</si>
  <si>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</si>
  <si>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</si>
  <si>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</si>
  <si>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</si>
  <si>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</si>
  <si>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</si>
  <si>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</si>
  <si>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</si>
  <si>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</si>
  <si>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</si>
  <si>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</si>
  <si>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</si>
  <si>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</si>
  <si>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</si>
  <si>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</si>
  <si>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</si>
  <si>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</si>
  <si>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</si>
  <si>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</si>
  <si>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</si>
  <si>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</si>
  <si>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</si>
  <si>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</si>
  <si>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</si>
  <si>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</si>
  <si>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</si>
  <si>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</si>
  <si>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</si>
  <si>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</si>
  <si>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</si>
  <si>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</si>
  <si>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</si>
  <si>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</si>
  <si>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</si>
  <si>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</si>
  <si>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</si>
  <si>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</si>
  <si>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</si>
  <si>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</si>
  <si>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</si>
  <si>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</si>
  <si>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</si>
  <si>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</si>
  <si>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</si>
  <si>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</si>
  <si>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</si>
  <si>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</si>
  <si>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</si>
  <si>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</si>
  <si>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</si>
  <si>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</si>
  <si>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</si>
  <si>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</si>
  <si>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</si>
  <si>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</si>
  <si>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</si>
  <si>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</si>
  <si>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</si>
  <si>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</si>
  <si>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</si>
  <si>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</si>
  <si>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</si>
  <si>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</si>
  <si>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</si>
  <si>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</si>
  <si>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</si>
  <si>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</si>
  <si>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</si>
  <si>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</si>
  <si>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</si>
  <si>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</si>
  <si>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</si>
  <si>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</si>
  <si>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</si>
  <si>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</si>
  <si>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</si>
  <si>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</si>
  <si>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</si>
  <si>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</si>
  <si>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</si>
  <si>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</si>
  <si>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</si>
  <si>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</si>
  <si>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</si>
  <si>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</si>
  <si>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</si>
  <si>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</si>
  <si>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</si>
  <si>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</si>
  <si>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</si>
  <si>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</si>
  <si>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</si>
  <si>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</si>
  <si>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</si>
  <si>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</si>
  <si>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</si>
  <si>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</si>
  <si>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</si>
  <si>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</si>
  <si>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</si>
  <si>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</si>
  <si>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</si>
  <si>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</si>
  <si>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</si>
  <si>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</si>
  <si>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</si>
  <si>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</si>
  <si>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</si>
  <si>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</si>
  <si>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</si>
  <si>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</si>
  <si>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</si>
  <si>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</si>
  <si>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比较法-住宅</t>
  </si>
  <si>
    <t>楼面单价</t>
  </si>
  <si>
    <t>南北</t>
    <phoneticPr fontId="134" type="noConversion"/>
  </si>
  <si>
    <t>普装</t>
    <phoneticPr fontId="134" type="noConversion"/>
  </si>
  <si>
    <t>西</t>
  </si>
  <si>
    <t>西</t>
    <phoneticPr fontId="24" type="noConversion"/>
  </si>
  <si>
    <t>西</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</si>
  <si>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</si>
  <si>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</si>
  <si>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</si>
  <si>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</si>
  <si>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</si>
  <si>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朝向</t>
    <phoneticPr fontId="3"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</si>
  <si>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</si>
  <si>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</si>
  <si>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</si>
  <si>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</si>
  <si>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</si>
  <si>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phoneticPr fontId="24" type="noConversion"/>
  </si>
  <si>
    <t>友爱南里</t>
    <phoneticPr fontId="134" type="noConversion"/>
  </si>
  <si>
    <t>中区</t>
    <phoneticPr fontId="134" type="noConversion"/>
  </si>
  <si>
    <t>低区</t>
    <phoneticPr fontId="134" type="noConversion"/>
  </si>
  <si>
    <t>东南</t>
    <phoneticPr fontId="134" type="noConversion"/>
  </si>
  <si>
    <t>南</t>
    <phoneticPr fontId="134" type="noConversion"/>
  </si>
  <si>
    <t>简装</t>
    <phoneticPr fontId="134" type="noConversion"/>
  </si>
  <si>
    <t>高区</t>
    <phoneticPr fontId="24" type="noConversion"/>
  </si>
  <si>
    <t>中区</t>
    <phoneticPr fontId="24" type="noConversion"/>
  </si>
  <si>
    <t>低区</t>
    <phoneticPr fontId="24" type="noConversion"/>
  </si>
  <si>
    <t>高区</t>
    <phoneticPr fontId="24" type="noConversion"/>
  </si>
  <si>
    <t>中区</t>
    <phoneticPr fontId="24" type="noConversion"/>
  </si>
  <si>
    <t>低区</t>
    <phoneticPr fontId="24" type="noConversion"/>
  </si>
  <si>
    <t>南（东南）</t>
  </si>
  <si>
    <t>南（东南）</t>
    <phoneticPr fontId="24" type="noConversion"/>
  </si>
  <si>
    <t>西南（东）</t>
    <phoneticPr fontId="24" type="noConversion"/>
  </si>
  <si>
    <t>较差</t>
    <phoneticPr fontId="24" type="noConversion"/>
  </si>
  <si>
    <t>1501-1504</t>
    <phoneticPr fontId="24" type="noConversion"/>
  </si>
  <si>
    <t>1505-1508</t>
    <phoneticPr fontId="24" type="noConversion"/>
  </si>
  <si>
    <t>1520-1522</t>
    <phoneticPr fontId="24" type="noConversion"/>
  </si>
  <si>
    <t>1523-1526</t>
    <phoneticPr fontId="24" type="noConversion"/>
  </si>
  <si>
    <t>高区</t>
    <phoneticPr fontId="24" type="noConversion"/>
  </si>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</sst>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151010</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23810" cy="7980953"/>
        </a:xfrm>
        <a:prstGeom prst="rect">
          <a:avLst/>
        </a:prstGeom>
      </xdr:spPr>
    </xdr:pic>
    <xdr:clientData/>
  </xdr:twoCellAnchor>
  <xdr:twoCellAnchor editAs="oneCell">
    <xdr:from>
      <xdr:col>0</xdr:col>
      <xdr:colOff>0</xdr:colOff>
      <xdr:row>47</xdr:row>
      <xdr:rowOff>0</xdr:rowOff>
    </xdr:from>
    <xdr:to>
      <xdr:col>15</xdr:col>
      <xdr:colOff>655858</xdr:colOff>
      <xdr:row>95</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10942858" cy="8257143"/>
        </a:xfrm>
        <a:prstGeom prst="rect">
          <a:avLst/>
        </a:prstGeom>
      </xdr:spPr>
    </xdr:pic>
    <xdr:clientData/>
  </xdr:twoCellAnchor>
  <xdr:twoCellAnchor editAs="oneCell">
    <xdr:from>
      <xdr:col>0</xdr:col>
      <xdr:colOff>0</xdr:colOff>
      <xdr:row>95</xdr:row>
      <xdr:rowOff>0</xdr:rowOff>
    </xdr:from>
    <xdr:to>
      <xdr:col>15</xdr:col>
      <xdr:colOff>627286</xdr:colOff>
      <xdr:row>142</xdr:row>
      <xdr:rowOff>46612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914286" cy="8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受贵公司委托，我公司对房地产市场价值进行了预评估。</v>
      </c>
    </row>
    <row r="7" spans="1:2" s="1202" customFormat="1">
      <c r="A7" s="1200" t="s">
        <v>566</v>
      </c>
      <c r="B7" s="1201" t="str">
        <f>'预评函-1'!A7</f>
        <v>估价对象为房地产，为所有。根据《国有土地使用证》[]，估价对象（分摊）出让国有建设用地使用权面积为4.7平方米，建筑面积为69.12平方米。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估价对象为房地产,属开发建设的，该项目尚在开发建设中。根据《国有土地使用证》[]，估价对象（分摊）出让国有建设用地使用权面积为4.7平方米，规划建筑面积为69.12平方米。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2023年1月16日</v>
      </c>
    </row>
    <row r="13" spans="1:2" s="1202" customFormat="1">
      <c r="A13" s="1200" t="s">
        <v>529</v>
      </c>
      <c r="B13" s="120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106</v>
      </c>
    </row>
    <row r="21" spans="1:2" s="1202" customFormat="1">
      <c r="A21" s="1200" t="s">
        <v>537</v>
      </c>
      <c r="B21" s="1201">
        <f ca="1">'预评函-2'!D7</f>
        <v>15344</v>
      </c>
    </row>
    <row r="22" spans="1:2" s="1202" customFormat="1">
      <c r="A22" s="1200" t="s">
        <v>538</v>
      </c>
      <c r="B22" s="1201" t="str">
        <f ca="1">'预评函-2'!D6</f>
        <v>壹佰零陆万元整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v>
      </c>
    </row>
    <row r="31" spans="1:2" s="1202" customFormat="1">
      <c r="A31" s="1200" t="s">
        <v>576</v>
      </c>
      <c r="B31" s="1201">
        <f ca="1">'预评函-2'!D15</f>
        <v>15344</v>
      </c>
    </row>
    <row r="32" spans="1:2" s="1202" customFormat="1">
      <c r="A32" s="1200" t="s">
        <v>543</v>
      </c>
      <c r="B32" s="1201" t="str">
        <f ca="1">'预评函-2'!D14</f>
        <v>壹佰零陆万元整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69.12</v>
      </c>
    </row>
    <row r="44" spans="1:2" s="1202" customFormat="1">
      <c r="A44" s="1200" t="s">
        <v>575</v>
      </c>
      <c r="B44" s="1201" t="str">
        <f>'预评函-3'!C2</f>
        <v>(分摊)土地面积</v>
      </c>
    </row>
    <row r="45" spans="1:2" s="1202" customFormat="1">
      <c r="A45" s="1200" t="s">
        <v>547</v>
      </c>
      <c r="B45" s="1201">
        <f>'预评函-3'!C4</f>
        <v>4.7</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4" t="s">
        <v>2580</v>
      </c>
      <c r="J2" s="3514"/>
      <c r="K2" s="3514"/>
      <c r="L2" s="3514"/>
      <c r="M2" s="3514"/>
      <c r="N2" s="3514"/>
      <c r="O2" s="3514"/>
      <c r="P2" s="3514"/>
      <c r="Q2" s="3514"/>
      <c r="R2" s="3514"/>
    </row>
    <row r="3" spans="1:18">
      <c r="A3" s="3018" t="s">
        <v>2501</v>
      </c>
      <c r="B3" s="3019">
        <f>项目基本情况!D3</f>
        <v>44942</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3.92</v>
      </c>
      <c r="D5" s="3023">
        <f>IF(ISERROR(ROUND(POWER(1+E5,A5-C5)*(POWER(1+E5,C5)-1)/(POWER(1+E5,A5)-1),3)),0,ROUND(POWER(1+E5,A5-C5)*(POWER(1+E5,C5)-1)/(POWER(1+E5,A5)-1),4))</f>
        <v>0.18</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13.93</v>
      </c>
      <c r="D6" s="3023">
        <f>IF(ISERROR(ROUND(POWER(1+E6,A6-C6)*(POWER(1+E6,C6)-1)/(POWER(1+E6,A6)-1),3)),0,ROUND(POWER(1+E6,A6-C6)*(POWER(1+E6,C6)-1)/(POWER(1+E6,A6)-1),4))</f>
        <v>0.4899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33.94</v>
      </c>
      <c r="D7" s="3023">
        <f>IF(ISERROR(ROUND(POWER(1+E7,A7-C7)*(POWER(1+E7,C7)-1)/(POWER(1+E7,A7)-1),3)),0,ROUND(POWER(1+E7,A7-C7)*(POWER(1+E7,C7)-1)/(POWER(1+E7,A7)-1),4))</f>
        <v>0.7863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2165</v>
      </c>
      <c r="B1" s="3515" t="str">
        <f>IF(B10="北京市","北京市",C10)&amp;F10&amp;IF(结果表!G1="在建","出让国有建设用地使用权及在建建筑物",IF(结果表!G1="土地","出让国有建设用地使用权",))&amp;B9&amp;"预评估"</f>
        <v>房地产市场价值预评估</v>
      </c>
      <c r="C1" s="3516"/>
      <c r="D1" s="3516"/>
      <c r="E1" s="3516"/>
      <c r="F1" s="3516"/>
      <c r="G1" s="3516"/>
      <c r="H1" s="3516"/>
      <c r="I1" s="351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房地产市场价值</v>
      </c>
      <c r="T1" s="1744"/>
      <c r="U1" s="1744"/>
      <c r="V1" s="1744"/>
      <c r="W1" s="1744"/>
      <c r="X1" s="1744"/>
      <c r="Y1" s="1744"/>
      <c r="Z1" s="1744"/>
      <c r="AA1" s="1744"/>
      <c r="AB1" s="1744"/>
    </row>
    <row r="2" spans="1:30">
      <c r="A2" s="2365" t="s">
        <v>2166</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2167</v>
      </c>
      <c r="B3" s="2371"/>
      <c r="C3" s="2372" t="s">
        <v>2168</v>
      </c>
      <c r="D3" s="2371">
        <v>44942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3378</v>
      </c>
      <c r="C8" s="2388"/>
      <c r="D8" s="3518" t="s">
        <v>2174</v>
      </c>
      <c r="E8" s="2389"/>
      <c r="F8" s="2390"/>
      <c r="G8" s="2661"/>
      <c r="H8" s="2661"/>
      <c r="I8" s="2661"/>
      <c r="J8" s="2437"/>
      <c r="K8" s="2612"/>
      <c r="L8" s="2611"/>
      <c r="M8" s="2611"/>
      <c r="N8" s="2437"/>
      <c r="O8" s="2448"/>
      <c r="P8" s="2437"/>
      <c r="Q8" s="2437"/>
      <c r="R8" s="2437"/>
    </row>
    <row r="9" spans="1:30" ht="13.5" thickBot="1">
      <c r="A9" s="2391" t="s">
        <v>2175</v>
      </c>
      <c r="B9" s="2392" t="s">
        <v>3379</v>
      </c>
      <c r="C9" s="2393"/>
      <c r="D9" s="3519"/>
      <c r="E9" s="2392"/>
      <c r="F9" s="2394"/>
      <c r="G9" s="2663"/>
      <c r="H9" s="2663"/>
      <c r="I9" s="2663"/>
      <c r="J9" s="2437"/>
      <c r="K9" s="2614"/>
      <c r="L9" s="2611"/>
      <c r="M9" s="2611"/>
      <c r="N9" s="2437"/>
      <c r="O9" s="2448"/>
      <c r="P9" s="2437"/>
      <c r="Q9" s="2437"/>
      <c r="R9" s="2437"/>
    </row>
    <row r="10" spans="1:30" ht="13.5" thickTop="1">
      <c r="A10" s="2395" t="s">
        <v>2176</v>
      </c>
      <c r="B10" s="2396" t="s">
        <v>3376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3377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4"/>
    </row>
    <row r="13" spans="1:30">
      <c r="A13" s="3421" t="s">
        <v>3336</v>
      </c>
      <c r="B13" s="2405" t="s">
        <v>2187</v>
      </c>
      <c r="C13" s="856">
        <v>70499</v>
      </c>
      <c r="D13" s="856"/>
      <c r="E13" s="856"/>
      <c r="F13" s="856"/>
      <c r="G13" s="856"/>
      <c r="H13" s="856"/>
      <c r="I13" s="856"/>
      <c r="J13" s="3060"/>
      <c r="K13" s="2611"/>
      <c r="L13" s="2611"/>
      <c r="M13" s="2437"/>
      <c r="N13" s="2448"/>
      <c r="O13" s="2437"/>
      <c r="P13" s="2437"/>
      <c r="Q13" s="2437"/>
      <c r="AD13" s="1744"/>
    </row>
    <row r="14" spans="1:30">
      <c r="A14" s="1080"/>
      <c r="B14" s="2405" t="s">
        <v>2188</v>
      </c>
      <c r="C14" s="2406">
        <v>70</v>
      </c>
      <c r="D14" s="2406"/>
      <c r="E14" s="2406"/>
      <c r="F14" s="2406"/>
      <c r="G14" s="2406"/>
      <c r="H14" s="2406"/>
      <c r="I14" s="2406"/>
      <c r="J14" s="3061"/>
      <c r="K14" s="2611"/>
      <c r="L14" s="2611"/>
      <c r="M14" s="2437"/>
      <c r="N14" s="2448"/>
      <c r="O14" s="2437"/>
      <c r="P14" s="2437"/>
      <c r="Q14" s="2437"/>
      <c r="AD14" s="1744"/>
    </row>
    <row r="15" spans="1:30">
      <c r="A15" s="320"/>
      <c r="B15" s="2407" t="s">
        <v>2189</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2190</v>
      </c>
      <c r="B16" s="3525"/>
      <c r="C16" s="3526"/>
      <c r="D16" s="3527"/>
      <c r="E16" s="2411" t="s">
        <v>2191</v>
      </c>
      <c r="F16" s="3528"/>
      <c r="G16" s="3529"/>
      <c r="H16" s="3529"/>
      <c r="I16" s="3530"/>
      <c r="J16" s="2437"/>
      <c r="K16" s="2615"/>
      <c r="L16" s="2449"/>
      <c r="M16" s="2449"/>
      <c r="N16" s="2507"/>
      <c r="O16" s="2449"/>
      <c r="P16" s="2507"/>
      <c r="Q16" s="2437"/>
      <c r="R16" s="2437"/>
    </row>
    <row r="17" spans="1:28">
      <c r="A17" s="313" t="s">
        <v>2192</v>
      </c>
      <c r="B17" s="302" t="s">
        <v>2193</v>
      </c>
      <c r="C17" s="8">
        <f>'数据-汇总表'!E3</f>
        <v>69.12</v>
      </c>
      <c r="D17" s="2320" t="s">
        <v>2194</v>
      </c>
      <c r="E17" s="3531" t="s">
        <v>2195</v>
      </c>
      <c r="F17" s="3532"/>
      <c r="G17" s="3532"/>
      <c r="H17" s="3532"/>
      <c r="I17" s="3533"/>
      <c r="J17" s="2437"/>
      <c r="K17" s="2616"/>
      <c r="L17" s="2449"/>
      <c r="M17" s="2449"/>
      <c r="N17" s="2507"/>
      <c r="O17" s="2449"/>
      <c r="P17" s="2507"/>
      <c r="Q17" s="2437"/>
      <c r="R17" s="2437"/>
      <c r="S17" s="2437"/>
      <c r="T17" s="2437"/>
      <c r="U17" s="2437"/>
      <c r="V17" s="2437"/>
    </row>
    <row r="18" spans="1:28" ht="24.75" thickBot="1">
      <c r="A18" s="2412" t="s">
        <v>2196</v>
      </c>
      <c r="B18" s="1089" t="s">
        <v>2197</v>
      </c>
      <c r="C18" s="2413">
        <f>'数据-汇总表'!D3</f>
        <v>4.7</v>
      </c>
      <c r="D18" s="1091" t="s">
        <v>2198</v>
      </c>
      <c r="E18" s="3534" t="s">
        <v>2199</v>
      </c>
      <c r="F18" s="3535"/>
      <c r="G18" s="3535"/>
      <c r="H18" s="3535"/>
      <c r="I18" s="3536"/>
      <c r="J18" s="2437"/>
      <c r="K18" s="2616"/>
      <c r="L18" s="2449"/>
      <c r="M18" s="2449"/>
      <c r="N18" s="2507"/>
      <c r="O18" s="2449"/>
      <c r="P18" s="2507"/>
      <c r="Q18" s="2437"/>
      <c r="R18" s="2437"/>
      <c r="S18" s="2437"/>
      <c r="T18" s="2437"/>
      <c r="U18" s="2437"/>
      <c r="V18" s="2437"/>
    </row>
    <row r="19" spans="1:28" ht="37.5" thickTop="1" thickBot="1">
      <c r="A19" s="327" t="s">
        <v>1055</v>
      </c>
      <c r="B19" s="307" t="s">
        <v>2200</v>
      </c>
      <c r="C19" s="1562"/>
      <c r="D19" s="1563" t="s">
        <v>2201</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2202</v>
      </c>
      <c r="B20" s="3521" t="s">
        <v>2203</v>
      </c>
      <c r="C20" s="3522"/>
      <c r="D20" s="3523" t="s">
        <v>2204</v>
      </c>
      <c r="E20" s="3524"/>
      <c r="F20" s="2645" t="s">
        <v>1056</v>
      </c>
      <c r="G20" s="2662"/>
      <c r="H20" s="2662"/>
      <c r="I20" s="2662"/>
      <c r="J20" s="2437"/>
      <c r="K20" s="352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2206</v>
      </c>
      <c r="C21" s="2632" t="s">
        <v>1057</v>
      </c>
      <c r="D21" s="1567" t="s">
        <v>2207</v>
      </c>
      <c r="E21" s="2633" t="s">
        <v>1057</v>
      </c>
      <c r="F21" s="2646"/>
      <c r="G21" s="2662"/>
      <c r="H21" s="2662"/>
      <c r="I21" s="2662"/>
      <c r="J21" s="2437"/>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2208</v>
      </c>
      <c r="C22" s="2632" t="s">
        <v>1058</v>
      </c>
      <c r="D22" s="2661"/>
      <c r="E22" s="2661"/>
      <c r="F22" s="2661"/>
      <c r="G22" s="2662"/>
      <c r="H22" s="2662"/>
      <c r="I22" s="2662"/>
      <c r="J22" s="2437"/>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8"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9"/>
      <c r="B30" s="302" t="s">
        <v>2215</v>
      </c>
      <c r="C30" s="3540"/>
      <c r="D30" s="3541"/>
      <c r="E30" s="2662"/>
      <c r="F30" s="2662"/>
      <c r="G30" s="2662"/>
      <c r="H30" s="2662"/>
      <c r="I30" s="2662"/>
      <c r="J30" s="2437"/>
      <c r="K30" s="2614"/>
      <c r="L30" s="2611"/>
      <c r="M30" s="2611"/>
      <c r="N30" s="2437"/>
      <c r="O30" s="2448"/>
      <c r="P30" s="2437"/>
      <c r="Q30" s="2437"/>
      <c r="R30" s="2437"/>
      <c r="S30" s="2437"/>
      <c r="T30" s="2437"/>
      <c r="U30" s="2437"/>
      <c r="V30" s="2437"/>
    </row>
    <row r="31" spans="1:28">
      <c r="A31" s="3542" t="s">
        <v>2216</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37" t="s">
        <v>2225</v>
      </c>
      <c r="T34" s="2426" t="str">
        <f>NUMBERSTRING(7-K34,1)&amp;"通"</f>
        <v>七通</v>
      </c>
      <c r="U34" s="2437"/>
      <c r="V34" s="2437"/>
    </row>
    <row r="35" spans="1:30">
      <c r="A35" s="2427"/>
      <c r="B35" s="3544" t="s">
        <v>2226</v>
      </c>
      <c r="C35" s="3544"/>
      <c r="D35" s="3544"/>
      <c r="E35" s="354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2230</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4.7</v>
      </c>
      <c r="B3" s="11">
        <f>IF(C3="否",G5-AT5,G5)</f>
        <v>69.12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69.12</v>
      </c>
      <c r="H5" s="13">
        <f t="shared" ref="H5:AT5" si="0">SUM(H13:H656)</f>
        <v>69.12</v>
      </c>
      <c r="I5" s="13">
        <f t="shared" si="0"/>
        <v>69.12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69.12</v>
      </c>
      <c r="BA5" s="15">
        <f t="shared" si="1"/>
        <v>69.12</v>
      </c>
      <c r="BB5" s="15">
        <f t="shared" si="1"/>
        <v>69.12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4.7</v>
      </c>
      <c r="F6" s="13" t="s">
        <v>0</v>
      </c>
      <c r="G6" s="13" t="s">
        <v>1</v>
      </c>
      <c r="H6" s="17">
        <f>SUMIF(I$12:AB$12,"总值",I6:AB6)</f>
        <v>4.7</v>
      </c>
      <c r="I6" s="13">
        <f t="shared" ref="I6:AB6" si="2">ROUND($A$3*I5/$B$3,2)</f>
        <v>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4.7</v>
      </c>
      <c r="AZ6" s="13" t="s">
        <v>2</v>
      </c>
      <c r="BA6" s="13">
        <f>ROUND($AY$6*BA5/$AZ$5,2)</f>
        <v>4.7</v>
      </c>
      <c r="BB6" s="13">
        <f>ROUND($AY$6*BB5/$AZ$5,2)</f>
        <v>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4.7</v>
      </c>
      <c r="F13" s="29"/>
      <c r="G13" s="30">
        <f>H13+AC13+AT13</f>
        <v>69.12</v>
      </c>
      <c r="H13" s="17">
        <f>SUMIF(I$12:AB$12,"总值",I13:AB13)</f>
        <v>69.12</v>
      </c>
      <c r="I13" s="1625">
        <v>69.12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4.7</v>
      </c>
      <c r="AZ13" s="13">
        <f>BA13+BL13</f>
        <v>69.12</v>
      </c>
      <c r="BA13" s="13">
        <f>SUM(BB13:BK13)</f>
        <v>69.12</v>
      </c>
      <c r="BB13" s="13">
        <f>IF($D13="是",I13-J13,0)</f>
        <v>69.12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4" t="s">
        <v>1131</v>
      </c>
      <c r="B2" s="3554"/>
      <c r="C2" s="3554"/>
      <c r="D2" s="796" t="s">
        <v>1107</v>
      </c>
      <c r="E2" s="1638" t="s">
        <v>1108</v>
      </c>
      <c r="F2" s="2657"/>
      <c r="G2" s="2648"/>
      <c r="H2" s="2649"/>
      <c r="I2" s="2323" t="s">
        <v>1132</v>
      </c>
      <c r="J2" s="2657"/>
      <c r="K2" s="2657"/>
      <c r="L2" s="2657"/>
      <c r="M2" s="2657"/>
      <c r="N2" s="2659"/>
      <c r="O2" s="2657"/>
      <c r="P2" s="2657"/>
    </row>
    <row r="3" spans="1:16" ht="15.75" thickBot="1">
      <c r="A3" s="3555" t="s">
        <v>1105</v>
      </c>
      <c r="B3" s="3555"/>
      <c r="C3" s="3555"/>
      <c r="D3" s="43">
        <f>'数据-基础表'!AY6</f>
        <v>4.7</v>
      </c>
      <c r="E3" s="43">
        <f>'数据-基础表'!AZ5</f>
        <v>69.12</v>
      </c>
      <c r="F3" s="2657"/>
      <c r="G3" s="1144"/>
      <c r="H3" s="1025" t="s">
        <v>1106</v>
      </c>
      <c r="I3" s="855">
        <f>ROUND('数据-基础表'!B3/'数据-基础表'!A3,2)</f>
        <v>14.71</v>
      </c>
      <c r="J3" s="2657"/>
      <c r="K3" s="2657"/>
      <c r="L3" s="2657"/>
      <c r="M3" s="2657"/>
      <c r="N3" s="2659"/>
      <c r="O3" s="2657"/>
      <c r="P3" s="2657"/>
    </row>
    <row r="4" spans="1:16" ht="15">
      <c r="A4" s="3556"/>
      <c r="B4" s="3557"/>
      <c r="C4" s="3558"/>
      <c r="D4" s="1640" t="s">
        <v>1107</v>
      </c>
      <c r="E4" s="1641" t="s">
        <v>1108</v>
      </c>
      <c r="F4" s="2657"/>
      <c r="G4" s="2650" t="s">
        <v>1133</v>
      </c>
      <c r="H4" s="1025" t="s">
        <v>1113</v>
      </c>
      <c r="I4" s="855">
        <f>ROUND(SUMIF('数据-基础表'!I9:AS9,"地上",'数据-基础表'!I5:AS5)/'数据-基础表'!A3,2)</f>
        <v>14.71</v>
      </c>
      <c r="J4" s="2657"/>
      <c r="K4" s="2657"/>
      <c r="L4" s="2657"/>
      <c r="M4" s="2657"/>
      <c r="N4" s="2659"/>
      <c r="O4" s="2657"/>
      <c r="P4" s="2657"/>
    </row>
    <row r="5" spans="1:16">
      <c r="A5" s="44" t="s">
        <v>1109</v>
      </c>
      <c r="B5" s="3559" t="s">
        <v>1110</v>
      </c>
      <c r="C5" s="3559"/>
      <c r="D5" s="45">
        <f>ROUND($D$3*E5/$E$3,2)</f>
        <v>4.7</v>
      </c>
      <c r="E5" s="46">
        <f>SUMIF('数据-基础表'!$11:$11,"住宅",'数据-基础表'!$5:$5)</f>
        <v>69.12</v>
      </c>
      <c r="F5" s="2657"/>
      <c r="G5" s="1144"/>
      <c r="H5" s="1025" t="s">
        <v>1106</v>
      </c>
      <c r="I5" s="855">
        <f>ROUND(E31/D31,2)</f>
        <v>14.71</v>
      </c>
      <c r="J5" s="2657"/>
      <c r="K5" s="2657"/>
      <c r="L5" s="2657"/>
      <c r="M5" s="2657"/>
      <c r="N5" s="2657"/>
      <c r="O5" s="2657"/>
      <c r="P5" s="2657"/>
    </row>
    <row r="6" spans="1:16" ht="15" thickBot="1">
      <c r="A6" s="1643"/>
      <c r="B6" s="3559" t="s">
        <v>1111</v>
      </c>
      <c r="C6" s="3559"/>
      <c r="D6" s="45">
        <f>ROUND($D$3*E6/$E$3,2)</f>
        <v>0</v>
      </c>
      <c r="E6" s="46">
        <f>E3-E5</f>
        <v>0</v>
      </c>
      <c r="F6" s="2657"/>
      <c r="G6" s="2651" t="s">
        <v>1112</v>
      </c>
      <c r="H6" s="1145" t="s">
        <v>1113</v>
      </c>
      <c r="I6" s="2652">
        <f>ROUND(F31/D31,2)</f>
        <v>14.71</v>
      </c>
      <c r="J6" s="2657"/>
      <c r="K6" s="2657"/>
      <c r="L6" s="2657"/>
      <c r="M6" s="2657"/>
      <c r="N6" s="2657"/>
      <c r="O6" s="2657"/>
      <c r="P6" s="2657"/>
    </row>
    <row r="7" spans="1:16" ht="15.75" thickBot="1">
      <c r="A7" s="3551"/>
      <c r="B7" s="3552"/>
      <c r="C7" s="355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4.7</v>
      </c>
      <c r="E8" s="48">
        <f>SUMIF('数据-基础表'!BB10:BK10,"地上",'数据-基础表'!BB5:BK5)</f>
        <v>69.12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4.7</v>
      </c>
      <c r="E16" s="50">
        <f>SUM(E8:E15)</f>
        <v>69.12</v>
      </c>
      <c r="F16" s="2657"/>
      <c r="G16" s="2658"/>
      <c r="H16" s="1647" t="s">
        <v>1135</v>
      </c>
      <c r="I16" s="1648"/>
      <c r="J16" s="1138"/>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5" t="s">
        <v>3385</v>
      </c>
      <c r="D19" s="45">
        <f>ROUND($D$3*E19/$E$3,2)</f>
        <v>4.7</v>
      </c>
      <c r="E19" s="53">
        <f t="shared" ref="E19:E26" si="1">SUM(F19:G19)</f>
        <v>69.12</v>
      </c>
      <c r="F19" s="2793">
        <f>'数据-基础表'!I13</f>
        <v>69.12</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4.7</v>
      </c>
      <c r="S19" s="1026">
        <f t="shared" si="5"/>
        <v>69.12</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4.7</v>
      </c>
      <c r="E27" s="1140">
        <f>IF(SUM(E19:E26)='数据-基础表'!BA5,SUM(E19:E26),IF(F27="地上面积有误","面积有误","地下面积有误"))</f>
        <v>69.12</v>
      </c>
      <c r="F27" s="1139">
        <f>IF(SUM(F19:F26)=E8,SUM(F19:F26),"地上面积有误")</f>
        <v>69.12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4.7</v>
      </c>
      <c r="S27" s="1025">
        <f>IF(SUM(S19:S26)=$E$3,SUM(S19:S26),SUM(S19:S26)&amp;"误差"&amp;ROUND(SUM(S19:S26)-E3,2))</f>
        <v>69.12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4.7</v>
      </c>
      <c r="E31" s="676">
        <f>E27+E30</f>
        <v>69.12</v>
      </c>
      <c r="F31" s="677">
        <f>F27+F30</f>
        <v>69.12</v>
      </c>
      <c r="G31" s="678">
        <f>G27+G30</f>
        <v>0</v>
      </c>
      <c r="H31" s="2657"/>
      <c r="I31" s="2657"/>
      <c r="J31" s="2657"/>
      <c r="K31" s="2657"/>
      <c r="L31" s="2657"/>
      <c r="M31" s="2657"/>
      <c r="N31" s="2657"/>
      <c r="O31" s="2657"/>
      <c r="P31" s="2657"/>
    </row>
    <row r="32" spans="1:19">
      <c r="A32" s="1642"/>
      <c r="B32" s="1642" t="s">
        <v>1159</v>
      </c>
      <c r="C32" s="1642"/>
      <c r="D32" s="1642"/>
      <c r="E32" s="1052">
        <f>SUMIF(C19:C26,"*住宅*",E19:E26)</f>
        <v>69.12</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T12" activePane="bottomRight" state="frozen"/>
      <selection activeCell="C50" sqref="C50"/>
      <selection pane="topRight" activeCell="C50" sqref="C50"/>
      <selection pane="bottomLeft" activeCell="C50" sqref="C50"/>
      <selection pane="bottomRight" activeCell="X36" sqref="X3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44942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70499</v>
      </c>
      <c r="F6" s="64">
        <f>SUMIF(项目基本情况!C$12:I$12,C6,项目基本情况!C$15:I$15)</f>
        <v>70</v>
      </c>
      <c r="G6" s="65">
        <f>IF(ISERROR(ROUND(POWER(1+H6,D6-F6)*(POWER(1+H6,F6)-1)/(POWER(1+H6,D6)-1),3)),0,ROUND(POWER(1+H6,D6-F6)*(POWER(1+H6,F6)-1)/(POWER(1+H6,D6)-1),3))</f>
        <v>1</v>
      </c>
      <c r="H6" s="732">
        <v>0.05</v>
      </c>
      <c r="I6" s="732">
        <v>5.5E-2</v>
      </c>
      <c r="J6" s="66">
        <v>7.0000000000000007E-2</v>
      </c>
      <c r="K6" s="1029">
        <f>SUMIF('数据-汇总表'!C$19:C$33,A6,'数据-汇总表'!E$19:E$33)</f>
        <v>69.12</v>
      </c>
      <c r="L6" s="733">
        <v>3000</v>
      </c>
      <c r="M6" s="67">
        <f t="shared" ref="M6:M14" si="0">ROUND(K6*L6/10000,0)</f>
        <v>21</v>
      </c>
      <c r="N6" s="731">
        <v>0.7</v>
      </c>
      <c r="O6" s="67" t="str">
        <f>IF($N$5="成新度","——",ROUND(M6*N6,0))</f>
        <v>——</v>
      </c>
      <c r="P6" s="68" t="str">
        <f>IF($N$5="成新度","——",M6-O6)</f>
        <v>——</v>
      </c>
      <c r="Q6" s="734">
        <v>0.15</v>
      </c>
      <c r="R6" s="69">
        <f ca="1">SUMIF('数据-汇总表'!C$19:C$33,A6,'数据-汇总表'!R$19:R$27)</f>
        <v>4.7</v>
      </c>
      <c r="S6" s="51">
        <f>IF('数据-汇总表'!$I$17="按面积比例",SUMIF('数据-汇总表'!C$19:C$33,A6,'数据-汇总表'!K$19:K$33),SUMIF('数据-汇总表'!C$19:C$33,A6,'数据-汇总表'!N$19:N$33))</f>
        <v>0</v>
      </c>
      <c r="T6" s="1171">
        <f>ROUND($L$14*S6/10000,0)</f>
        <v>0</v>
      </c>
      <c r="U6" s="3426">
        <v>1600</v>
      </c>
      <c r="V6" s="70">
        <v>0.02</v>
      </c>
      <c r="W6" s="70">
        <v>0.1</v>
      </c>
      <c r="X6" s="1039"/>
      <c r="Y6" s="71">
        <f>N6</f>
        <v>0.7</v>
      </c>
      <c r="Z6" s="72"/>
      <c r="AA6" s="66"/>
      <c r="AB6" s="66"/>
      <c r="AC6" s="1039"/>
      <c r="AD6" s="73"/>
      <c r="AE6" s="1040">
        <f ca="1">IF(AN6="",0,SUMIF(INDIRECT("'"&amp;AN6&amp;"'"&amp;"!E:E"),$AE$5,INDIRECT("'"&amp;AN6&amp;"'"&amp;"!F:F")))</f>
        <v>70</v>
      </c>
      <c r="AF6" s="1347"/>
      <c r="AG6" s="138">
        <f>IF(AF6="",0,AE6-AF6)</f>
        <v>0</v>
      </c>
      <c r="AH6" s="74">
        <v>1</v>
      </c>
      <c r="AI6" s="76">
        <v>12</v>
      </c>
      <c r="AJ6" s="77"/>
      <c r="AK6" s="78">
        <v>0.01</v>
      </c>
      <c r="AL6" s="79">
        <v>1E-3</v>
      </c>
      <c r="AM6" s="80">
        <v>0.01</v>
      </c>
      <c r="AN6" s="1714" t="s">
        <v>3436</v>
      </c>
      <c r="AO6" s="52">
        <f ca="1">SUMIF(INDIRECT("'"&amp;AN6&amp;"'"&amp;"!A:A"),"总价",INDIRECT("'"&amp;AN6&amp;"'"&amp;"!B:B"))</f>
        <v>27.8993</v>
      </c>
      <c r="AP6" s="1715">
        <f>IF(C6="住宅",K6*L6,0)</f>
        <v>207360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0.05</v>
      </c>
      <c r="I16" s="91"/>
      <c r="J16" s="91"/>
      <c r="K16" s="92">
        <f>SUM(K6:K15)</f>
        <v>69.12</v>
      </c>
      <c r="L16" s="93">
        <f>ROUND(M16*10000/SUM(K6:K14),0)</f>
        <v>3038</v>
      </c>
      <c r="M16" s="93">
        <f>SUM(M6:M14)</f>
        <v>21</v>
      </c>
      <c r="N16" s="94">
        <f>ROUND(SUMPRODUCT(M6:M14,N6:N14)/M16,3)</f>
        <v>0.7</v>
      </c>
      <c r="O16" s="93">
        <f>SUM(O6:O14)</f>
        <v>0</v>
      </c>
      <c r="P16" s="93">
        <f>SUM(P6:P14)</f>
        <v>0</v>
      </c>
      <c r="Q16" s="95">
        <f>ROUND(SUMPRODUCT(Q6:Q13,K6:K13)/SUMPRODUCT((Q6:Q13&gt;0)*(K6:K13)),2)</f>
        <v>0.15</v>
      </c>
      <c r="R16" s="1033">
        <f ca="1">SUM(R6:R13)</f>
        <v>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165</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5.6500000000000002E-2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6.5000000000000006E-3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v>5.0000000000000001E-4</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v>25</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v>20</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v>15</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10</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v>5</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v>1</v>
      </c>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0" t="s">
        <v>2283</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2"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0"/>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F4" sqref="F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262.22000000000003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44942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407</v>
      </c>
      <c r="C5" s="2510">
        <f ca="1">IF(B5=D14,结果表!H102,ROUND(B5*10000/$B$1,0))</f>
        <v>15344</v>
      </c>
      <c r="D5" s="2510" t="e">
        <f>ROUND(B5*10000/$B$2,0)</f>
        <v>#DIV/0!</v>
      </c>
      <c r="E5" s="2684"/>
      <c r="F5" s="2685"/>
      <c r="G5" s="2685"/>
      <c r="H5" s="2686"/>
      <c r="I5" s="2686"/>
      <c r="J5" s="2686"/>
      <c r="K5" s="2686"/>
    </row>
    <row r="6" spans="1:11" ht="16.5">
      <c r="A6" s="2510" t="s">
        <v>656</v>
      </c>
      <c r="B6" s="2510">
        <f>SUM(G14:G23)</f>
        <v>0</v>
      </c>
      <c r="C6" s="2510">
        <f ca="1">IF(B6=G14,结果表!H108,ROUND(B6*10000/$B$1,0))</f>
        <v>15344</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262.22000000000003</v>
      </c>
      <c r="C14" s="2516"/>
      <c r="D14" s="2516">
        <f>典型户型修正!S22</f>
        <v>407</v>
      </c>
      <c r="E14" s="2516">
        <f>ROUND(D14*10000/B14,0)</f>
        <v>15521</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106" sqref="F10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9" t="str">
        <f>项目基本情况!S2</f>
        <v>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3" t="s">
        <v>1265</v>
      </c>
      <c r="B4" s="1754" t="s">
        <v>1266</v>
      </c>
      <c r="C4" s="1755" t="s">
        <v>3396</v>
      </c>
      <c r="D4" s="1755" t="s">
        <v>3436</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6"/>
      <c r="G5" s="1756"/>
      <c r="H5" s="1756"/>
      <c r="I5" s="1372"/>
    </row>
    <row r="6" spans="1:12" ht="12.75">
      <c r="A6" s="3577"/>
      <c r="B6" s="3632"/>
      <c r="C6" s="3637"/>
      <c r="D6" s="3623"/>
      <c r="E6" s="131" t="s">
        <v>1270</v>
      </c>
      <c r="F6" s="1756"/>
      <c r="G6" s="1756"/>
      <c r="H6" s="1756"/>
      <c r="I6" s="1372"/>
    </row>
    <row r="7" spans="1:12" ht="12.75">
      <c r="A7" s="3577"/>
      <c r="B7" s="3632"/>
      <c r="C7" s="3636"/>
      <c r="D7" s="3623"/>
      <c r="E7" s="131" t="s">
        <v>1271</v>
      </c>
      <c r="F7" s="1756"/>
      <c r="G7" s="1756"/>
      <c r="H7" s="1756"/>
      <c r="I7" s="1372"/>
    </row>
    <row r="8" spans="1:12" ht="12.75">
      <c r="A8" s="3577" t="s">
        <v>1272</v>
      </c>
      <c r="B8" s="3632">
        <v>15</v>
      </c>
      <c r="C8" s="3635"/>
      <c r="D8" s="3623"/>
      <c r="E8" s="131" t="s">
        <v>1273</v>
      </c>
      <c r="F8" s="1756"/>
      <c r="G8" s="1756"/>
      <c r="H8" s="1756"/>
      <c r="I8" s="1372"/>
    </row>
    <row r="9" spans="1:12" ht="12.75">
      <c r="A9" s="3577"/>
      <c r="B9" s="3632"/>
      <c r="C9" s="3636"/>
      <c r="D9" s="3623"/>
      <c r="E9" s="131" t="s">
        <v>1274</v>
      </c>
      <c r="F9" s="1756"/>
      <c r="G9" s="1756"/>
      <c r="H9" s="1756"/>
      <c r="I9" s="1372"/>
    </row>
    <row r="10" spans="1:12" ht="12.75">
      <c r="A10" s="3577" t="s">
        <v>1275</v>
      </c>
      <c r="B10" s="3632">
        <v>15</v>
      </c>
      <c r="C10" s="3635"/>
      <c r="D10" s="3623"/>
      <c r="E10" s="131" t="s">
        <v>1276</v>
      </c>
      <c r="F10" s="1756"/>
      <c r="G10" s="1756"/>
      <c r="H10" s="1756"/>
      <c r="I10" s="1372"/>
    </row>
    <row r="11" spans="1:12" ht="12.75">
      <c r="A11" s="3577"/>
      <c r="B11" s="3632"/>
      <c r="C11" s="3636"/>
      <c r="D11" s="3623"/>
      <c r="E11" s="131" t="s">
        <v>1277</v>
      </c>
      <c r="F11" s="1756"/>
      <c r="G11" s="1756"/>
      <c r="H11" s="1756"/>
      <c r="I11" s="1372"/>
    </row>
    <row r="12" spans="1:12" ht="12.75">
      <c r="A12" s="3577" t="s">
        <v>1278</v>
      </c>
      <c r="B12" s="3632">
        <v>15</v>
      </c>
      <c r="C12" s="3635"/>
      <c r="D12" s="3623"/>
      <c r="E12" s="131" t="s">
        <v>1279</v>
      </c>
      <c r="F12" s="1756"/>
      <c r="G12" s="1756"/>
      <c r="H12" s="1756"/>
      <c r="I12" s="1372"/>
    </row>
    <row r="13" spans="1:12" ht="12.75">
      <c r="A13" s="3577"/>
      <c r="B13" s="3632"/>
      <c r="C13" s="3636"/>
      <c r="D13" s="3623"/>
      <c r="E13" s="131" t="s">
        <v>1280</v>
      </c>
      <c r="F13" s="1756"/>
      <c r="G13" s="1756"/>
      <c r="H13" s="1756"/>
      <c r="I13" s="1372"/>
    </row>
    <row r="14" spans="1:12" ht="12.75">
      <c r="A14" s="3577" t="s">
        <v>1281</v>
      </c>
      <c r="B14" s="3632">
        <v>30</v>
      </c>
      <c r="C14" s="3635">
        <v>1</v>
      </c>
      <c r="D14" s="3623">
        <v>0</v>
      </c>
      <c r="E14" s="131" t="s">
        <v>1282</v>
      </c>
      <c r="F14" s="1756"/>
      <c r="G14" s="1756"/>
      <c r="H14" s="1756"/>
      <c r="I14" s="1372"/>
    </row>
    <row r="15" spans="1:12" ht="12.75">
      <c r="A15" s="3577"/>
      <c r="B15" s="3632"/>
      <c r="C15" s="3637"/>
      <c r="D15" s="3623"/>
      <c r="E15" s="131" t="s">
        <v>1283</v>
      </c>
      <c r="F15" s="1756"/>
      <c r="G15" s="1756"/>
      <c r="H15" s="1756"/>
      <c r="I15" s="1372"/>
    </row>
    <row r="16" spans="1:12" ht="12.75">
      <c r="A16" s="3577"/>
      <c r="B16" s="3632"/>
      <c r="C16" s="3636"/>
      <c r="D16" s="3623"/>
      <c r="E16" s="131" t="s">
        <v>1284</v>
      </c>
      <c r="F16" s="1756"/>
      <c r="G16" s="1756"/>
      <c r="H16" s="1756"/>
      <c r="I16" s="1372"/>
    </row>
    <row r="17" spans="1:36" ht="15">
      <c r="A17" s="1757" t="s">
        <v>1285</v>
      </c>
      <c r="B17" s="56"/>
      <c r="C17" s="132">
        <f>SUM(C5:C16)</f>
        <v>1</v>
      </c>
      <c r="D17" s="132">
        <f>SUM(D5:D16)</f>
        <v>0</v>
      </c>
      <c r="E17" s="129"/>
      <c r="F17" s="129"/>
      <c r="G17" s="129"/>
      <c r="H17" s="129"/>
      <c r="I17" s="129"/>
      <c r="K17" s="302"/>
      <c r="L17" s="302" t="s">
        <v>1286</v>
      </c>
      <c r="M17" s="302" t="s">
        <v>1287</v>
      </c>
    </row>
    <row r="18" spans="1:36" ht="31.9" customHeight="1" thickBot="1">
      <c r="A18" s="1758" t="s">
        <v>1288</v>
      </c>
      <c r="B18" s="1759"/>
      <c r="C18" s="133">
        <f>ROUND(C17/SUM(C17:D17),2)</f>
        <v>1</v>
      </c>
      <c r="D18" s="133">
        <f>1-C18</f>
        <v>0</v>
      </c>
      <c r="E18" s="3654" t="s">
        <v>2128</v>
      </c>
      <c r="F18" s="3655"/>
      <c r="G18" s="3655"/>
      <c r="H18" s="3655"/>
      <c r="I18" s="3655"/>
      <c r="K18" s="302" t="s">
        <v>1289</v>
      </c>
      <c r="L18" s="302">
        <f>IF(C1="",'数据-汇总表'!E3,SUMIF(项目类型,C1,'数据-汇总表'!E17:E26)+SUMIF(项目类型,C1,'数据-汇总表'!I17:I26))</f>
        <v>69.12</v>
      </c>
      <c r="M18" s="302">
        <f>IF(C1="",'数据-汇总表'!E3,SUMIF(项目类型,C1,'数据-汇总表'!E17:E26))</f>
        <v>69.12</v>
      </c>
    </row>
    <row r="19" spans="1:36" ht="15">
      <c r="A19" s="1760" t="s">
        <v>1290</v>
      </c>
      <c r="B19" s="1761" t="s">
        <v>1291</v>
      </c>
      <c r="C19" s="134">
        <f ca="1">SUMIF(INDIRECT("'"&amp;C4&amp;"'"&amp;"!A:A"),结果表!B19,INDIRECT("'"&amp;C4&amp;"'"&amp;"!B:B"))</f>
        <v>106.0577</v>
      </c>
      <c r="D19" s="135">
        <f ca="1">SUMIF(INDIRECT("'"&amp;D4&amp;"'"&amp;"!A:A"),结果表!B19,INDIRECT("'"&amp;D4&amp;"'"&amp;"!B:B"))</f>
        <v>27.8993</v>
      </c>
      <c r="E19" s="1760" t="s">
        <v>1292</v>
      </c>
      <c r="F19" s="1761" t="s">
        <v>1291</v>
      </c>
      <c r="G19" s="136">
        <f ca="1">ROUND(C19*$C$18+D19*$D$18,0)</f>
        <v>106</v>
      </c>
      <c r="H19" s="1762" t="s">
        <v>1293</v>
      </c>
      <c r="I19" s="129"/>
      <c r="K19" s="302" t="s">
        <v>1294</v>
      </c>
      <c r="L19" s="302">
        <f>IF(C1="",'数据-汇总表'!D3,SUMIF(项目类型,C1,'数据-汇总表'!D17:D26)+SUMIF(项目类型,C1,'数据-汇总表'!H17:H27))</f>
        <v>4.7</v>
      </c>
      <c r="M19" s="302">
        <f>IF(C1="",'数据-汇总表'!D3,SUMIF(项目类型,C1,'数据-汇总表'!D17:D26))</f>
        <v>4.7</v>
      </c>
    </row>
    <row r="20" spans="1:36" ht="15">
      <c r="A20" s="1763"/>
      <c r="B20" s="1025" t="s">
        <v>1295</v>
      </c>
      <c r="C20" s="137">
        <f ca="1">SUMIF(INDIRECT("'"&amp;C4&amp;"'"&amp;"!A:A"),结果表!B20,INDIRECT("'"&amp;C4&amp;"'"&amp;"!B:B"))</f>
        <v>15344</v>
      </c>
      <c r="D20" s="138">
        <f ca="1">SUMIF(INDIRECT("'"&amp;D4&amp;"'"&amp;"!A:A"),结果表!B20,INDIRECT("'"&amp;D4&amp;"'"&amp;"!B:B"))</f>
        <v>4036</v>
      </c>
      <c r="E20" s="1763"/>
      <c r="F20" s="1025" t="s">
        <v>1295</v>
      </c>
      <c r="G20" s="139">
        <f ca="1">ROUND(C20*$C$18+D20*$D$18,0)</f>
        <v>15344</v>
      </c>
      <c r="H20" s="808" t="s">
        <v>1296</v>
      </c>
      <c r="I20" s="129"/>
    </row>
    <row r="21" spans="1:36" ht="15" customHeight="1" thickBot="1">
      <c r="A21" s="828"/>
      <c r="B21" s="1764" t="s">
        <v>1297</v>
      </c>
      <c r="C21" s="719">
        <f ca="1">ROUND(C19*10000/L19,0)</f>
        <v>225655</v>
      </c>
      <c r="D21" s="720">
        <f ca="1">ROUND(D19*10000/L19,0)</f>
        <v>59360</v>
      </c>
      <c r="E21" s="828"/>
      <c r="F21" s="1764" t="s">
        <v>1297</v>
      </c>
      <c r="G21" s="140">
        <f ca="1">ROUND(G19*10000/L19,0)</f>
        <v>225532</v>
      </c>
      <c r="H21" s="1765" t="s">
        <v>1296</v>
      </c>
      <c r="I21" s="129"/>
    </row>
    <row r="22" spans="1:36" ht="15" thickBot="1">
      <c r="A22" s="1687" t="s">
        <v>1298</v>
      </c>
      <c r="B22" s="1766"/>
      <c r="C22" s="1767"/>
      <c r="D22" s="721">
        <f ca="1">IF(C19&lt;D19,D19/C19-1,C19/D19-1)</f>
        <v>2.8014466312774871</v>
      </c>
      <c r="E22" s="129"/>
      <c r="F22" s="129"/>
      <c r="G22" s="129"/>
      <c r="H22" s="129"/>
      <c r="I22" s="129"/>
    </row>
    <row r="23" spans="1:36" ht="13.5" thickBot="1">
      <c r="A23" s="1746"/>
      <c r="B23" s="1746"/>
      <c r="C23" s="1746"/>
      <c r="D23" s="1746"/>
      <c r="E23" s="129"/>
      <c r="F23" s="129"/>
      <c r="G23" s="129"/>
      <c r="H23" s="129"/>
      <c r="I23" s="129"/>
    </row>
    <row r="24" spans="1:36" ht="14.25">
      <c r="A24" s="3647" t="s">
        <v>1299</v>
      </c>
      <c r="B24" s="1761" t="s">
        <v>1291</v>
      </c>
      <c r="C24" s="136">
        <f>IF(B30=0,0,D30)</f>
        <v>0</v>
      </c>
      <c r="D24" s="1768"/>
      <c r="E24" s="129"/>
      <c r="F24" s="129"/>
      <c r="G24" s="129"/>
      <c r="H24" s="129"/>
      <c r="I24" s="129"/>
    </row>
    <row r="25" spans="1:36" ht="14.25">
      <c r="A25" s="364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15344</v>
      </c>
      <c r="D32" s="1774" t="s">
        <v>3397</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4" t="s">
        <v>1312</v>
      </c>
      <c r="B36" s="1786" t="s">
        <v>1313</v>
      </c>
      <c r="C36" s="145"/>
      <c r="D36" s="1787"/>
      <c r="E36" s="1788"/>
      <c r="F36" s="1789"/>
      <c r="G36" s="129"/>
      <c r="H36" s="129"/>
      <c r="I36" s="129"/>
    </row>
    <row r="37" spans="1:15" ht="15.75" thickBot="1">
      <c r="A37" s="3625"/>
      <c r="B37" s="1673" t="s">
        <v>1314</v>
      </c>
      <c r="C37" s="147"/>
      <c r="D37" s="1138"/>
      <c r="E37" s="1138"/>
      <c r="F37" s="1789"/>
      <c r="G37" s="129"/>
      <c r="H37" s="129"/>
      <c r="I37" s="129"/>
    </row>
    <row r="38" spans="1:15" ht="15.75" thickBot="1">
      <c r="A38" s="362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4" t="s">
        <v>1326</v>
      </c>
      <c r="B45" s="3645"/>
      <c r="C45" s="3646"/>
      <c r="D45" s="155">
        <f ca="1">ROUND(H101*F45,0)</f>
        <v>106</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5"/>
      <c r="I46" s="159"/>
      <c r="J46" s="2521">
        <v>1</v>
      </c>
      <c r="K46" s="3565" t="s">
        <v>1331</v>
      </c>
      <c r="L46" s="3565"/>
      <c r="M46" s="3566"/>
      <c r="N46" s="3566"/>
      <c r="O46" s="3566"/>
    </row>
    <row r="47" spans="1:15" ht="12" customHeight="1">
      <c r="A47" s="160" t="s">
        <v>1332</v>
      </c>
      <c r="B47" s="161"/>
      <c r="C47" s="162"/>
      <c r="D47" s="1086" t="s">
        <v>1333</v>
      </c>
      <c r="E47" s="302" t="s">
        <v>1334</v>
      </c>
      <c r="F47" s="163" t="s">
        <v>1335</v>
      </c>
      <c r="G47" s="2544" t="s">
        <v>1336</v>
      </c>
      <c r="H47" s="2545"/>
      <c r="I47" s="159"/>
      <c r="J47" s="2521">
        <v>2</v>
      </c>
      <c r="K47" s="3565" t="s">
        <v>1337</v>
      </c>
      <c r="L47" s="3565"/>
      <c r="M47" s="3567">
        <f>'数据-取费表'!B2</f>
        <v>44942</v>
      </c>
      <c r="N47" s="3567"/>
      <c r="O47" s="3567"/>
    </row>
    <row r="48" spans="1:15" ht="25.5">
      <c r="A48" s="3627" t="s">
        <v>1338</v>
      </c>
      <c r="B48" s="3628"/>
      <c r="C48" s="3628"/>
      <c r="D48" s="2322" t="b">
        <f>IF(H48="情况1",0,IF(H48="情况2",D52,IF(H48="情况3",D53,IF(H48="情况4",D54))))</f>
        <v>0</v>
      </c>
      <c r="E48" s="2332" t="str">
        <f>IF(H48="情况4","(销售额-原购置价)×税（费）率","销售额×税（费）率")</f>
        <v>销售额×税（费）率</v>
      </c>
      <c r="F48" s="2546">
        <f>IF(H48="情况1","免征",'数据-取费表'!B41)</f>
        <v>5.6500000000000002E-2</v>
      </c>
      <c r="G48" s="2547" t="s">
        <v>1339</v>
      </c>
      <c r="H48" s="2548"/>
      <c r="I48" s="1805"/>
      <c r="J48" s="2521">
        <v>3</v>
      </c>
      <c r="K48" s="3565" t="s">
        <v>1340</v>
      </c>
      <c r="L48" s="3565"/>
      <c r="M48" s="3568">
        <f ca="1">H101</f>
        <v>106</v>
      </c>
      <c r="N48" s="3568"/>
      <c r="O48" s="3568"/>
    </row>
    <row r="49" spans="1:35" ht="25.5" customHeight="1">
      <c r="A49" s="2331" t="s">
        <v>1341</v>
      </c>
      <c r="B49" s="3613" t="s">
        <v>1342</v>
      </c>
      <c r="C49" s="3613"/>
      <c r="D49" s="1589">
        <v>0</v>
      </c>
      <c r="E49" s="324" t="s">
        <v>1343</v>
      </c>
      <c r="F49" s="2422" t="s">
        <v>28</v>
      </c>
      <c r="G49" s="3596"/>
      <c r="H49" s="2308" t="s">
        <v>2131</v>
      </c>
      <c r="I49" s="2309"/>
      <c r="J49" s="2521">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49"/>
      <c r="B50" s="3613" t="s">
        <v>1344</v>
      </c>
      <c r="C50" s="3613"/>
      <c r="D50" s="2550"/>
      <c r="E50" s="332"/>
      <c r="F50" s="2422"/>
      <c r="G50" s="3597"/>
      <c r="H50" s="2310" t="s">
        <v>2132</v>
      </c>
      <c r="I50" s="2309"/>
      <c r="J50" s="3564" t="s">
        <v>1345</v>
      </c>
      <c r="K50" s="3564"/>
      <c r="L50" s="3564"/>
      <c r="M50" s="3564"/>
      <c r="N50" s="3564"/>
      <c r="O50" s="3564"/>
    </row>
    <row r="51" spans="1:35" ht="20.45" customHeight="1">
      <c r="A51" s="2551"/>
      <c r="B51" s="3613" t="s">
        <v>1346</v>
      </c>
      <c r="C51" s="3613"/>
      <c r="D51" s="1086"/>
      <c r="E51" s="327"/>
      <c r="F51" s="2422"/>
      <c r="G51" s="3598"/>
      <c r="H51" s="2310" t="s">
        <v>2133</v>
      </c>
      <c r="I51" s="2309"/>
      <c r="J51" s="2522" t="s">
        <v>1347</v>
      </c>
      <c r="K51" s="3565" t="s">
        <v>1348</v>
      </c>
      <c r="L51" s="3565"/>
      <c r="M51" s="2522" t="s">
        <v>1349</v>
      </c>
      <c r="N51" s="2522" t="s">
        <v>1350</v>
      </c>
      <c r="O51" s="2522" t="s">
        <v>1351</v>
      </c>
    </row>
    <row r="52" spans="1:35" ht="24" customHeight="1">
      <c r="A52" s="2333" t="s">
        <v>1352</v>
      </c>
      <c r="B52" s="3613" t="s">
        <v>1353</v>
      </c>
      <c r="C52" s="3613"/>
      <c r="D52" s="1086">
        <f ca="1">ROUND(D45*'数据-取费表'!B41/(1+'数据-取费表'!C42),0)</f>
        <v>6</v>
      </c>
      <c r="E52" s="2332" t="s">
        <v>1354</v>
      </c>
      <c r="F52" s="2552">
        <f>'数据-取费表'!B41</f>
        <v>5.6500000000000002E-2</v>
      </c>
      <c r="G52" s="2553"/>
      <c r="H52" s="2542"/>
      <c r="I52" s="1806"/>
      <c r="J52" s="2521">
        <v>1</v>
      </c>
      <c r="K52" s="3590" t="s">
        <v>1355</v>
      </c>
      <c r="L52" s="3590"/>
      <c r="M52" s="2523" t="b">
        <f>D48</f>
        <v>0</v>
      </c>
      <c r="N52" s="2521" t="str">
        <f>E48</f>
        <v>销售额×税（费）率</v>
      </c>
      <c r="O52" s="2524">
        <f>F48</f>
        <v>5.6500000000000002E-2</v>
      </c>
    </row>
    <row r="53" spans="1:35" ht="12" customHeight="1">
      <c r="A53" s="2333" t="s">
        <v>1356</v>
      </c>
      <c r="B53" s="3614" t="s">
        <v>2288</v>
      </c>
      <c r="C53" s="3615"/>
      <c r="D53" s="1086">
        <f ca="1">ROUND(D45*'数据-取费表'!B41/(1+'数据-取费表'!C42),0)</f>
        <v>6</v>
      </c>
      <c r="E53" s="2332" t="s">
        <v>1354</v>
      </c>
      <c r="F53" s="2552">
        <f>'数据-取费表'!B41</f>
        <v>5.6500000000000002E-2</v>
      </c>
      <c r="G53" s="2553"/>
      <c r="H53" s="2542"/>
      <c r="I53" s="1806"/>
      <c r="J53" s="2521">
        <v>2</v>
      </c>
      <c r="K53" s="3590" t="s">
        <v>1357</v>
      </c>
      <c r="L53" s="3590"/>
      <c r="M53" s="2523">
        <f t="shared" ref="M53:O54" ca="1" si="0">D55</f>
        <v>0</v>
      </c>
      <c r="N53" s="2521" t="str">
        <f t="shared" si="0"/>
        <v>销售额×税（费）率</v>
      </c>
      <c r="O53" s="2524" t="str">
        <f t="shared" si="0"/>
        <v>免征</v>
      </c>
    </row>
    <row r="54" spans="1:35" ht="12" customHeight="1">
      <c r="A54" s="2333" t="s">
        <v>1358</v>
      </c>
      <c r="B54" s="3614" t="s">
        <v>2289</v>
      </c>
      <c r="C54" s="3615"/>
      <c r="D54" s="1086">
        <f ca="1">C68</f>
        <v>6</v>
      </c>
      <c r="E54" s="327" t="s">
        <v>1359</v>
      </c>
      <c r="F54" s="2552">
        <f>'数据-取费表'!B41</f>
        <v>5.6500000000000002E-2</v>
      </c>
      <c r="G54" s="2553"/>
      <c r="H54" s="2554"/>
      <c r="I54" s="1806"/>
      <c r="J54" s="2521">
        <v>3</v>
      </c>
      <c r="K54" s="3590" t="s">
        <v>1360</v>
      </c>
      <c r="L54" s="3590"/>
      <c r="M54" s="2523">
        <f t="shared" ca="1" si="0"/>
        <v>60</v>
      </c>
      <c r="N54" s="2521" t="str">
        <f t="shared" si="0"/>
        <v>增值额×税（费）率</v>
      </c>
      <c r="O54" s="2525" t="str">
        <f t="shared" si="0"/>
        <v>免征</v>
      </c>
    </row>
    <row r="55" spans="1:35" ht="24" customHeight="1">
      <c r="A55" s="3650" t="s">
        <v>1361</v>
      </c>
      <c r="B55" s="3628"/>
      <c r="C55" s="3628"/>
      <c r="D55" s="2322">
        <f ca="1">IF(H55="个人住宅",0,ROUND(D45*I55,0))</f>
        <v>0</v>
      </c>
      <c r="E55" s="2332" t="s">
        <v>1362</v>
      </c>
      <c r="F55" s="2552" t="str">
        <f>IF(H55="正常",I55,"免征")</f>
        <v>免征</v>
      </c>
      <c r="G55" s="2553"/>
      <c r="H55" s="2548"/>
      <c r="I55" s="165">
        <f>'数据-取费表'!B49</f>
        <v>5.0000000000000001E-4</v>
      </c>
      <c r="J55" s="2521">
        <f>IF(H59="非个人房产","",4)</f>
        <v>4</v>
      </c>
      <c r="K55" s="3590" t="str">
        <f>IF(H59="非个人房产","——","个人所得税")</f>
        <v>个人所得税</v>
      </c>
      <c r="L55" s="3590"/>
      <c r="M55" s="2526">
        <f ca="1">D59</f>
        <v>1</v>
      </c>
      <c r="N55" s="2038" t="str">
        <f>E59</f>
        <v>差额计税</v>
      </c>
      <c r="O55" s="2527">
        <f>F59</f>
        <v>0.01</v>
      </c>
    </row>
    <row r="56" spans="1:35" ht="24.75">
      <c r="A56" s="3650" t="s">
        <v>1363</v>
      </c>
      <c r="B56" s="3628"/>
      <c r="C56" s="3628"/>
      <c r="D56" s="2322">
        <f ca="1">IF(H56="个人住宅",D57,D58)</f>
        <v>60</v>
      </c>
      <c r="E56" s="2332" t="s">
        <v>1364</v>
      </c>
      <c r="F56" s="2552" t="str">
        <f>IF(H56="正常",F58,"免征")</f>
        <v>免征</v>
      </c>
      <c r="G56" s="2555" t="s">
        <v>1365</v>
      </c>
      <c r="H56" s="2556"/>
      <c r="I56" s="1807"/>
      <c r="J56" s="2521" t="str">
        <f>IF(项目基本情况!K6="上海银行",IF(J55="",4,J55+1),"")</f>
        <v/>
      </c>
      <c r="K56" s="3571" t="str">
        <f>IF(项目基本情况!K6="上海银行","其他处置费用","")</f>
        <v/>
      </c>
      <c r="L56" s="3572"/>
      <c r="M56" s="2523" t="str">
        <f>IF(项目基本情况!K6="上海银行",M69,"")</f>
        <v/>
      </c>
      <c r="N56" s="3571" t="str">
        <f>IF(项目基本情况!K6="上海银行","包含处置中涉及的律师、诉讼、拍卖、评估等费用","")</f>
        <v/>
      </c>
      <c r="O56" s="3574"/>
    </row>
    <row r="57" spans="1:35" ht="12.75">
      <c r="A57" s="2333" t="s">
        <v>1341</v>
      </c>
      <c r="B57" s="3614" t="s">
        <v>1366</v>
      </c>
      <c r="C57" s="3615"/>
      <c r="D57" s="1589">
        <v>0</v>
      </c>
      <c r="E57" s="324" t="s">
        <v>1343</v>
      </c>
      <c r="F57" s="302"/>
      <c r="G57" s="2553"/>
      <c r="H57" s="2557"/>
      <c r="I57" s="1807"/>
      <c r="J57" s="3590">
        <f>IF(AND(J55="",J56=""),4,IF(项目基本情况!K6="上海银行",结果表!J56+1,结果表!J55+1))</f>
        <v>5</v>
      </c>
      <c r="K57" s="3590" t="s">
        <v>1367</v>
      </c>
      <c r="L57" s="2528" t="s">
        <v>1368</v>
      </c>
      <c r="M57" s="2529"/>
      <c r="N57" s="2530">
        <f ca="1">SUMIF(M52:M56,"&lt;9e307")</f>
        <v>61</v>
      </c>
      <c r="O57" s="2531"/>
      <c r="P57" s="2688" t="e">
        <f ca="1">N57/M49</f>
        <v>#VALUE!</v>
      </c>
    </row>
    <row r="58" spans="1:35" ht="24.75">
      <c r="A58" s="2333" t="s">
        <v>1352</v>
      </c>
      <c r="B58" s="3614" t="s">
        <v>1369</v>
      </c>
      <c r="C58" s="3613"/>
      <c r="D58" s="2322">
        <f ca="1">IF(H58="转让取得",C81,C97)</f>
        <v>60</v>
      </c>
      <c r="E58" s="2332" t="s">
        <v>1364</v>
      </c>
      <c r="F58" s="302" t="s">
        <v>28</v>
      </c>
      <c r="G58" s="2553"/>
      <c r="H58" s="2556"/>
      <c r="I58" s="1807"/>
      <c r="J58" s="3590"/>
      <c r="K58" s="3590"/>
      <c r="L58" s="2528" t="s">
        <v>1370</v>
      </c>
      <c r="M58" s="2532"/>
      <c r="N58" s="2533" t="str">
        <f ca="1">NUMBERSTRING(INT(N57*10000),2)&amp;"元整"</f>
        <v>陆拾壹万元整</v>
      </c>
      <c r="O58" s="2534"/>
    </row>
    <row r="59" spans="1:35" ht="24.75" thickBot="1">
      <c r="A59" s="3594" t="s">
        <v>1371</v>
      </c>
      <c r="B59" s="3595"/>
      <c r="C59" s="3595"/>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592">
        <f>J57+1</f>
        <v>6</v>
      </c>
      <c r="K59" s="3590" t="s">
        <v>1372</v>
      </c>
      <c r="L59" s="2521" t="s">
        <v>1368</v>
      </c>
      <c r="M59" s="2535"/>
      <c r="N59" s="2536" t="e">
        <f ca="1">M49-N57</f>
        <v>#VALUE!</v>
      </c>
      <c r="O59" s="2537"/>
    </row>
    <row r="60" spans="1:35" ht="12" customHeight="1">
      <c r="A60" s="1808"/>
      <c r="B60" s="1746"/>
      <c r="C60" s="1746"/>
      <c r="D60" s="1746"/>
      <c r="E60" s="1577"/>
      <c r="F60" s="1807"/>
      <c r="G60" s="1807"/>
      <c r="H60" s="1809"/>
      <c r="I60" s="129"/>
      <c r="J60" s="3593"/>
      <c r="K60" s="3590"/>
      <c r="L60" s="2528" t="s">
        <v>1370</v>
      </c>
      <c r="M60" s="2532"/>
      <c r="N60" s="2533" t="e">
        <f ca="1">NUMBERSTRING(INT(N59*10000),2)&amp;"元整"</f>
        <v>#VALUE!</v>
      </c>
      <c r="O60" s="2534"/>
    </row>
    <row r="61" spans="1:35" ht="13.5" thickBot="1">
      <c r="A61" s="3649" t="s">
        <v>1373</v>
      </c>
      <c r="B61" s="3649"/>
      <c r="C61" s="3649"/>
      <c r="D61" s="3649"/>
      <c r="E61" s="3649"/>
      <c r="F61" s="1807"/>
      <c r="G61" s="1807"/>
      <c r="H61" s="1809"/>
      <c r="I61" s="129"/>
      <c r="J61" s="2521">
        <f>J59+1</f>
        <v>7</v>
      </c>
      <c r="K61" s="3590" t="s">
        <v>1374</v>
      </c>
      <c r="L61" s="3590"/>
      <c r="M61" s="2538"/>
      <c r="N61" s="2539" t="e">
        <f ca="1">ROUND(N59*10000/'数据-汇总表'!E3,0)</f>
        <v>#VALUE!</v>
      </c>
      <c r="O61" s="2540"/>
    </row>
    <row r="62" spans="1:35" ht="12.75">
      <c r="A62" s="3609" t="s">
        <v>1375</v>
      </c>
      <c r="B62" s="3610"/>
      <c r="C62" s="2019"/>
      <c r="D62" s="2019" t="s">
        <v>1376</v>
      </c>
      <c r="E62" s="166" t="s">
        <v>1377</v>
      </c>
      <c r="F62" s="1807"/>
      <c r="G62" s="1807"/>
      <c r="H62" s="1809"/>
      <c r="I62" s="129"/>
    </row>
    <row r="63" spans="1:35" ht="12.75">
      <c r="A63" s="173" t="s">
        <v>330</v>
      </c>
      <c r="B63" s="167" t="s">
        <v>1378</v>
      </c>
      <c r="C63" s="2562">
        <f ca="1">ROUND((C64+C65)/(1+'数据-取费表'!C42),0)</f>
        <v>101</v>
      </c>
      <c r="D63" s="167"/>
      <c r="E63" s="168"/>
      <c r="F63" s="1807"/>
      <c r="G63" s="1807"/>
      <c r="H63" s="1809"/>
      <c r="I63" s="129"/>
      <c r="J63" s="3573"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106</v>
      </c>
      <c r="D64" s="170" t="s">
        <v>26</v>
      </c>
      <c r="E64" s="172"/>
      <c r="F64" s="1807"/>
      <c r="G64" s="1807"/>
      <c r="H64" s="1809"/>
      <c r="I64" s="129"/>
      <c r="J64" s="357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73"/>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73"/>
      <c r="K66" s="1331" t="s">
        <v>1387</v>
      </c>
      <c r="L66" s="1331" t="e">
        <f>M49*0.5%</f>
        <v>#VALUE!</v>
      </c>
      <c r="M66" s="302" t="e">
        <f>IF(L66&gt;0.5,0.5,ROUND(L66,0))</f>
        <v>#VALUE!</v>
      </c>
      <c r="N66" s="2542" t="s">
        <v>1388</v>
      </c>
      <c r="Z66" s="1751"/>
      <c r="AI66" s="1752"/>
    </row>
    <row r="67" spans="1:35" ht="14.25" customHeight="1">
      <c r="A67" s="173" t="s">
        <v>328</v>
      </c>
      <c r="B67" s="174" t="s">
        <v>1389</v>
      </c>
      <c r="C67" s="2566">
        <f ca="1">C63-C66</f>
        <v>101</v>
      </c>
      <c r="D67" s="170" t="s">
        <v>26</v>
      </c>
      <c r="E67" s="172"/>
      <c r="F67" s="1807"/>
      <c r="G67" s="1807"/>
      <c r="H67" s="1809"/>
      <c r="I67" s="129"/>
      <c r="J67" s="357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6</v>
      </c>
      <c r="D68" s="2568">
        <f>'数据-取费表'!B41</f>
        <v>5.6500000000000002E-2</v>
      </c>
      <c r="E68" s="178"/>
      <c r="F68" s="1807"/>
      <c r="G68" s="1807"/>
      <c r="H68" s="1809"/>
      <c r="I68" s="129"/>
      <c r="J68" s="3573"/>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73"/>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9" t="s">
        <v>1375</v>
      </c>
      <c r="B71" s="3610"/>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101</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4" t="s">
        <v>1402</v>
      </c>
      <c r="F76" s="3613"/>
      <c r="G76" s="3613"/>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v>
      </c>
      <c r="D78" s="2575">
        <f>'数据-取费表'!B43</f>
        <v>6.5000000000000006E-3</v>
      </c>
      <c r="E78" s="3606" t="s">
        <v>1406</v>
      </c>
      <c r="F78" s="3607"/>
      <c r="G78" s="3607"/>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100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60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9" t="s">
        <v>1375</v>
      </c>
      <c r="B84" s="3610"/>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101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75" t="s">
        <v>2126</v>
      </c>
      <c r="H90" s="3576"/>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6" t="s">
        <v>1422</v>
      </c>
      <c r="F92" s="3607"/>
      <c r="G92" s="3607"/>
      <c r="H92" s="3608"/>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v>
      </c>
      <c r="D93" s="2575">
        <f>'数据-取费表'!B43</f>
        <v>6.5000000000000006E-3</v>
      </c>
      <c r="E93" s="3606" t="s">
        <v>1406</v>
      </c>
      <c r="F93" s="3607"/>
      <c r="G93" s="3607"/>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1" t="s">
        <v>1426</v>
      </c>
      <c r="F94" s="3652"/>
      <c r="G94" s="3652"/>
      <c r="H94" s="365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100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100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60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3" t="str">
        <f>C4</f>
        <v>比较法-住宅</v>
      </c>
      <c r="D101" s="2584" t="str">
        <f>D4</f>
        <v>收益法 (元)</v>
      </c>
      <c r="E101" s="3569" t="s">
        <v>1431</v>
      </c>
      <c r="F101" s="3570"/>
      <c r="G101" s="1826" t="s">
        <v>1432</v>
      </c>
      <c r="H101" s="2593">
        <f ca="1">H118</f>
        <v>106</v>
      </c>
      <c r="I101" s="129"/>
    </row>
    <row r="102" spans="1:35" ht="18.75" customHeight="1">
      <c r="A102" s="3601" t="s">
        <v>1433</v>
      </c>
      <c r="B102" s="2582" t="s">
        <v>1432</v>
      </c>
      <c r="C102" s="2583">
        <f ca="1">IF(D32="楼面单价",ROUND(C19,0),C19)</f>
        <v>106</v>
      </c>
      <c r="D102" s="2584">
        <f ca="1">IF(D32="楼面单价",ROUND(D19,0),D19)</f>
        <v>28</v>
      </c>
      <c r="E102" s="3569"/>
      <c r="F102" s="3570"/>
      <c r="G102" s="1826" t="s">
        <v>1434</v>
      </c>
      <c r="H102" s="2553">
        <f ca="1">I118</f>
        <v>15344</v>
      </c>
      <c r="I102" s="129"/>
    </row>
    <row r="103" spans="1:35" ht="42.75" customHeight="1">
      <c r="A103" s="3601"/>
      <c r="B103" s="2582" t="s">
        <v>1434</v>
      </c>
      <c r="C103" s="2585">
        <f ca="1">C20</f>
        <v>15344</v>
      </c>
      <c r="D103" s="2586">
        <f ca="1">D20</f>
        <v>4036</v>
      </c>
      <c r="E103" s="3562" t="s">
        <v>1435</v>
      </c>
      <c r="F103" s="3563"/>
      <c r="G103" s="1827" t="s">
        <v>1436</v>
      </c>
      <c r="H103" s="2593">
        <f>IF(D36="正常操作",H104+H105+H106,H105+H106)</f>
        <v>0</v>
      </c>
      <c r="I103" s="129"/>
    </row>
    <row r="104" spans="1:35" ht="18.75" customHeight="1">
      <c r="A104" s="3601" t="s">
        <v>1437</v>
      </c>
      <c r="B104" s="2587" t="s">
        <v>1432</v>
      </c>
      <c r="C104" s="2588">
        <f ca="1">H118</f>
        <v>106</v>
      </c>
      <c r="D104" s="2589"/>
      <c r="E104" s="1673" t="s">
        <v>1438</v>
      </c>
      <c r="F104" s="1665"/>
      <c r="G104" s="1827" t="s">
        <v>1436</v>
      </c>
      <c r="H104" s="2594">
        <f>IF(D36="同一抵押权人同一抵押物续贷",C36&amp;"（续贷，未扣减，详见特别提示）",C36)</f>
        <v>0</v>
      </c>
      <c r="I104" s="129"/>
    </row>
    <row r="105" spans="1:35" ht="18.75" customHeight="1" thickBot="1">
      <c r="A105" s="3611"/>
      <c r="B105" s="2590" t="s">
        <v>1434</v>
      </c>
      <c r="C105" s="2591">
        <f ca="1">I118</f>
        <v>15344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2" t="str">
        <f>IF(项目基本情况!E8="已注销","——","3.房地产抵押价值")</f>
        <v>3.房地产抵押价值</v>
      </c>
      <c r="F107" s="3570"/>
      <c r="G107" s="1826" t="s">
        <v>1432</v>
      </c>
      <c r="H107" s="2593">
        <f ca="1">IF(E107="——","——",H101-H103)</f>
        <v>106</v>
      </c>
      <c r="I107" s="129"/>
    </row>
    <row r="108" spans="1:35" ht="18.75" customHeight="1">
      <c r="A108" s="129"/>
      <c r="B108" s="129"/>
      <c r="C108" s="129"/>
      <c r="D108" s="129"/>
      <c r="E108" s="3602"/>
      <c r="F108" s="3570"/>
      <c r="G108" s="1826" t="s">
        <v>1434</v>
      </c>
      <c r="H108" s="2553">
        <f ca="1">IF(H107=H101,H102,ROUND(H107*10000/'数据-汇总表'!E3,0))</f>
        <v>15344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6" t="s">
        <v>1432</v>
      </c>
      <c r="H109" s="2596" t="str">
        <f>IF(E109="——","——",H101-H105-H106)</f>
        <v>——</v>
      </c>
      <c r="I109" s="129"/>
    </row>
    <row r="110" spans="1:35" ht="18.75" customHeight="1">
      <c r="A110" s="129"/>
      <c r="B110" s="129"/>
      <c r="C110" s="129"/>
      <c r="D110" s="129"/>
      <c r="E110" s="3602"/>
      <c r="F110" s="3570"/>
      <c r="G110" s="1826" t="s">
        <v>1434</v>
      </c>
      <c r="H110" s="2553"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6" t="s">
        <v>1432</v>
      </c>
      <c r="H111" s="2593" t="str">
        <f>IF(E111="——","——",N59)</f>
        <v>——</v>
      </c>
      <c r="I111" s="129"/>
    </row>
    <row r="112" spans="1:35" ht="18.75" customHeight="1" thickBot="1">
      <c r="A112" s="129"/>
      <c r="B112" s="129"/>
      <c r="C112" s="129"/>
      <c r="D112" s="129"/>
      <c r="E112" s="3604"/>
      <c r="F112" s="3605"/>
      <c r="G112" s="1829" t="s">
        <v>1434</v>
      </c>
      <c r="H112" s="2597"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7" t="s">
        <v>1449</v>
      </c>
      <c r="E117" s="2327" t="s">
        <v>1450</v>
      </c>
      <c r="F117" s="2327" t="s">
        <v>1449</v>
      </c>
      <c r="G117" s="2327" t="s">
        <v>1451</v>
      </c>
      <c r="H117" s="2327" t="s">
        <v>1449</v>
      </c>
      <c r="I117" s="2327" t="s">
        <v>1451</v>
      </c>
    </row>
    <row r="118" spans="1:27" ht="24.75" customHeight="1">
      <c r="A118" s="2598" t="str">
        <f>项目基本情况!S2</f>
        <v>房地产</v>
      </c>
      <c r="B118" s="2327">
        <f>M18</f>
        <v>69.12</v>
      </c>
      <c r="C118" s="2327">
        <f>M19</f>
        <v>4.7</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106</v>
      </c>
      <c r="I118" s="2327">
        <f ca="1">ROUND(IF(D32="楼面单价",C32,H118*10000/B118),0)</f>
        <v>15344</v>
      </c>
    </row>
    <row r="119" spans="1:27" ht="18.75" customHeight="1">
      <c r="A119" s="3577" t="s">
        <v>1452</v>
      </c>
      <c r="B119" s="3577"/>
      <c r="C119" s="3577"/>
      <c r="D119" s="3583" t="e">
        <f ca="1">NUMBERSTRING(INT(D118*10000),2)&amp;"元整"</f>
        <v>#REF!</v>
      </c>
      <c r="E119" s="3584"/>
      <c r="F119" s="3583" t="e">
        <f ca="1">NUMBERSTRING(INT(F118*10000),2)&amp;"元整"</f>
        <v>#REF!</v>
      </c>
      <c r="G119" s="3584"/>
      <c r="H119" s="3583" t="str">
        <f ca="1">NUMBERSTRING(INT(H118*10000),2)&amp;"元整"</f>
        <v>壹佰零陆万元整</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f ca="1">H107</f>
        <v>106</v>
      </c>
      <c r="E122" s="3579"/>
      <c r="F122" s="3579"/>
      <c r="G122" s="3579"/>
      <c r="H122" s="3579"/>
      <c r="I122" s="3580"/>
      <c r="AA122" s="725"/>
    </row>
    <row r="123" spans="1:27" ht="18.75" customHeight="1">
      <c r="A123" s="3577" t="s">
        <v>1452</v>
      </c>
      <c r="B123" s="3577"/>
      <c r="C123" s="3577"/>
      <c r="D123" s="3583" t="str">
        <f ca="1">NUMBERSTRING(INT(D122*10000),2)&amp;"元整"</f>
        <v>壹佰零陆万元整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69.12</v>
      </c>
      <c r="E9" s="225">
        <f>'数据-取费表'!B27</f>
        <v>165</v>
      </c>
      <c r="F9" s="221"/>
      <c r="G9" s="1856"/>
      <c r="H9" s="1136"/>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5.3800000000000001E-2</v>
      </c>
      <c r="D30" s="236" t="s">
        <v>1514</v>
      </c>
      <c r="E30" s="241"/>
      <c r="F30" s="237">
        <f>'数据-取费表'!B41</f>
        <v>5.6500000000000002E-2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69.12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8.0000000000000004E-4</v>
      </c>
      <c r="D44" s="238"/>
      <c r="E44" s="238"/>
      <c r="F44" s="239"/>
      <c r="G44" s="3658"/>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5.3800000000000001E-2</v>
      </c>
      <c r="D48" s="236" t="s">
        <v>1539</v>
      </c>
      <c r="E48" s="232"/>
      <c r="F48" s="237">
        <f>F30</f>
        <v>5.6500000000000002E-2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25.658999999999999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11405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11405</v>
      </c>
      <c r="D8" s="222"/>
      <c r="E8" s="220"/>
      <c r="F8" s="221"/>
      <c r="G8" s="1855"/>
    </row>
    <row r="9" spans="1:8" s="214" customFormat="1" ht="13.5" customHeight="1">
      <c r="A9" s="779" t="s">
        <v>355</v>
      </c>
      <c r="B9" s="224" t="s">
        <v>1478</v>
      </c>
      <c r="C9" s="225">
        <f ca="1">ROUND(D9*E9,0)</f>
        <v>11405</v>
      </c>
      <c r="D9" s="845">
        <f ca="1">IF(B1="",'数据-汇总表'!E5,IF(INDIRECT("'数据-取费表'!c"&amp;$G$1)="住宅",INDIRECT("'数据-取费表'!k"&amp;$G$1),0))</f>
        <v>69.12</v>
      </c>
      <c r="E9" s="225">
        <f>'数据-取费表'!B27</f>
        <v>165</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13824</v>
      </c>
      <c r="D19" s="849">
        <f ca="1">D9+D10</f>
        <v>69.12</v>
      </c>
      <c r="E19" s="211">
        <f>'数据-取费表'!B31</f>
        <v>200</v>
      </c>
      <c r="F19" s="231"/>
      <c r="G19" s="1855"/>
    </row>
    <row r="20" spans="1:7" s="214" customFormat="1" ht="13.5" customHeight="1">
      <c r="A20" s="255" t="s">
        <v>1574</v>
      </c>
      <c r="B20" s="210" t="s">
        <v>1575</v>
      </c>
      <c r="C20" s="232">
        <f ca="1">ROUND((C5+C19)*F20,0)</f>
        <v>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2158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966</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1171</v>
      </c>
      <c r="D24" s="238"/>
      <c r="E24" s="238"/>
      <c r="F24" s="239"/>
      <c r="G24" s="240" t="s">
        <v>1586</v>
      </c>
    </row>
    <row r="25" spans="1:7" s="214" customFormat="1" ht="24">
      <c r="A25" s="780" t="s">
        <v>1476</v>
      </c>
      <c r="B25" s="215" t="s">
        <v>1587</v>
      </c>
      <c r="C25" s="1127">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3860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3860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5.3800000000000001E-2</v>
      </c>
      <c r="D30" s="236" t="s">
        <v>1514</v>
      </c>
      <c r="E30" s="241"/>
      <c r="F30" s="237">
        <f>'数据-取费表'!B41</f>
        <v>5.6500000000000002E-2</v>
      </c>
      <c r="G30" s="234" t="s">
        <v>1520</v>
      </c>
    </row>
    <row r="31" spans="1:7" ht="16.5" customHeight="1">
      <c r="A31" s="209">
        <v>1</v>
      </c>
      <c r="B31" s="210" t="s">
        <v>1521</v>
      </c>
      <c r="C31" s="211">
        <f ca="1">ROUND((C5+C19+C20+C22+C27)/(1-C21-D22-D27-C30),0)</f>
        <v>34423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207360</v>
      </c>
      <c r="D34" s="217"/>
      <c r="E34" s="220"/>
      <c r="F34" s="257"/>
      <c r="G34" s="219"/>
    </row>
    <row r="35" spans="1:7" ht="13.5" customHeight="1">
      <c r="A35" s="780" t="s">
        <v>351</v>
      </c>
      <c r="B35" s="215" t="s">
        <v>1527</v>
      </c>
      <c r="C35" s="220">
        <f ca="1">ROUND(C34*F35,0)</f>
        <v>6221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10368</v>
      </c>
      <c r="D36" s="220"/>
      <c r="E36" s="220"/>
      <c r="F36" s="259">
        <f>'数据-取费表'!B34</f>
        <v>0.05</v>
      </c>
      <c r="G36" s="260" t="s">
        <v>1530</v>
      </c>
    </row>
    <row r="37" spans="1:7" s="258" customFormat="1" ht="13.5" customHeight="1">
      <c r="A37" s="780" t="s">
        <v>353</v>
      </c>
      <c r="B37" s="215" t="s">
        <v>1531</v>
      </c>
      <c r="C37" s="249">
        <f ca="1">ROUND(E37*D37,0)</f>
        <v>13824</v>
      </c>
      <c r="D37" s="217">
        <f ca="1">D19</f>
        <v>69.12</v>
      </c>
      <c r="E37" s="249">
        <f>'数据-取费表'!B35</f>
        <v>200</v>
      </c>
      <c r="F37" s="259"/>
      <c r="G37" s="261"/>
    </row>
    <row r="38" spans="1:7" ht="13.5" customHeight="1">
      <c r="A38" s="780" t="s">
        <v>354</v>
      </c>
      <c r="B38" s="215" t="s">
        <v>1533</v>
      </c>
      <c r="C38" s="220">
        <f ca="1">ROUND(C34*F38,0)</f>
        <v>3110</v>
      </c>
      <c r="D38" s="220"/>
      <c r="E38" s="220"/>
      <c r="F38" s="259">
        <f>'数据-取费表'!B36</f>
        <v>1.4999999999999999E-2</v>
      </c>
      <c r="G38" s="219" t="s">
        <v>1528</v>
      </c>
    </row>
    <row r="39" spans="1:7" s="214" customFormat="1" ht="13.5" customHeight="1">
      <c r="A39" s="255" t="s">
        <v>1534</v>
      </c>
      <c r="B39" s="210" t="s">
        <v>1535</v>
      </c>
      <c r="C39" s="232">
        <f ca="1">ROUND(C33*F20,0)</f>
        <v>4818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10197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9997</v>
      </c>
      <c r="D42" s="238"/>
      <c r="E42" s="238"/>
      <c r="F42" s="239"/>
      <c r="G42" s="3656" t="s">
        <v>1591</v>
      </c>
    </row>
    <row r="43" spans="1:7" ht="13.5" customHeight="1">
      <c r="A43" s="780" t="s">
        <v>347</v>
      </c>
      <c r="B43" s="215" t="s">
        <v>1545</v>
      </c>
      <c r="C43" s="238">
        <f ca="1">ROUND(IF('数据-取费表'!B22&lt;=1,C39*F22*'数据-取费表'!B20/2,C39*(POWER((1+F22),'数据-取费表'!B20/2)-1)),0)</f>
        <v>200</v>
      </c>
      <c r="D43" s="238"/>
      <c r="E43" s="238"/>
      <c r="F43" s="239"/>
      <c r="G43" s="3657"/>
    </row>
    <row r="44" spans="1:7" ht="13.5" customHeight="1">
      <c r="A44" s="780" t="s">
        <v>348</v>
      </c>
      <c r="B44" s="215" t="s">
        <v>1546</v>
      </c>
      <c r="C44" s="238">
        <f ca="1">ROUND(IF('数据-取费表'!B22&lt;=1,C40*F22*'数据-取费表'!B20/2,C40*(POWER((1+F22),'数据-取费表'!B20/2)-1)),4)</f>
        <v>8.0000000000000004E-4</v>
      </c>
      <c r="D44" s="238"/>
      <c r="E44" s="238"/>
      <c r="F44" s="239"/>
      <c r="G44" s="3658"/>
    </row>
    <row r="45" spans="1:7" s="214" customFormat="1" ht="13.5" customHeight="1">
      <c r="A45" s="255" t="s">
        <v>1547</v>
      </c>
      <c r="B45" s="244" t="s">
        <v>1513</v>
      </c>
      <c r="C45" s="245">
        <f ca="1">C46</f>
        <v>36855</v>
      </c>
      <c r="D45" s="235">
        <f ca="1">C47</f>
        <v>3.0000000000000001E-3</v>
      </c>
      <c r="E45" s="236" t="s">
        <v>1539</v>
      </c>
      <c r="F45" s="246">
        <f ca="1">F27</f>
        <v>0.15</v>
      </c>
      <c r="G45" s="247" t="s">
        <v>1548</v>
      </c>
    </row>
    <row r="46" spans="1:7" s="214" customFormat="1" ht="13.5" customHeight="1">
      <c r="A46" s="780" t="s">
        <v>346</v>
      </c>
      <c r="B46" s="248" t="s">
        <v>1549</v>
      </c>
      <c r="C46" s="249">
        <f ca="1">ROUND((C33+C39)*F27,0)</f>
        <v>36855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5.3800000000000001E-2</v>
      </c>
      <c r="D48" s="236" t="s">
        <v>1539</v>
      </c>
      <c r="E48" s="232"/>
      <c r="F48" s="237">
        <f>F30</f>
        <v>5.6500000000000002E-2</v>
      </c>
      <c r="G48" s="234" t="s">
        <v>1552</v>
      </c>
    </row>
    <row r="49" spans="1:7" ht="16.5" customHeight="1">
      <c r="A49" s="255" t="s">
        <v>1518</v>
      </c>
      <c r="B49" s="210" t="s">
        <v>1592</v>
      </c>
      <c r="C49" s="232">
        <f ca="1">ROUND((C33+C39+C41+C45)/(1-C40-D41-D45-C48),0)</f>
        <v>317382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222167</v>
      </c>
      <c r="D51" s="232"/>
      <c r="E51" s="232"/>
      <c r="F51" s="264"/>
      <c r="G51" s="234" t="s">
        <v>1560</v>
      </c>
    </row>
    <row r="52" spans="1:7" s="208" customFormat="1" ht="16.5" thickBot="1">
      <c r="A52" s="265" t="s">
        <v>1561</v>
      </c>
      <c r="B52" s="266"/>
      <c r="C52" s="267">
        <f ca="1">C31+C51</f>
        <v>256590</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-145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69.12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69.12</v>
      </c>
      <c r="E19" s="21">
        <f>'数据-取费表'!B27</f>
        <v>165</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5.6500000000000002E-2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0</v>
      </c>
      <c r="D6" s="155" t="s">
        <v>2106</v>
      </c>
      <c r="E6" s="302" t="s">
        <v>696</v>
      </c>
      <c r="F6" s="303">
        <f ca="1">INDIRECT("'数据-取费表'!u"&amp;$G$1)</f>
        <v>0</v>
      </c>
      <c r="G6" s="1383"/>
      <c r="H6" s="1068" t="s">
        <v>398</v>
      </c>
      <c r="I6" s="3661" t="s">
        <v>694</v>
      </c>
      <c r="J6" s="301">
        <f ca="1">ROUND(M6*M8*M7*(1-M9)/10000,0)</f>
        <v>0</v>
      </c>
      <c r="K6" s="155" t="s">
        <v>2105</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5.6500000000000002E-2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5.3800000000000001E-2</v>
      </c>
      <c r="D28" s="323" t="s">
        <v>765</v>
      </c>
      <c r="E28" s="302" t="s">
        <v>712</v>
      </c>
      <c r="F28" s="322">
        <f>'数据-取费表'!B41</f>
        <v>5.6500000000000002E-2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5.6500000000000002E-2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5.6500000000000002E-2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3363</v>
      </c>
      <c r="E2" s="3442"/>
      <c r="F2" s="2844"/>
      <c r="G2" s="2845"/>
      <c r="H2" s="2846"/>
      <c r="I2" s="2847"/>
      <c r="J2" s="3664" t="s">
        <v>2317</v>
      </c>
      <c r="K2" s="366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6" t="s">
        <v>2327</v>
      </c>
      <c r="K3" s="366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6" t="s">
        <v>2329</v>
      </c>
      <c r="K4" s="366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8" t="s">
        <v>2333</v>
      </c>
      <c r="B6" s="3669"/>
      <c r="C6" s="3670"/>
      <c r="D6" s="2868"/>
      <c r="E6" s="2869"/>
      <c r="F6" s="2870"/>
      <c r="G6" s="2871"/>
      <c r="H6" s="2846"/>
      <c r="I6" s="2847"/>
      <c r="J6" s="3671">
        <v>1</v>
      </c>
      <c r="K6" s="367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71"/>
      <c r="K7" s="367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75" t="s">
        <v>2347</v>
      </c>
      <c r="C8" s="3676"/>
      <c r="D8" s="2887" t="s">
        <v>2348</v>
      </c>
      <c r="E8" s="2888" t="s">
        <v>2349</v>
      </c>
      <c r="F8" s="2889" t="s">
        <v>2350</v>
      </c>
      <c r="G8" s="2890"/>
      <c r="H8" s="2846"/>
      <c r="I8" s="2847"/>
      <c r="J8" s="3671"/>
      <c r="K8" s="367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75" t="s">
        <v>2353</v>
      </c>
      <c r="C9" s="3676"/>
      <c r="D9" s="2887">
        <f>ROUND(D6*E9,0)</f>
        <v>0</v>
      </c>
      <c r="E9" s="2891"/>
      <c r="F9" s="2892" t="s">
        <v>2354</v>
      </c>
      <c r="G9" s="2871"/>
      <c r="H9" s="2846"/>
      <c r="I9" s="2847"/>
      <c r="J9" s="3671"/>
      <c r="K9" s="3673"/>
      <c r="L9" s="2881" t="s">
        <v>2355</v>
      </c>
      <c r="M9" s="2882"/>
      <c r="N9" s="2858"/>
      <c r="O9" s="2883"/>
      <c r="P9" s="2883"/>
      <c r="Q9" s="2884">
        <v>365</v>
      </c>
      <c r="R9" s="2885">
        <f t="shared" si="0"/>
        <v>0</v>
      </c>
      <c r="S9" s="2839"/>
      <c r="T9" s="2839"/>
      <c r="U9" s="2839"/>
      <c r="V9" s="2847"/>
    </row>
    <row r="10" spans="1:22" s="2851" customFormat="1" ht="13.15" customHeight="1">
      <c r="A10" s="2886">
        <v>2</v>
      </c>
      <c r="B10" s="3675" t="s">
        <v>2356</v>
      </c>
      <c r="C10" s="3676"/>
      <c r="D10" s="2887">
        <f>ROUND(D6*E10,0)</f>
        <v>0</v>
      </c>
      <c r="E10" s="2891"/>
      <c r="F10" s="2892" t="s">
        <v>2357</v>
      </c>
      <c r="G10" s="2871"/>
      <c r="H10" s="2846"/>
      <c r="I10" s="2847"/>
      <c r="J10" s="3671"/>
      <c r="K10" s="3673"/>
      <c r="L10" s="2881" t="s">
        <v>2358</v>
      </c>
      <c r="M10" s="2882"/>
      <c r="N10" s="2858"/>
      <c r="O10" s="2883"/>
      <c r="P10" s="2883"/>
      <c r="Q10" s="2884">
        <v>365</v>
      </c>
      <c r="R10" s="2885">
        <f t="shared" si="0"/>
        <v>0</v>
      </c>
      <c r="S10" s="2839"/>
      <c r="T10" s="2839"/>
      <c r="U10" s="2839"/>
      <c r="V10" s="2847"/>
    </row>
    <row r="11" spans="1:22" s="2851" customFormat="1" ht="13.15" customHeight="1">
      <c r="A11" s="2886">
        <v>3</v>
      </c>
      <c r="B11" s="3675" t="s">
        <v>2359</v>
      </c>
      <c r="C11" s="3676"/>
      <c r="D11" s="2887">
        <f>D12+D14+D15+D16</f>
        <v>0</v>
      </c>
      <c r="E11" s="2893" t="e">
        <f>D11/D6</f>
        <v>#DIV/0!</v>
      </c>
      <c r="F11" s="2889"/>
      <c r="G11" s="2890"/>
      <c r="H11" s="2846"/>
      <c r="I11" s="2847"/>
      <c r="J11" s="3671"/>
      <c r="K11" s="367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7" t="s">
        <v>2362</v>
      </c>
      <c r="C12" s="3678"/>
      <c r="D12" s="2895">
        <f>ROUND(D13*1.2%*(1-30%),0)</f>
        <v>0</v>
      </c>
      <c r="E12" s="2896">
        <v>1.2E-2</v>
      </c>
      <c r="F12" s="2889" t="s">
        <v>2363</v>
      </c>
      <c r="G12" s="2890"/>
      <c r="H12" s="2846"/>
      <c r="I12" s="2847"/>
      <c r="J12" s="3671"/>
      <c r="K12" s="367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71"/>
      <c r="K13" s="367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7" t="s">
        <v>2368</v>
      </c>
      <c r="C14" s="3678"/>
      <c r="D14" s="2895">
        <f>ROUND(E14*B5/10000,0)</f>
        <v>0</v>
      </c>
      <c r="E14" s="2884"/>
      <c r="F14" s="2889" t="s">
        <v>2369</v>
      </c>
      <c r="G14" s="2890"/>
      <c r="H14" s="2846"/>
      <c r="I14" s="2847"/>
      <c r="J14" s="3671"/>
      <c r="K14" s="367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7" t="s">
        <v>2372</v>
      </c>
      <c r="C15" s="3678"/>
      <c r="D15" s="2895">
        <f>ROUND(D6*E15,0)</f>
        <v>0</v>
      </c>
      <c r="E15" s="2896">
        <v>5.5E-2</v>
      </c>
      <c r="F15" s="2889" t="s">
        <v>2373</v>
      </c>
      <c r="G15" s="2871"/>
      <c r="H15" s="2846"/>
      <c r="I15" s="2847"/>
      <c r="J15" s="3671">
        <v>2</v>
      </c>
      <c r="K15" s="367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7" t="s">
        <v>2381</v>
      </c>
      <c r="C16" s="3678"/>
      <c r="D16" s="2906">
        <f>D6*E16</f>
        <v>0</v>
      </c>
      <c r="E16" s="2907"/>
      <c r="F16" s="2892" t="s">
        <v>2382</v>
      </c>
      <c r="G16" s="2871"/>
      <c r="H16" s="2846"/>
      <c r="I16" s="2847"/>
      <c r="J16" s="3671"/>
      <c r="K16" s="367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2384</v>
      </c>
      <c r="C17" s="3680"/>
      <c r="D17" s="2909">
        <f>ROUND(D6*E17,0)</f>
        <v>0</v>
      </c>
      <c r="E17" s="2910"/>
      <c r="F17" s="2911" t="s">
        <v>2385</v>
      </c>
      <c r="G17" s="2871"/>
      <c r="H17" s="2846"/>
      <c r="I17" s="2847"/>
      <c r="J17" s="3671"/>
      <c r="K17" s="367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71"/>
      <c r="K18" s="367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71"/>
      <c r="K19" s="367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1">
        <v>3</v>
      </c>
      <c r="K20" s="367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71"/>
      <c r="K21" s="367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71"/>
      <c r="K22" s="367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71"/>
      <c r="K23" s="367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71"/>
      <c r="K24" s="367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8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8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64" t="s">
        <v>2317</v>
      </c>
      <c r="K32" s="366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6" t="s">
        <v>2327</v>
      </c>
      <c r="K33" s="366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6" t="s">
        <v>2329</v>
      </c>
      <c r="K34" s="366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71">
        <v>1</v>
      </c>
      <c r="K36" s="367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71"/>
      <c r="K37" s="367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1"/>
      <c r="K38" s="367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71"/>
      <c r="K39" s="367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71"/>
      <c r="K40" s="367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8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27.8993</v>
      </c>
      <c r="C2" s="1871" t="s">
        <v>1651</v>
      </c>
      <c r="D2" s="1872" t="s">
        <v>1652</v>
      </c>
      <c r="E2" s="2605">
        <f>SUM(E6:E13)</f>
        <v>69.12</v>
      </c>
      <c r="F2" s="2705"/>
      <c r="G2" s="1488"/>
      <c r="H2" s="1488"/>
      <c r="I2" s="1488"/>
      <c r="J2" s="1488"/>
      <c r="K2" s="1488"/>
      <c r="L2" s="1488"/>
      <c r="M2" s="1488"/>
      <c r="N2" s="1488"/>
      <c r="O2" s="1488"/>
      <c r="P2" s="1488"/>
      <c r="Q2" s="1488"/>
      <c r="R2" s="1488"/>
      <c r="S2" s="1488"/>
    </row>
    <row r="3" spans="1:22" ht="15.75">
      <c r="A3" s="1869" t="s">
        <v>686</v>
      </c>
      <c r="B3" s="2599">
        <f ca="1">ROUND(B2*10000/E2,0)</f>
        <v>4036</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83" t="s">
        <v>1654</v>
      </c>
      <c r="C5" s="3684"/>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27.8993</v>
      </c>
      <c r="C6" s="1871" t="s">
        <v>1651</v>
      </c>
      <c r="D6" s="2707"/>
      <c r="E6" s="2604">
        <f>IF(OR(A6=0,F6="否"),0,'数据-取费表'!K6+'数据-取费表'!S6)</f>
        <v>69.12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C21" sqref="C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4" t="s">
        <v>3388</v>
      </c>
      <c r="F1" s="1878" t="s">
        <v>3389</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106.0577</v>
      </c>
      <c r="C2" s="1880" t="s">
        <v>43</v>
      </c>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15344</v>
      </c>
      <c r="C3" s="354" t="s">
        <v>1665</v>
      </c>
      <c r="D3" s="353">
        <f>IF(D1="",'数据-汇总表'!E3,SUMIF('数据-汇总表'!$C19:$C33,D1,'数据-汇总表'!$E19:$E33))</f>
        <v>69.12</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3" t="s">
        <v>1667</v>
      </c>
      <c r="D4" s="3704"/>
      <c r="E4" s="3705" t="s">
        <v>1668</v>
      </c>
      <c r="F4" s="3706"/>
      <c r="G4" s="3703" t="s">
        <v>1669</v>
      </c>
      <c r="H4" s="3704"/>
      <c r="I4" s="3703" t="s">
        <v>1670</v>
      </c>
      <c r="J4" s="3704"/>
      <c r="K4" s="1888" t="s">
        <v>1671</v>
      </c>
      <c r="L4" s="2713"/>
      <c r="M4" s="2714"/>
      <c r="N4" s="2714"/>
      <c r="O4" s="2714"/>
      <c r="P4" s="3707" t="s">
        <v>1672</v>
      </c>
      <c r="Q4" s="3708"/>
      <c r="R4" s="3690" t="s">
        <v>1668</v>
      </c>
      <c r="S4" s="3691"/>
      <c r="T4" s="3690" t="s">
        <v>1669</v>
      </c>
      <c r="U4" s="3691"/>
      <c r="V4" s="3715" t="s">
        <v>1670</v>
      </c>
      <c r="W4" s="3715"/>
      <c r="X4" s="1354"/>
      <c r="Y4" s="3690" t="s">
        <v>1672</v>
      </c>
      <c r="Z4" s="3691"/>
      <c r="AA4" s="3685" t="s">
        <v>1668</v>
      </c>
      <c r="AB4" s="3685" t="s">
        <v>1669</v>
      </c>
      <c r="AC4" s="3685" t="s">
        <v>1670</v>
      </c>
    </row>
    <row r="5" spans="1:29" ht="15">
      <c r="A5" s="358"/>
      <c r="B5" s="359"/>
      <c r="C5" s="3696" t="s">
        <v>1673</v>
      </c>
      <c r="D5" s="3697"/>
      <c r="E5" s="3694" t="str">
        <f>Sheet1!C146</f>
        <v>友爱南里</v>
      </c>
      <c r="F5" s="3695"/>
      <c r="G5" s="3696" t="str">
        <f>Sheet1!C147</f>
        <v>友爱南里</v>
      </c>
      <c r="H5" s="3697"/>
      <c r="I5" s="3696" t="str">
        <f>Sheet1!C148</f>
        <v>友爱南里</v>
      </c>
      <c r="J5" s="3697"/>
      <c r="K5" s="188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188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0"/>
      <c r="L7" s="2715"/>
      <c r="M7" s="2716"/>
      <c r="N7" s="2716"/>
      <c r="O7" s="2716"/>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75" thickBot="1">
      <c r="A8" s="362" t="s">
        <v>1681</v>
      </c>
      <c r="B8" s="363"/>
      <c r="C8" s="3450" t="s">
        <v>3391</v>
      </c>
      <c r="D8" s="365">
        <v>100</v>
      </c>
      <c r="E8" s="3451" t="s">
        <v>3391</v>
      </c>
      <c r="F8" s="367">
        <f>SUMIF(61:61,E8,62:62)-SUMIF(61:61,C8,62:62)+100</f>
        <v>100</v>
      </c>
      <c r="G8" s="3450" t="s">
        <v>3391</v>
      </c>
      <c r="H8" s="365">
        <f>SUMIF(61:61,G8,62:62)-SUMIF(61:61,C8,62:62)+100</f>
        <v>100</v>
      </c>
      <c r="I8" s="3451" t="s">
        <v>3391</v>
      </c>
      <c r="J8" s="365">
        <f>SUMIF(61:61,I8,62:62)-SUMIF(61:61,C8,62:62)+100</f>
        <v>100</v>
      </c>
      <c r="K8" s="1890"/>
      <c r="L8" s="2715"/>
      <c r="M8" s="2716"/>
      <c r="N8" s="2716"/>
      <c r="O8" s="2716"/>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449" t="s">
        <v>3390</v>
      </c>
      <c r="D9" s="126">
        <v>100</v>
      </c>
      <c r="E9" s="3452" t="s">
        <v>3390</v>
      </c>
      <c r="F9" s="372">
        <f>SUMIF(63:63,E9,64:64)-SUMIF(63:63,C9,64:64)+100</f>
        <v>100</v>
      </c>
      <c r="G9" s="3453" t="s">
        <v>3390</v>
      </c>
      <c r="H9" s="126">
        <f>SUMIF(63:63,G9,64:64)-SUMIF(63:63,C9,64:64)+100</f>
        <v>100</v>
      </c>
      <c r="I9" s="3453" t="s">
        <v>3390</v>
      </c>
      <c r="J9" s="126">
        <f>SUMIF(63:63,I9,64:64)-SUMIF(63:63,C9,64:64)+100</f>
        <v>100</v>
      </c>
      <c r="K9" s="189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02"/>
      <c r="Q11" s="1342"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2"/>
      <c r="Q12" s="1342">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2"/>
      <c r="Q13" s="1342">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2"/>
      <c r="Q14" s="1342">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1" t="str">
        <f t="shared" si="6"/>
        <v>居住社区成熟度</v>
      </c>
      <c r="R15" s="705" t="s">
        <v>18</v>
      </c>
      <c r="S15" s="706">
        <f t="shared" si="0"/>
        <v>100</v>
      </c>
      <c r="T15" s="705" t="s">
        <v>18</v>
      </c>
      <c r="U15" s="706">
        <f t="shared" si="1"/>
        <v>100</v>
      </c>
      <c r="V15" s="705" t="s">
        <v>18</v>
      </c>
      <c r="W15" s="706">
        <f t="shared" si="2"/>
        <v>100</v>
      </c>
      <c r="X15" s="1354"/>
      <c r="Y15" s="3722"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730"/>
      <c r="Q16" s="1351"/>
      <c r="R16" s="705"/>
      <c r="S16" s="706"/>
      <c r="T16" s="705"/>
      <c r="U16" s="706"/>
      <c r="V16" s="705"/>
      <c r="W16" s="706"/>
      <c r="X16" s="1354"/>
      <c r="Y16" s="3723"/>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1" t="str">
        <f>B17</f>
        <v>交通便捷度</v>
      </c>
      <c r="R17" s="705" t="s">
        <v>18</v>
      </c>
      <c r="S17" s="706">
        <f>F17</f>
        <v>100</v>
      </c>
      <c r="T17" s="705" t="s">
        <v>18</v>
      </c>
      <c r="U17" s="706">
        <f>H17</f>
        <v>100</v>
      </c>
      <c r="V17" s="705" t="s">
        <v>18</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1" t="str">
        <f>B19</f>
        <v>公共配套设施</v>
      </c>
      <c r="R19" s="705" t="s">
        <v>18</v>
      </c>
      <c r="S19" s="706">
        <f>F19</f>
        <v>100</v>
      </c>
      <c r="T19" s="705" t="s">
        <v>18</v>
      </c>
      <c r="U19" s="706">
        <f>H19</f>
        <v>100</v>
      </c>
      <c r="V19" s="705" t="s">
        <v>18</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730"/>
      <c r="Q22" s="1351"/>
      <c r="R22" s="705"/>
      <c r="S22" s="706"/>
      <c r="T22" s="705"/>
      <c r="U22" s="706"/>
      <c r="V22" s="705"/>
      <c r="W22" s="706"/>
      <c r="X22" s="1354"/>
      <c r="Y22" s="3723"/>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1" t="str">
        <f>B23</f>
        <v>自然及人文环境</v>
      </c>
      <c r="R23" s="705" t="s">
        <v>18</v>
      </c>
      <c r="S23" s="706">
        <f>F23</f>
        <v>100</v>
      </c>
      <c r="T23" s="705" t="s">
        <v>18</v>
      </c>
      <c r="U23" s="706">
        <f>H23</f>
        <v>100</v>
      </c>
      <c r="V23" s="705" t="s">
        <v>18</v>
      </c>
      <c r="W23" s="706">
        <f>J23</f>
        <v>100</v>
      </c>
      <c r="X23" s="1354"/>
      <c r="Y23" s="3723"/>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3"/>
      <c r="Z25" s="1355" t="str">
        <f>Q25</f>
        <v>楼层-1</v>
      </c>
      <c r="AA25" s="1352">
        <f t="shared" ref="AA25:AA46" si="15">D25/F25</f>
        <v>1</v>
      </c>
      <c r="AB25" s="1352">
        <f t="shared" ref="AB25:AB46" si="16">D25/H25</f>
        <v>1</v>
      </c>
      <c r="AC25" s="1352">
        <f t="shared" ref="AC25:AC46" si="17">D25/J25</f>
        <v>1</v>
      </c>
    </row>
    <row r="26" spans="1:29" ht="15">
      <c r="A26" s="379"/>
      <c r="B26" s="375" t="s">
        <v>1693</v>
      </c>
      <c r="C26" s="3456" t="s">
        <v>3402</v>
      </c>
      <c r="D26" s="386">
        <v>100</v>
      </c>
      <c r="E26" s="411" t="str">
        <f>Sheet1!G146</f>
        <v>南北</v>
      </c>
      <c r="F26" s="386">
        <f>SUMIF(88:88,E26,89:89)-SUMIF(88:88,C26,89:89)+100</f>
        <v>103</v>
      </c>
      <c r="G26" s="3457" t="s">
        <v>3427</v>
      </c>
      <c r="H26" s="386">
        <f>SUMIF(88:88,G26,89:89)-SUMIF(88:88,C26,89:89)+100</f>
        <v>102</v>
      </c>
      <c r="I26" s="3457" t="s">
        <v>3427</v>
      </c>
      <c r="J26" s="386">
        <f>SUMIF(88:88,I26,89:89)-SUMIF(88:88,C26,89:89)+100</f>
        <v>102</v>
      </c>
      <c r="K26" s="377">
        <v>1</v>
      </c>
      <c r="L26" s="2720"/>
      <c r="M26" s="2714"/>
      <c r="N26" s="2714"/>
      <c r="O26" s="2714"/>
      <c r="P26" s="3730"/>
      <c r="Q26" s="1351" t="str">
        <f t="shared" si="11"/>
        <v>朝向</v>
      </c>
      <c r="R26" s="705" t="s">
        <v>18</v>
      </c>
      <c r="S26" s="706">
        <f t="shared" si="12"/>
        <v>103</v>
      </c>
      <c r="T26" s="705" t="s">
        <v>18</v>
      </c>
      <c r="U26" s="706">
        <f t="shared" si="13"/>
        <v>102</v>
      </c>
      <c r="V26" s="705" t="s">
        <v>18</v>
      </c>
      <c r="W26" s="706">
        <f t="shared" si="14"/>
        <v>102</v>
      </c>
      <c r="X26" s="1354"/>
      <c r="Y26" s="3723"/>
      <c r="Z26" s="1355" t="str">
        <f>Q26</f>
        <v>朝向</v>
      </c>
      <c r="AA26" s="1352">
        <f t="shared" si="15"/>
        <v>0.970873786407767</v>
      </c>
      <c r="AB26" s="1352">
        <f t="shared" si="16"/>
        <v>0.98039215686274506</v>
      </c>
      <c r="AC26" s="1352">
        <f t="shared" si="17"/>
        <v>0.98039215686274506</v>
      </c>
    </row>
    <row r="27" spans="1:29" s="108" customFormat="1" ht="15">
      <c r="A27" s="382"/>
      <c r="B27" s="3454" t="s">
        <v>3392</v>
      </c>
      <c r="C27" s="3455" t="s">
        <v>3421</v>
      </c>
      <c r="D27" s="413">
        <v>100</v>
      </c>
      <c r="E27" s="383" t="str">
        <f>Sheet1!F146</f>
        <v>中区</v>
      </c>
      <c r="F27" s="413">
        <f>SUMIF(90:90,E27,91:91)-SUMIF(90:90,C27,91:91)+100</f>
        <v>95</v>
      </c>
      <c r="G27" s="1958" t="str">
        <f>Sheet1!F147</f>
        <v>低区</v>
      </c>
      <c r="H27" s="413">
        <f>SUMIF(90:90,G27,91:91)-SUMIF(90:90,C27,91:91)+100</f>
        <v>90</v>
      </c>
      <c r="I27" s="1958" t="str">
        <f>Sheet1!F148</f>
        <v>中区</v>
      </c>
      <c r="J27" s="413">
        <f>SUMIF(90:90,I27,91:91)-SUMIF(90:90,C27,91:91)+100</f>
        <v>95</v>
      </c>
      <c r="K27" s="1892"/>
      <c r="L27" s="2715"/>
      <c r="M27" s="2716"/>
      <c r="N27" s="2716"/>
      <c r="O27" s="2716"/>
      <c r="P27" s="3730"/>
      <c r="Q27" s="1342" t="str">
        <f t="shared" si="11"/>
        <v>楼层</v>
      </c>
      <c r="R27" s="701" t="s">
        <v>18</v>
      </c>
      <c r="S27" s="702">
        <f t="shared" si="12"/>
        <v>95</v>
      </c>
      <c r="T27" s="701" t="s">
        <v>18</v>
      </c>
      <c r="U27" s="702">
        <f t="shared" si="13"/>
        <v>90</v>
      </c>
      <c r="V27" s="701" t="s">
        <v>18</v>
      </c>
      <c r="W27" s="702">
        <f t="shared" si="14"/>
        <v>95</v>
      </c>
      <c r="X27" s="703"/>
      <c r="Y27" s="3723"/>
      <c r="Z27" s="52" t="str">
        <f>Q27</f>
        <v>楼层</v>
      </c>
      <c r="AA27" s="1352">
        <f t="shared" si="15"/>
        <v>1.0526315789473684</v>
      </c>
      <c r="AB27" s="1352">
        <f t="shared" si="16"/>
        <v>1.1111111111111112</v>
      </c>
      <c r="AC27" s="1352">
        <f t="shared" si="17"/>
        <v>1.0526315789473684</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0"/>
      <c r="Q28" s="1351">
        <f t="shared" si="11"/>
        <v>111</v>
      </c>
      <c r="R28" s="705" t="s">
        <v>18</v>
      </c>
      <c r="S28" s="706">
        <f t="shared" si="12"/>
        <v>100</v>
      </c>
      <c r="T28" s="705" t="s">
        <v>18</v>
      </c>
      <c r="U28" s="706">
        <f t="shared" si="13"/>
        <v>100</v>
      </c>
      <c r="V28" s="705" t="s">
        <v>18</v>
      </c>
      <c r="W28" s="706">
        <f t="shared" si="14"/>
        <v>100</v>
      </c>
      <c r="X28" s="1354"/>
      <c r="Y28" s="372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0"/>
      <c r="Q29" s="1351">
        <f t="shared" si="11"/>
        <v>111</v>
      </c>
      <c r="R29" s="705" t="s">
        <v>18</v>
      </c>
      <c r="S29" s="706">
        <f t="shared" si="12"/>
        <v>100</v>
      </c>
      <c r="T29" s="705" t="s">
        <v>18</v>
      </c>
      <c r="U29" s="706">
        <f t="shared" si="13"/>
        <v>100</v>
      </c>
      <c r="V29" s="705" t="s">
        <v>18</v>
      </c>
      <c r="W29" s="706">
        <f t="shared" si="14"/>
        <v>100</v>
      </c>
      <c r="X29" s="1354"/>
      <c r="Y29" s="372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0"/>
      <c r="Q30" s="1351">
        <f t="shared" si="11"/>
        <v>111</v>
      </c>
      <c r="R30" s="705" t="s">
        <v>18</v>
      </c>
      <c r="S30" s="706">
        <f t="shared" si="12"/>
        <v>100</v>
      </c>
      <c r="T30" s="705" t="s">
        <v>18</v>
      </c>
      <c r="U30" s="706">
        <f t="shared" si="13"/>
        <v>100</v>
      </c>
      <c r="V30" s="705" t="s">
        <v>18</v>
      </c>
      <c r="W30" s="706">
        <f t="shared" si="14"/>
        <v>100</v>
      </c>
      <c r="X30" s="1354"/>
      <c r="Y30" s="372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0"/>
      <c r="Q31" s="1351">
        <f t="shared" si="11"/>
        <v>111</v>
      </c>
      <c r="R31" s="705" t="s">
        <v>18</v>
      </c>
      <c r="S31" s="706">
        <f t="shared" si="12"/>
        <v>100</v>
      </c>
      <c r="T31" s="705" t="s">
        <v>18</v>
      </c>
      <c r="U31" s="706">
        <f t="shared" si="13"/>
        <v>100</v>
      </c>
      <c r="V31" s="705" t="s">
        <v>18</v>
      </c>
      <c r="W31" s="706">
        <f t="shared" si="14"/>
        <v>100</v>
      </c>
      <c r="X31" s="1354"/>
      <c r="Y31" s="3723"/>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4" t="s">
        <v>1696</v>
      </c>
      <c r="Q32" s="1351" t="str">
        <f t="shared" si="11"/>
        <v>建筑类型</v>
      </c>
      <c r="R32" s="705" t="s">
        <v>18</v>
      </c>
      <c r="S32" s="706">
        <f t="shared" si="12"/>
        <v>100</v>
      </c>
      <c r="T32" s="705" t="s">
        <v>18</v>
      </c>
      <c r="U32" s="706">
        <f t="shared" si="13"/>
        <v>100</v>
      </c>
      <c r="V32" s="705" t="s">
        <v>18</v>
      </c>
      <c r="W32" s="706">
        <f t="shared" si="14"/>
        <v>100</v>
      </c>
      <c r="X32" s="1354"/>
      <c r="Y32" s="3727" t="s">
        <v>1696</v>
      </c>
      <c r="Z32" s="1355" t="str">
        <f t="shared" si="18"/>
        <v>建筑类型</v>
      </c>
      <c r="AA32" s="1352">
        <f t="shared" si="15"/>
        <v>1</v>
      </c>
      <c r="AB32" s="1352">
        <f t="shared" si="16"/>
        <v>1</v>
      </c>
      <c r="AC32" s="1352">
        <f t="shared" si="17"/>
        <v>1</v>
      </c>
    </row>
    <row r="33" spans="1:29" s="422" customFormat="1" ht="15">
      <c r="A33" s="419"/>
      <c r="B33" s="375" t="s">
        <v>1697</v>
      </c>
      <c r="C33" s="420">
        <f>D3</f>
        <v>69.12</v>
      </c>
      <c r="D33" s="127">
        <v>100</v>
      </c>
      <c r="E33" s="381">
        <f>Sheet1!D146</f>
        <v>70</v>
      </c>
      <c r="F33" s="376">
        <f>LOOKUP(E33,103:103,104:104)-LOOKUP(C33,103:103,104:104)+100</f>
        <v>100</v>
      </c>
      <c r="G33" s="380">
        <f>Sheet1!D147</f>
        <v>71.83</v>
      </c>
      <c r="H33" s="127">
        <f>LOOKUP(G33,103:103,104:104)-LOOKUP(C33,103:103,104:104)+100</f>
        <v>100</v>
      </c>
      <c r="I33" s="381">
        <f>Sheet1!D148</f>
        <v>82.65</v>
      </c>
      <c r="J33" s="127">
        <f>LOOKUP(I33,103:103,104:104)-LOOKUP(C33,103:103,104:104)+100</f>
        <v>100</v>
      </c>
      <c r="K33" s="1892"/>
      <c r="L33" s="2719"/>
      <c r="M33" s="2721"/>
      <c r="N33" s="2721"/>
      <c r="O33" s="2721"/>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2">
        <f t="shared" si="15"/>
        <v>1</v>
      </c>
      <c r="AB33" s="1352">
        <f t="shared" si="16"/>
        <v>1</v>
      </c>
      <c r="AC33" s="1352">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5"/>
      <c r="Q34" s="1351" t="str">
        <f t="shared" si="11"/>
        <v>建筑结构</v>
      </c>
      <c r="R34" s="705" t="s">
        <v>18</v>
      </c>
      <c r="S34" s="706">
        <f t="shared" si="12"/>
        <v>100</v>
      </c>
      <c r="T34" s="705" t="s">
        <v>18</v>
      </c>
      <c r="U34" s="706">
        <f t="shared" si="13"/>
        <v>100</v>
      </c>
      <c r="V34" s="705" t="s">
        <v>18</v>
      </c>
      <c r="W34" s="706">
        <f t="shared" si="14"/>
        <v>100</v>
      </c>
      <c r="X34" s="1354"/>
      <c r="Y34" s="3727"/>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5"/>
      <c r="Q35" s="1351" t="str">
        <f t="shared" si="11"/>
        <v>建筑品质</v>
      </c>
      <c r="R35" s="705" t="s">
        <v>18</v>
      </c>
      <c r="S35" s="706">
        <f t="shared" si="12"/>
        <v>100</v>
      </c>
      <c r="T35" s="705" t="s">
        <v>18</v>
      </c>
      <c r="U35" s="706">
        <f t="shared" si="13"/>
        <v>100</v>
      </c>
      <c r="V35" s="705" t="s">
        <v>18</v>
      </c>
      <c r="W35" s="706">
        <f t="shared" si="14"/>
        <v>100</v>
      </c>
      <c r="X35" s="1354"/>
      <c r="Y35" s="3727"/>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5"/>
      <c r="Q36" s="1351" t="str">
        <f t="shared" si="11"/>
        <v>公共部分装修</v>
      </c>
      <c r="R36" s="705" t="s">
        <v>18</v>
      </c>
      <c r="S36" s="706">
        <f t="shared" si="12"/>
        <v>100</v>
      </c>
      <c r="T36" s="705" t="s">
        <v>18</v>
      </c>
      <c r="U36" s="706">
        <f t="shared" si="13"/>
        <v>100</v>
      </c>
      <c r="V36" s="705" t="s">
        <v>18</v>
      </c>
      <c r="W36" s="706">
        <f t="shared" si="14"/>
        <v>100</v>
      </c>
      <c r="X36" s="1354"/>
      <c r="Y36" s="3727"/>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5"/>
      <c r="M37" s="2716"/>
      <c r="N37" s="2716"/>
      <c r="O37" s="2716"/>
      <c r="P37" s="3725"/>
      <c r="Q37" s="1342" t="str">
        <f t="shared" si="11"/>
        <v>成新度</v>
      </c>
      <c r="R37" s="701" t="s">
        <v>18</v>
      </c>
      <c r="S37" s="702">
        <f t="shared" si="12"/>
        <v>100</v>
      </c>
      <c r="T37" s="701" t="s">
        <v>18</v>
      </c>
      <c r="U37" s="702">
        <f t="shared" si="13"/>
        <v>100</v>
      </c>
      <c r="V37" s="701" t="s">
        <v>18</v>
      </c>
      <c r="W37" s="702">
        <f t="shared" si="14"/>
        <v>100</v>
      </c>
      <c r="X37" s="703"/>
      <c r="Y37" s="3727"/>
      <c r="Z37" s="52" t="str">
        <f t="shared" si="18"/>
        <v>成新度</v>
      </c>
      <c r="AA37" s="704">
        <f t="shared" si="15"/>
        <v>1</v>
      </c>
      <c r="AB37" s="704">
        <f t="shared" si="16"/>
        <v>1</v>
      </c>
      <c r="AC37" s="704">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5" t="s">
        <v>1696</v>
      </c>
      <c r="Q38" s="1351" t="str">
        <f t="shared" si="11"/>
        <v>物业管理</v>
      </c>
      <c r="R38" s="705" t="s">
        <v>18</v>
      </c>
      <c r="S38" s="706">
        <f t="shared" si="12"/>
        <v>100</v>
      </c>
      <c r="T38" s="705" t="s">
        <v>18</v>
      </c>
      <c r="U38" s="706">
        <f t="shared" si="13"/>
        <v>100</v>
      </c>
      <c r="V38" s="705" t="s">
        <v>18</v>
      </c>
      <c r="W38" s="706">
        <f t="shared" si="14"/>
        <v>100</v>
      </c>
      <c r="X38" s="1354"/>
      <c r="Y38" s="3727"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5"/>
      <c r="Q39" s="1351" t="str">
        <f t="shared" si="11"/>
        <v>市政基础设施</v>
      </c>
      <c r="R39" s="705" t="s">
        <v>18</v>
      </c>
      <c r="S39" s="706">
        <f t="shared" si="12"/>
        <v>100</v>
      </c>
      <c r="T39" s="705" t="s">
        <v>18</v>
      </c>
      <c r="U39" s="706">
        <f t="shared" si="13"/>
        <v>100</v>
      </c>
      <c r="V39" s="705" t="s">
        <v>18</v>
      </c>
      <c r="W39" s="706">
        <f t="shared" si="14"/>
        <v>100</v>
      </c>
      <c r="X39" s="1354"/>
      <c r="Y39" s="3727"/>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5"/>
      <c r="Q40" s="1351" t="str">
        <f t="shared" si="11"/>
        <v>房型</v>
      </c>
      <c r="R40" s="705" t="s">
        <v>18</v>
      </c>
      <c r="S40" s="706">
        <f t="shared" si="12"/>
        <v>100</v>
      </c>
      <c r="T40" s="705" t="s">
        <v>18</v>
      </c>
      <c r="U40" s="706">
        <f t="shared" si="13"/>
        <v>100</v>
      </c>
      <c r="V40" s="705" t="s">
        <v>18</v>
      </c>
      <c r="W40" s="706">
        <f t="shared" si="14"/>
        <v>100</v>
      </c>
      <c r="X40" s="1354"/>
      <c r="Y40" s="372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2">
        <f t="shared" si="15"/>
        <v>1</v>
      </c>
      <c r="AB41" s="1352">
        <f t="shared" si="16"/>
        <v>1</v>
      </c>
      <c r="AC41" s="1352">
        <f t="shared" si="17"/>
        <v>1</v>
      </c>
    </row>
    <row r="42" spans="1:29" ht="15">
      <c r="A42" s="423"/>
      <c r="B42" s="375" t="s">
        <v>1706</v>
      </c>
      <c r="C42" s="3458" t="s">
        <v>3395</v>
      </c>
      <c r="D42" s="386">
        <v>100</v>
      </c>
      <c r="E42" s="3462" t="str">
        <f>Sheet1!H146</f>
        <v>普装</v>
      </c>
      <c r="F42" s="412">
        <f>SUMIF(122:122,E42,123:123)-SUMIF(122:122,C42,123:123)+100</f>
        <v>103</v>
      </c>
      <c r="G42" s="3456" t="str">
        <f>Sheet1!H147</f>
        <v>简装</v>
      </c>
      <c r="H42" s="386">
        <f>SUMIF(122:122,G42,123:123)-SUMIF(122:122,C42,123:123)+100</f>
        <v>100</v>
      </c>
      <c r="I42" s="3462" t="str">
        <f>Sheet1!H148</f>
        <v>普装</v>
      </c>
      <c r="J42" s="386">
        <f>SUMIF(122:122,I42,123:123)-SUMIF(122:122,C42,123:123)+100</f>
        <v>103</v>
      </c>
      <c r="K42" s="377">
        <v>3</v>
      </c>
      <c r="L42" s="2720"/>
      <c r="M42" s="2714"/>
      <c r="N42" s="2714"/>
      <c r="O42" s="2714"/>
      <c r="P42" s="3725"/>
      <c r="Q42" s="1351" t="str">
        <f t="shared" si="11"/>
        <v>内部装修</v>
      </c>
      <c r="R42" s="705" t="s">
        <v>18</v>
      </c>
      <c r="S42" s="706">
        <f t="shared" si="12"/>
        <v>103</v>
      </c>
      <c r="T42" s="705" t="s">
        <v>18</v>
      </c>
      <c r="U42" s="706">
        <f t="shared" si="13"/>
        <v>100</v>
      </c>
      <c r="V42" s="705" t="s">
        <v>18</v>
      </c>
      <c r="W42" s="706">
        <f t="shared" si="14"/>
        <v>103</v>
      </c>
      <c r="X42" s="1354"/>
      <c r="Y42" s="3727"/>
      <c r="Z42" s="1355" t="str">
        <f t="shared" si="18"/>
        <v>内部装修</v>
      </c>
      <c r="AA42" s="1352">
        <f t="shared" si="15"/>
        <v>0.970873786407767</v>
      </c>
      <c r="AB42" s="1352">
        <f t="shared" si="16"/>
        <v>1</v>
      </c>
      <c r="AC42" s="1352">
        <f t="shared" si="17"/>
        <v>0.970873786407767</v>
      </c>
    </row>
    <row r="43" spans="1:29" ht="15">
      <c r="A43" s="423"/>
      <c r="B43" s="375" t="s">
        <v>1707</v>
      </c>
      <c r="C43" s="3458" t="s">
        <v>3430</v>
      </c>
      <c r="D43" s="386">
        <v>100</v>
      </c>
      <c r="E43" s="3459" t="s">
        <v>3403</v>
      </c>
      <c r="F43" s="412">
        <f>SUMIF(124:124,E43,125:125)-SUMIF(124:124,C43,125:125)+100</f>
        <v>106</v>
      </c>
      <c r="G43" s="3458" t="s">
        <v>3403</v>
      </c>
      <c r="H43" s="386">
        <f>SUMIF(124:124,G43,125:125)-SUMIF(124:124,C43,125:125)+100</f>
        <v>106</v>
      </c>
      <c r="I43" s="3459" t="s">
        <v>3403</v>
      </c>
      <c r="J43" s="386">
        <f>SUMIF(124:124,I43,125:125)-SUMIF(124:124,C43,125:125)+100</f>
        <v>106</v>
      </c>
      <c r="K43" s="377">
        <v>3</v>
      </c>
      <c r="L43" s="2720"/>
      <c r="M43" s="2714"/>
      <c r="N43" s="2714"/>
      <c r="O43" s="2714"/>
      <c r="P43" s="3725"/>
      <c r="Q43" s="1351" t="str">
        <f t="shared" si="11"/>
        <v>内部装修维护情况</v>
      </c>
      <c r="R43" s="705" t="s">
        <v>18</v>
      </c>
      <c r="S43" s="706">
        <f t="shared" si="12"/>
        <v>106</v>
      </c>
      <c r="T43" s="705" t="s">
        <v>18</v>
      </c>
      <c r="U43" s="706">
        <f t="shared" si="13"/>
        <v>106</v>
      </c>
      <c r="V43" s="705" t="s">
        <v>18</v>
      </c>
      <c r="W43" s="706">
        <f t="shared" si="14"/>
        <v>106</v>
      </c>
      <c r="X43" s="1354"/>
      <c r="Y43" s="3727"/>
      <c r="Z43" s="1355" t="str">
        <f t="shared" si="18"/>
        <v>内部装修维护情况</v>
      </c>
      <c r="AA43" s="1352">
        <f t="shared" si="15"/>
        <v>0.94339622641509435</v>
      </c>
      <c r="AB43" s="1352">
        <f t="shared" si="16"/>
        <v>0.94339622641509435</v>
      </c>
      <c r="AC43" s="1352">
        <f t="shared" si="17"/>
        <v>0.94339622641509435</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5"/>
      <c r="Q44" s="1342">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5"/>
      <c r="Q45" s="1351">
        <f t="shared" si="11"/>
        <v>111</v>
      </c>
      <c r="R45" s="705" t="s">
        <v>18</v>
      </c>
      <c r="S45" s="706">
        <f t="shared" si="12"/>
        <v>100</v>
      </c>
      <c r="T45" s="705" t="s">
        <v>18</v>
      </c>
      <c r="U45" s="706">
        <f t="shared" si="13"/>
        <v>100</v>
      </c>
      <c r="V45" s="705" t="s">
        <v>18</v>
      </c>
      <c r="W45" s="706">
        <f t="shared" si="14"/>
        <v>100</v>
      </c>
      <c r="X45" s="1354"/>
      <c r="Y45" s="372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6"/>
      <c r="Q46" s="1351">
        <f t="shared" si="11"/>
        <v>111</v>
      </c>
      <c r="R46" s="705" t="s">
        <v>17</v>
      </c>
      <c r="S46" s="706">
        <f t="shared" si="12"/>
        <v>100</v>
      </c>
      <c r="T46" s="705" t="s">
        <v>17</v>
      </c>
      <c r="U46" s="706">
        <f t="shared" si="13"/>
        <v>100</v>
      </c>
      <c r="V46" s="705" t="s">
        <v>17</v>
      </c>
      <c r="W46" s="706">
        <f t="shared" si="14"/>
        <v>100</v>
      </c>
      <c r="X46" s="1354"/>
      <c r="Y46" s="3728"/>
      <c r="Z46" s="1355">
        <f t="shared" si="18"/>
        <v>111</v>
      </c>
      <c r="AA46" s="1352">
        <f t="shared" si="15"/>
        <v>1</v>
      </c>
      <c r="AB46" s="1352">
        <f t="shared" si="16"/>
        <v>1</v>
      </c>
      <c r="AC46" s="1352">
        <f t="shared" si="17"/>
        <v>1</v>
      </c>
    </row>
    <row r="47" spans="1:29" ht="15">
      <c r="A47" s="430" t="s">
        <v>1708</v>
      </c>
      <c r="B47" s="431"/>
      <c r="C47" s="1153" t="s">
        <v>16</v>
      </c>
      <c r="D47" s="1154"/>
      <c r="E47" s="1155">
        <f>Sheet1!E146</f>
        <v>15715</v>
      </c>
      <c r="F47" s="1156"/>
      <c r="G47" s="1157">
        <f>Sheet1!E147</f>
        <v>16011</v>
      </c>
      <c r="H47" s="1158"/>
      <c r="I47" s="1155">
        <f>Sheet1!E148</f>
        <v>15729</v>
      </c>
      <c r="J47" s="1158"/>
      <c r="K47" s="1912"/>
      <c r="L47" s="2722"/>
      <c r="M47" s="2723"/>
      <c r="N47" s="2714"/>
      <c r="O47" s="2723"/>
      <c r="P47" s="3720" t="str">
        <f>A47</f>
        <v>成交单价（元/平方米）</v>
      </c>
      <c r="Q47" s="3720"/>
      <c r="R47" s="3721">
        <f>E47</f>
        <v>15715</v>
      </c>
      <c r="S47" s="3721"/>
      <c r="T47" s="3721">
        <f>G47</f>
        <v>16011</v>
      </c>
      <c r="U47" s="3721"/>
      <c r="V47" s="3721">
        <f>I47</f>
        <v>15729</v>
      </c>
      <c r="W47" s="3721"/>
      <c r="X47" s="690"/>
      <c r="Y47" s="712"/>
      <c r="Z47" s="690"/>
      <c r="AA47" s="690"/>
      <c r="AB47" s="690"/>
      <c r="AC47" s="690"/>
    </row>
    <row r="48" spans="1:29" ht="15.75" thickBot="1">
      <c r="A48" s="437" t="s">
        <v>1709</v>
      </c>
      <c r="B48" s="438"/>
      <c r="C48" s="1159">
        <f>R49</f>
        <v>15344</v>
      </c>
      <c r="D48" s="2315" t="s">
        <v>2135</v>
      </c>
      <c r="E48" s="1160">
        <f>R48</f>
        <v>14710</v>
      </c>
      <c r="F48" s="2316"/>
      <c r="G48" s="1159">
        <f>T48</f>
        <v>16454</v>
      </c>
      <c r="H48" s="2316"/>
      <c r="I48" s="1160">
        <f>V48</f>
        <v>14867</v>
      </c>
      <c r="J48" s="2316"/>
      <c r="K48" s="2317">
        <f>F48+H48+J48</f>
        <v>0</v>
      </c>
      <c r="L48" s="2722"/>
      <c r="M48" s="2723"/>
      <c r="N48" s="2723"/>
      <c r="O48" s="2723"/>
      <c r="P48" s="3720" t="str">
        <f>A48</f>
        <v>比较价值（元/平方米）</v>
      </c>
      <c r="Q48" s="3720"/>
      <c r="R48" s="3721">
        <f>IF(F1="售价",ROUND(PRODUCT(R47,AA7:AA46),0),ROUND(PRODUCT(R47,AA7:AA46),1))</f>
        <v>14710</v>
      </c>
      <c r="S48" s="3721"/>
      <c r="T48" s="3721">
        <f>IF(F1="售价",ROUND(PRODUCT(T47,AB7:AB46),0),ROUND(PRODUCT(T47,AB7:AB46),1))</f>
        <v>16454</v>
      </c>
      <c r="U48" s="3721"/>
      <c r="V48" s="3721">
        <f>IF(F1="售价",ROUND(PRODUCT(V47,AC7:AC46),0),ROUND(PRODUCT(V47,AC7:AC46),1))</f>
        <v>14867</v>
      </c>
      <c r="W48" s="3721"/>
      <c r="X48" s="690"/>
      <c r="Y48" s="690"/>
      <c r="Z48" s="690"/>
      <c r="AA48" s="690"/>
      <c r="AB48" s="690"/>
      <c r="AC48" s="690"/>
    </row>
    <row r="49" spans="1:29" ht="15.75" thickBot="1">
      <c r="A49" s="441" t="s">
        <v>1710</v>
      </c>
      <c r="B49" s="442"/>
      <c r="C49" s="1161">
        <f>R49</f>
        <v>15344</v>
      </c>
      <c r="D49" s="1162"/>
      <c r="E49" s="1162"/>
      <c r="F49" s="1162"/>
      <c r="G49" s="1162"/>
      <c r="H49" s="1162"/>
      <c r="I49" s="1162"/>
      <c r="J49" s="1162"/>
      <c r="K49" s="1913"/>
      <c r="L49" s="2722"/>
      <c r="M49" s="2723"/>
      <c r="N49" s="2723"/>
      <c r="O49" s="2723"/>
      <c r="P49" s="3717" t="str">
        <f>A49</f>
        <v>估价对象XX用房的比较价值（楼面单价，元/平方米）</v>
      </c>
      <c r="Q49" s="3718"/>
      <c r="R49" s="3719">
        <f>IF(F1="售价",ROUND(IF(D48="简单平均",AVERAGE(R48:V48),R48*F48+T48*H48+V48*J48),0),ROUND(IF(D48="简单平均",AVERAGE(R48:V48),R48*F48+T48*H48+V48*J48),1))</f>
        <v>15344</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6.8320870156356239E-2</v>
      </c>
      <c r="F52" s="449" t="str">
        <f>IF(OR(E52&gt;=0.3,E52&lt;=-0.3),"超过30%","")</f>
        <v/>
      </c>
      <c r="G52" s="448">
        <f>IF(G47&lt;G48,G48/G47-1,G47/G48-1)</f>
        <v>2.7668477921429124E-2</v>
      </c>
      <c r="H52" s="449" t="str">
        <f>IF(OR(G52&gt;=0.3,G52&lt;=-0.3),"超过30%","")</f>
        <v/>
      </c>
      <c r="I52" s="448">
        <f>IF(I47&lt;I48,I48/I47-1,I47/I48-1)</f>
        <v>5.7980762763166771E-2</v>
      </c>
      <c r="J52" s="449" t="str">
        <f>IF(OR(I52&gt;=0.3,I52&lt;=-0.3),"超过30%","")</f>
        <v/>
      </c>
      <c r="K52" s="2728"/>
      <c r="L52" s="2724"/>
      <c r="M52" s="2723"/>
      <c r="N52" s="2723"/>
      <c r="O52" s="2723"/>
    </row>
    <row r="53" spans="1:29" ht="13.5" customHeight="1">
      <c r="A53" s="2723"/>
      <c r="B53" s="2723"/>
      <c r="C53" s="446" t="s">
        <v>1712</v>
      </c>
      <c r="D53" s="450"/>
      <c r="E53" s="448">
        <f>IF(E48&lt;G48,G48/E48-1,E48/G48-1)</f>
        <v>0.11855880353501025</v>
      </c>
      <c r="F53" s="449" t="str">
        <f>IF(OR(E53&gt;=0.2,E53&lt;=-0.2),"超过20%","")</f>
        <v/>
      </c>
      <c r="G53" s="448">
        <f>IF(G48&lt;I48,I48/G48-1,G48/I48-1)</f>
        <v>0.10674648550480925</v>
      </c>
      <c r="H53" s="449" t="str">
        <f>IF(OR(G53&gt;=0.2,G53&lt;=-0.2),"超过20%","")</f>
        <v/>
      </c>
      <c r="I53" s="448">
        <f>IF(I48&lt;E48,E48/I48-1,I48/E48-1)</f>
        <v>1.0673011556764145E-2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1.8835507476932856E-2</v>
      </c>
      <c r="F54" s="449" t="str">
        <f>IF(OR(E54&gt;=0.3,E54&lt;=-0.3),"超过30%","")</f>
        <v/>
      </c>
      <c r="G54" s="448">
        <f>IF(G47&lt;I47,I47/G47-1,G47/I47-1)</f>
        <v>1.7928666793820325E-2</v>
      </c>
      <c r="H54" s="449" t="str">
        <f>IF(OR(G54&gt;=0.3,G54&lt;=-0.3),"超过30%","")</f>
        <v/>
      </c>
      <c r="I54" s="448">
        <f>IF(I47&lt;E47,E47/I47-1,I47/E47-1)</f>
        <v>8.908685968820329E-4</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v>4</v>
      </c>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60" t="s">
        <v>3394</v>
      </c>
      <c r="D88" s="3460" t="s">
        <v>3428</v>
      </c>
      <c r="E88" s="3460" t="s">
        <v>3429</v>
      </c>
      <c r="F88" s="3461" t="s">
        <v>3401</v>
      </c>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t="str">
        <f>B27</f>
        <v>楼层</v>
      </c>
      <c r="C90" s="3460" t="s">
        <v>3421</v>
      </c>
      <c r="D90" s="3460" t="s">
        <v>3422</v>
      </c>
      <c r="E90" s="3460" t="s">
        <v>3423</v>
      </c>
      <c r="F90" s="503"/>
      <c r="G90" s="503"/>
      <c r="H90" s="504"/>
      <c r="I90" s="504"/>
      <c r="J90" s="504"/>
      <c r="K90" s="504"/>
      <c r="L90" s="505"/>
      <c r="M90" s="506"/>
      <c r="N90" s="935"/>
      <c r="O90" s="935"/>
      <c r="P90" s="1921"/>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60" t="s">
        <v>3404</v>
      </c>
      <c r="D122" s="3460" t="s">
        <v>3405</v>
      </c>
      <c r="E122" s="3460" t="s">
        <v>3406</v>
      </c>
      <c r="F122" s="3463" t="s">
        <v>3407</v>
      </c>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69.12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715"/>
      <c r="AC6" s="3687"/>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9" t="s">
        <v>1691</v>
      </c>
      <c r="Q15" s="1351" t="str">
        <f t="shared" si="6"/>
        <v>商业繁华度</v>
      </c>
      <c r="R15" s="705" t="s">
        <v>14</v>
      </c>
      <c r="S15" s="706">
        <f t="shared" si="0"/>
        <v>100</v>
      </c>
      <c r="T15" s="705" t="s">
        <v>14</v>
      </c>
      <c r="U15" s="706">
        <f t="shared" si="1"/>
        <v>100</v>
      </c>
      <c r="V15" s="705" t="s">
        <v>14</v>
      </c>
      <c r="W15" s="706">
        <f t="shared" si="2"/>
        <v>100</v>
      </c>
      <c r="X15" s="1354"/>
      <c r="Y15" s="372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730"/>
      <c r="Q22" s="1351"/>
      <c r="R22" s="705"/>
      <c r="S22" s="706"/>
      <c r="T22" s="705"/>
      <c r="U22" s="706"/>
      <c r="V22" s="705"/>
      <c r="W22" s="706"/>
      <c r="X22" s="1354"/>
      <c r="Y22" s="3723"/>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0"/>
      <c r="Q23" s="1351" t="str">
        <f>B23</f>
        <v>自然及人文环境</v>
      </c>
      <c r="R23" s="705" t="s">
        <v>14</v>
      </c>
      <c r="S23" s="706">
        <f>F23</f>
        <v>100</v>
      </c>
      <c r="T23" s="705" t="s">
        <v>14</v>
      </c>
      <c r="U23" s="706">
        <f>H23</f>
        <v>100</v>
      </c>
      <c r="V23" s="705" t="s">
        <v>14</v>
      </c>
      <c r="W23" s="706">
        <f>J23</f>
        <v>100</v>
      </c>
      <c r="X23" s="1354"/>
      <c r="Y23" s="372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0"/>
      <c r="Q25" s="1351" t="str">
        <f t="shared" ref="Q25:Q46" si="11">B25</f>
        <v>临街状况</v>
      </c>
      <c r="R25" s="705" t="s">
        <v>14</v>
      </c>
      <c r="S25" s="706">
        <f>F25</f>
        <v>100</v>
      </c>
      <c r="T25" s="705" t="s">
        <v>14</v>
      </c>
      <c r="U25" s="706">
        <f>H25</f>
        <v>100</v>
      </c>
      <c r="V25" s="705" t="s">
        <v>14</v>
      </c>
      <c r="W25" s="706">
        <f>J25</f>
        <v>100</v>
      </c>
      <c r="X25" s="1354"/>
      <c r="Y25" s="372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1" t="str">
        <f t="shared" si="11"/>
        <v>平面位置/可视性</v>
      </c>
      <c r="R26" s="705" t="s">
        <v>14</v>
      </c>
      <c r="S26" s="706">
        <f>F26</f>
        <v>100</v>
      </c>
      <c r="T26" s="705" t="s">
        <v>14</v>
      </c>
      <c r="U26" s="706">
        <f>H26</f>
        <v>100</v>
      </c>
      <c r="V26" s="705" t="s">
        <v>14</v>
      </c>
      <c r="W26" s="706">
        <f>J26</f>
        <v>100</v>
      </c>
      <c r="X26" s="1354"/>
      <c r="Y26" s="3723"/>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0"/>
      <c r="Q27" s="1342" t="str">
        <f t="shared" si="11"/>
        <v>人流量</v>
      </c>
      <c r="R27" s="701" t="s">
        <v>14</v>
      </c>
      <c r="S27" s="702">
        <f>F27</f>
        <v>100</v>
      </c>
      <c r="T27" s="701" t="s">
        <v>14</v>
      </c>
      <c r="U27" s="702">
        <f>H27</f>
        <v>100</v>
      </c>
      <c r="V27" s="701" t="s">
        <v>14</v>
      </c>
      <c r="W27" s="702">
        <f>J27</f>
        <v>100</v>
      </c>
      <c r="X27" s="703"/>
      <c r="Y27" s="372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1">
        <f t="shared" si="11"/>
        <v>111</v>
      </c>
      <c r="R29" s="705" t="s">
        <v>14</v>
      </c>
      <c r="S29" s="706">
        <f t="shared" si="12"/>
        <v>100</v>
      </c>
      <c r="T29" s="705" t="s">
        <v>14</v>
      </c>
      <c r="U29" s="706">
        <f t="shared" si="13"/>
        <v>100</v>
      </c>
      <c r="V29" s="705" t="s">
        <v>14</v>
      </c>
      <c r="W29" s="706">
        <f t="shared" si="14"/>
        <v>100</v>
      </c>
      <c r="X29" s="1354"/>
      <c r="Y29" s="372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4" t="s">
        <v>1696</v>
      </c>
      <c r="Q32" s="1351" t="str">
        <f t="shared" si="11"/>
        <v>商业类型</v>
      </c>
      <c r="R32" s="705" t="s">
        <v>14</v>
      </c>
      <c r="S32" s="706">
        <f t="shared" si="12"/>
        <v>100</v>
      </c>
      <c r="T32" s="705" t="s">
        <v>14</v>
      </c>
      <c r="U32" s="706">
        <f t="shared" si="13"/>
        <v>100</v>
      </c>
      <c r="V32" s="705" t="s">
        <v>14</v>
      </c>
      <c r="W32" s="706">
        <f t="shared" si="14"/>
        <v>100</v>
      </c>
      <c r="X32" s="1354"/>
      <c r="Y32" s="372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5"/>
      <c r="Q34" s="1351" t="str">
        <f t="shared" si="11"/>
        <v>建筑结构</v>
      </c>
      <c r="R34" s="705" t="s">
        <v>14</v>
      </c>
      <c r="S34" s="706">
        <f t="shared" si="12"/>
        <v>100</v>
      </c>
      <c r="T34" s="705" t="s">
        <v>14</v>
      </c>
      <c r="U34" s="706">
        <f t="shared" si="13"/>
        <v>100</v>
      </c>
      <c r="V34" s="705" t="s">
        <v>14</v>
      </c>
      <c r="W34" s="706">
        <f t="shared" si="14"/>
        <v>100</v>
      </c>
      <c r="X34" s="1354"/>
      <c r="Y34" s="372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5"/>
      <c r="Q35" s="1351" t="str">
        <f t="shared" si="11"/>
        <v>公共部分装修</v>
      </c>
      <c r="R35" s="705" t="s">
        <v>14</v>
      </c>
      <c r="S35" s="706">
        <f t="shared" si="12"/>
        <v>100</v>
      </c>
      <c r="T35" s="705" t="s">
        <v>14</v>
      </c>
      <c r="U35" s="706">
        <f t="shared" si="13"/>
        <v>100</v>
      </c>
      <c r="V35" s="705" t="s">
        <v>14</v>
      </c>
      <c r="W35" s="706">
        <f t="shared" si="14"/>
        <v>100</v>
      </c>
      <c r="X35" s="1354"/>
      <c r="Y35" s="372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5"/>
      <c r="Q36" s="1351" t="str">
        <f t="shared" si="11"/>
        <v>成新度</v>
      </c>
      <c r="R36" s="705" t="s">
        <v>14</v>
      </c>
      <c r="S36" s="706" t="e">
        <f t="shared" si="12"/>
        <v>#N/A</v>
      </c>
      <c r="T36" s="705" t="s">
        <v>14</v>
      </c>
      <c r="U36" s="706" t="e">
        <f t="shared" si="13"/>
        <v>#N/A</v>
      </c>
      <c r="V36" s="705" t="s">
        <v>14</v>
      </c>
      <c r="W36" s="706" t="e">
        <f t="shared" si="14"/>
        <v>#N/A</v>
      </c>
      <c r="X36" s="1354"/>
      <c r="Y36" s="372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5"/>
      <c r="Q37" s="1342"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5" t="s">
        <v>1696</v>
      </c>
      <c r="Q38" s="1351" t="str">
        <f t="shared" si="11"/>
        <v>业态</v>
      </c>
      <c r="R38" s="705" t="s">
        <v>14</v>
      </c>
      <c r="S38" s="706">
        <f t="shared" si="12"/>
        <v>100</v>
      </c>
      <c r="T38" s="705" t="s">
        <v>14</v>
      </c>
      <c r="U38" s="706">
        <f t="shared" si="13"/>
        <v>100</v>
      </c>
      <c r="V38" s="705" t="s">
        <v>14</v>
      </c>
      <c r="W38" s="706">
        <f t="shared" si="14"/>
        <v>100</v>
      </c>
      <c r="X38" s="1354"/>
      <c r="Y38" s="372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5"/>
      <c r="Q39" s="1351" t="str">
        <f t="shared" si="11"/>
        <v>层高</v>
      </c>
      <c r="R39" s="705" t="s">
        <v>14</v>
      </c>
      <c r="S39" s="706">
        <f t="shared" si="12"/>
        <v>100</v>
      </c>
      <c r="T39" s="705" t="s">
        <v>14</v>
      </c>
      <c r="U39" s="706">
        <f t="shared" si="13"/>
        <v>100</v>
      </c>
      <c r="V39" s="705" t="s">
        <v>14</v>
      </c>
      <c r="W39" s="706">
        <f t="shared" si="14"/>
        <v>100</v>
      </c>
      <c r="X39" s="1354"/>
      <c r="Y39" s="372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5"/>
      <c r="Q40" s="1351" t="str">
        <f t="shared" si="11"/>
        <v>单套建筑面积</v>
      </c>
      <c r="R40" s="705" t="s">
        <v>14</v>
      </c>
      <c r="S40" s="706">
        <f t="shared" si="12"/>
        <v>100</v>
      </c>
      <c r="T40" s="705" t="s">
        <v>14</v>
      </c>
      <c r="U40" s="706">
        <f t="shared" si="13"/>
        <v>100</v>
      </c>
      <c r="V40" s="705" t="s">
        <v>14</v>
      </c>
      <c r="W40" s="706">
        <f t="shared" si="14"/>
        <v>100</v>
      </c>
      <c r="X40" s="1354"/>
      <c r="Y40" s="372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5"/>
      <c r="Q42" s="1351" t="str">
        <f t="shared" si="11"/>
        <v>内部装修</v>
      </c>
      <c r="R42" s="705" t="s">
        <v>14</v>
      </c>
      <c r="S42" s="706">
        <f t="shared" si="12"/>
        <v>100</v>
      </c>
      <c r="T42" s="705" t="s">
        <v>14</v>
      </c>
      <c r="U42" s="706">
        <f t="shared" si="13"/>
        <v>100</v>
      </c>
      <c r="V42" s="705" t="s">
        <v>14</v>
      </c>
      <c r="W42" s="706">
        <f t="shared" si="14"/>
        <v>100</v>
      </c>
      <c r="X42" s="1354"/>
      <c r="Y42" s="372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5"/>
      <c r="Q43" s="1351" t="str">
        <f t="shared" si="11"/>
        <v>内部装修维护情况</v>
      </c>
      <c r="R43" s="705" t="s">
        <v>14</v>
      </c>
      <c r="S43" s="706">
        <f t="shared" si="12"/>
        <v>100</v>
      </c>
      <c r="T43" s="705" t="s">
        <v>14</v>
      </c>
      <c r="U43" s="706">
        <f t="shared" si="13"/>
        <v>100</v>
      </c>
      <c r="V43" s="705" t="s">
        <v>14</v>
      </c>
      <c r="W43" s="706">
        <f t="shared" si="14"/>
        <v>100</v>
      </c>
      <c r="X43" s="1354"/>
      <c r="Y43" s="372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5"/>
      <c r="Q44" s="1342">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5"/>
      <c r="Q45" s="1351">
        <f t="shared" si="11"/>
        <v>111</v>
      </c>
      <c r="R45" s="705" t="s">
        <v>14</v>
      </c>
      <c r="S45" s="706">
        <f t="shared" si="12"/>
        <v>100</v>
      </c>
      <c r="T45" s="705" t="s">
        <v>14</v>
      </c>
      <c r="U45" s="706">
        <f t="shared" si="13"/>
        <v>100</v>
      </c>
      <c r="V45" s="705" t="s">
        <v>14</v>
      </c>
      <c r="W45" s="706">
        <f t="shared" si="14"/>
        <v>100</v>
      </c>
      <c r="X45" s="1354"/>
      <c r="Y45" s="372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6"/>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59" t="e">
        <f>R49</f>
        <v>#DIV/0!</v>
      </c>
      <c r="D48" s="2315" t="s">
        <v>2135</v>
      </c>
      <c r="E48" s="1160" t="e">
        <f>R48</f>
        <v>#DIV/0!</v>
      </c>
      <c r="F48" s="2316"/>
      <c r="G48" s="1159" t="e">
        <f>T48</f>
        <v>#DIV/0!</v>
      </c>
      <c r="H48" s="2316"/>
      <c r="I48" s="1160" t="e">
        <f>V48</f>
        <v>#DIV/0!</v>
      </c>
      <c r="J48" s="2316"/>
      <c r="K48" s="2318">
        <f>F48+H48+J48</f>
        <v>0</v>
      </c>
      <c r="L48" s="2722"/>
      <c r="M48" s="2723"/>
      <c r="N48" s="2714"/>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69.12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32" t="s">
        <v>1771</v>
      </c>
      <c r="S4" s="3733"/>
      <c r="T4" s="3732" t="s">
        <v>1772</v>
      </c>
      <c r="U4" s="3733"/>
      <c r="V4" s="3741" t="s">
        <v>1773</v>
      </c>
      <c r="W4" s="3741"/>
      <c r="X4" s="1956"/>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3"/>
      <c r="M5" s="2714"/>
      <c r="N5" s="2714"/>
      <c r="O5" s="2714"/>
      <c r="P5" s="3739"/>
      <c r="Q5" s="3710"/>
      <c r="R5" s="3692"/>
      <c r="S5" s="3693"/>
      <c r="T5" s="3692"/>
      <c r="U5" s="3693"/>
      <c r="V5" s="3715"/>
      <c r="W5" s="3715"/>
      <c r="X5" s="1354"/>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40"/>
      <c r="Q6" s="3712"/>
      <c r="R6" s="3692"/>
      <c r="S6" s="3693"/>
      <c r="T6" s="3713"/>
      <c r="U6" s="3714"/>
      <c r="V6" s="3715"/>
      <c r="W6" s="3715"/>
      <c r="X6" s="1354"/>
      <c r="Y6" s="3713"/>
      <c r="Z6" s="3714"/>
      <c r="AA6" s="3687"/>
      <c r="AB6" s="3687"/>
      <c r="AC6" s="3736"/>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1" t="str">
        <f t="shared" si="6"/>
        <v>办公集聚程度</v>
      </c>
      <c r="R15" s="705" t="s">
        <v>14</v>
      </c>
      <c r="S15" s="706">
        <f t="shared" si="0"/>
        <v>100</v>
      </c>
      <c r="T15" s="705" t="s">
        <v>14</v>
      </c>
      <c r="U15" s="706">
        <f t="shared" si="1"/>
        <v>100</v>
      </c>
      <c r="V15" s="705" t="s">
        <v>14</v>
      </c>
      <c r="W15" s="706">
        <f t="shared" si="2"/>
        <v>100</v>
      </c>
      <c r="X15" s="1354"/>
      <c r="Y15" s="3722"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30"/>
      <c r="Q22" s="1351"/>
      <c r="R22" s="705"/>
      <c r="S22" s="706"/>
      <c r="T22" s="705"/>
      <c r="U22" s="706"/>
      <c r="V22" s="705"/>
      <c r="W22" s="706"/>
      <c r="X22" s="1354"/>
      <c r="Y22" s="3723"/>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0"/>
      <c r="Q25" s="1351" t="str">
        <f>B25</f>
        <v>毗邻道路的类型与等级</v>
      </c>
      <c r="R25" s="705" t="s">
        <v>14</v>
      </c>
      <c r="S25" s="706">
        <f>F25</f>
        <v>100</v>
      </c>
      <c r="T25" s="705" t="s">
        <v>14</v>
      </c>
      <c r="U25" s="706">
        <f>H25</f>
        <v>100</v>
      </c>
      <c r="V25" s="705" t="s">
        <v>14</v>
      </c>
      <c r="W25" s="706">
        <f>J25</f>
        <v>100</v>
      </c>
      <c r="X25" s="1354"/>
      <c r="Y25" s="3723"/>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30"/>
      <c r="Q26" s="1351"/>
      <c r="R26" s="705"/>
      <c r="S26" s="706"/>
      <c r="T26" s="705"/>
      <c r="U26" s="706"/>
      <c r="V26" s="705"/>
      <c r="W26" s="706"/>
      <c r="X26" s="1354"/>
      <c r="Y26" s="3723"/>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1" t="str">
        <f t="shared" ref="Q27:Q47" si="11">B27</f>
        <v>楼层</v>
      </c>
      <c r="R27" s="705" t="s">
        <v>14</v>
      </c>
      <c r="S27" s="706">
        <f>F27</f>
        <v>100</v>
      </c>
      <c r="T27" s="705" t="s">
        <v>14</v>
      </c>
      <c r="U27" s="706">
        <f>H27</f>
        <v>100</v>
      </c>
      <c r="V27" s="705" t="s">
        <v>14</v>
      </c>
      <c r="W27" s="706">
        <f>J27</f>
        <v>100</v>
      </c>
      <c r="X27" s="1354"/>
      <c r="Y27" s="3723"/>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0"/>
      <c r="Q28" s="1342" t="str">
        <f t="shared" si="11"/>
        <v>朝向</v>
      </c>
      <c r="R28" s="701" t="s">
        <v>14</v>
      </c>
      <c r="S28" s="702">
        <f>F28</f>
        <v>100</v>
      </c>
      <c r="T28" s="701" t="s">
        <v>14</v>
      </c>
      <c r="U28" s="702">
        <f>H28</f>
        <v>100</v>
      </c>
      <c r="V28" s="701" t="s">
        <v>14</v>
      </c>
      <c r="W28" s="702">
        <f>J28</f>
        <v>100</v>
      </c>
      <c r="X28" s="703"/>
      <c r="Y28" s="3723"/>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0"/>
      <c r="Q29" s="1351">
        <f t="shared" si="11"/>
        <v>111</v>
      </c>
      <c r="R29" s="705" t="s">
        <v>14</v>
      </c>
      <c r="S29" s="706">
        <f t="shared" ref="S29:S47" si="12">F29</f>
        <v>100</v>
      </c>
      <c r="T29" s="705" t="s">
        <v>14</v>
      </c>
      <c r="U29" s="706">
        <f t="shared" ref="U29:U47" si="13">H29</f>
        <v>100</v>
      </c>
      <c r="V29" s="705" t="s">
        <v>14</v>
      </c>
      <c r="W29" s="706">
        <f t="shared" ref="W29:W47" si="14">J29</f>
        <v>100</v>
      </c>
      <c r="X29" s="1354"/>
      <c r="Y29" s="3723"/>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0"/>
      <c r="Q32" s="1351">
        <f t="shared" si="11"/>
        <v>111</v>
      </c>
      <c r="R32" s="705" t="s">
        <v>14</v>
      </c>
      <c r="S32" s="706">
        <f t="shared" si="12"/>
        <v>100</v>
      </c>
      <c r="T32" s="705" t="s">
        <v>14</v>
      </c>
      <c r="U32" s="706">
        <f t="shared" si="13"/>
        <v>100</v>
      </c>
      <c r="V32" s="705" t="s">
        <v>14</v>
      </c>
      <c r="W32" s="706">
        <f t="shared" si="14"/>
        <v>100</v>
      </c>
      <c r="X32" s="1354"/>
      <c r="Y32" s="3723"/>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4" t="s">
        <v>1696</v>
      </c>
      <c r="Q33" s="1351" t="str">
        <f t="shared" si="11"/>
        <v>建筑类型</v>
      </c>
      <c r="R33" s="705" t="s">
        <v>14</v>
      </c>
      <c r="S33" s="706">
        <f t="shared" si="12"/>
        <v>100</v>
      </c>
      <c r="T33" s="705" t="s">
        <v>14</v>
      </c>
      <c r="U33" s="706">
        <f t="shared" si="13"/>
        <v>100</v>
      </c>
      <c r="V33" s="705" t="s">
        <v>14</v>
      </c>
      <c r="W33" s="706">
        <f t="shared" si="14"/>
        <v>100</v>
      </c>
      <c r="X33" s="1354"/>
      <c r="Y33" s="3727"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5"/>
      <c r="Q35" s="1351" t="str">
        <f t="shared" si="11"/>
        <v>建筑结构</v>
      </c>
      <c r="R35" s="705" t="s">
        <v>14</v>
      </c>
      <c r="S35" s="706">
        <f t="shared" si="12"/>
        <v>100</v>
      </c>
      <c r="T35" s="705" t="s">
        <v>14</v>
      </c>
      <c r="U35" s="706">
        <f t="shared" si="13"/>
        <v>100</v>
      </c>
      <c r="V35" s="705" t="s">
        <v>14</v>
      </c>
      <c r="W35" s="706">
        <f t="shared" si="14"/>
        <v>100</v>
      </c>
      <c r="X35" s="1354"/>
      <c r="Y35" s="3727"/>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5"/>
      <c r="Q36" s="1351" t="str">
        <f t="shared" si="11"/>
        <v>公共部分装修</v>
      </c>
      <c r="R36" s="705" t="s">
        <v>14</v>
      </c>
      <c r="S36" s="706">
        <f t="shared" si="12"/>
        <v>100</v>
      </c>
      <c r="T36" s="705" t="s">
        <v>14</v>
      </c>
      <c r="U36" s="706">
        <f t="shared" si="13"/>
        <v>100</v>
      </c>
      <c r="V36" s="705" t="s">
        <v>14</v>
      </c>
      <c r="W36" s="706">
        <f t="shared" si="14"/>
        <v>100</v>
      </c>
      <c r="X36" s="1354"/>
      <c r="Y36" s="3727"/>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5"/>
      <c r="Q37" s="1351" t="str">
        <f t="shared" si="11"/>
        <v>成新度</v>
      </c>
      <c r="R37" s="705" t="s">
        <v>14</v>
      </c>
      <c r="S37" s="706" t="e">
        <f t="shared" si="12"/>
        <v>#N/A</v>
      </c>
      <c r="T37" s="705" t="s">
        <v>14</v>
      </c>
      <c r="U37" s="706" t="e">
        <f t="shared" si="13"/>
        <v>#N/A</v>
      </c>
      <c r="V37" s="705" t="s">
        <v>14</v>
      </c>
      <c r="W37" s="706" t="e">
        <f t="shared" si="14"/>
        <v>#N/A</v>
      </c>
      <c r="X37" s="1354"/>
      <c r="Y37" s="3727"/>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5"/>
      <c r="Q38" s="1342"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5" t="s">
        <v>1696</v>
      </c>
      <c r="Q39" s="1351" t="str">
        <f t="shared" si="11"/>
        <v>物业管理</v>
      </c>
      <c r="R39" s="705" t="s">
        <v>14</v>
      </c>
      <c r="S39" s="706">
        <f t="shared" si="12"/>
        <v>100</v>
      </c>
      <c r="T39" s="705" t="s">
        <v>14</v>
      </c>
      <c r="U39" s="706">
        <f t="shared" si="13"/>
        <v>100</v>
      </c>
      <c r="V39" s="705" t="s">
        <v>14</v>
      </c>
      <c r="W39" s="706">
        <f t="shared" si="14"/>
        <v>100</v>
      </c>
      <c r="X39" s="1354"/>
      <c r="Y39" s="3727"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5"/>
      <c r="Q40" s="1351" t="str">
        <f t="shared" si="11"/>
        <v>市政基础设施</v>
      </c>
      <c r="R40" s="705" t="s">
        <v>14</v>
      </c>
      <c r="S40" s="706">
        <f t="shared" si="12"/>
        <v>100</v>
      </c>
      <c r="T40" s="705" t="s">
        <v>14</v>
      </c>
      <c r="U40" s="706">
        <f t="shared" si="13"/>
        <v>100</v>
      </c>
      <c r="V40" s="705" t="s">
        <v>14</v>
      </c>
      <c r="W40" s="706">
        <f t="shared" si="14"/>
        <v>100</v>
      </c>
      <c r="X40" s="1354"/>
      <c r="Y40" s="3727"/>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5"/>
      <c r="Q41" s="1351" t="str">
        <f t="shared" si="11"/>
        <v>层高</v>
      </c>
      <c r="R41" s="705" t="s">
        <v>14</v>
      </c>
      <c r="S41" s="706">
        <f t="shared" si="12"/>
        <v>100</v>
      </c>
      <c r="T41" s="705" t="s">
        <v>14</v>
      </c>
      <c r="U41" s="706">
        <f t="shared" si="13"/>
        <v>100</v>
      </c>
      <c r="V41" s="705" t="s">
        <v>14</v>
      </c>
      <c r="W41" s="706">
        <f t="shared" si="14"/>
        <v>100</v>
      </c>
      <c r="X41" s="1354"/>
      <c r="Y41" s="3727"/>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5"/>
      <c r="Q43" s="1351" t="str">
        <f t="shared" si="11"/>
        <v>内部装修</v>
      </c>
      <c r="R43" s="705" t="s">
        <v>14</v>
      </c>
      <c r="S43" s="706">
        <f t="shared" si="12"/>
        <v>100</v>
      </c>
      <c r="T43" s="705" t="s">
        <v>14</v>
      </c>
      <c r="U43" s="706">
        <f t="shared" si="13"/>
        <v>100</v>
      </c>
      <c r="V43" s="705" t="s">
        <v>14</v>
      </c>
      <c r="W43" s="706">
        <f t="shared" si="14"/>
        <v>100</v>
      </c>
      <c r="X43" s="1354"/>
      <c r="Y43" s="3727"/>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25"/>
      <c r="Q44" s="1351" t="str">
        <f t="shared" si="11"/>
        <v>内部装修维护情况</v>
      </c>
      <c r="R44" s="705" t="s">
        <v>14</v>
      </c>
      <c r="S44" s="706">
        <f t="shared" si="12"/>
        <v>100</v>
      </c>
      <c r="T44" s="705" t="s">
        <v>14</v>
      </c>
      <c r="U44" s="706">
        <f t="shared" si="13"/>
        <v>100</v>
      </c>
      <c r="V44" s="705" t="s">
        <v>14</v>
      </c>
      <c r="W44" s="706">
        <f t="shared" si="14"/>
        <v>100</v>
      </c>
      <c r="X44" s="1354"/>
      <c r="Y44" s="3727"/>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5"/>
      <c r="Q45" s="1342">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6"/>
      <c r="Q47" s="1351">
        <f t="shared" si="11"/>
        <v>111</v>
      </c>
      <c r="R47" s="705" t="s">
        <v>14</v>
      </c>
      <c r="S47" s="706">
        <f t="shared" si="12"/>
        <v>100</v>
      </c>
      <c r="T47" s="705" t="s">
        <v>14</v>
      </c>
      <c r="U47" s="706">
        <f t="shared" si="13"/>
        <v>100</v>
      </c>
      <c r="V47" s="705" t="s">
        <v>14</v>
      </c>
      <c r="W47" s="706">
        <f t="shared" si="14"/>
        <v>100</v>
      </c>
      <c r="X47" s="1354"/>
      <c r="Y47" s="3728"/>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59" t="e">
        <f>R50</f>
        <v>#DIV/0!</v>
      </c>
      <c r="D49" s="2315" t="s">
        <v>2135</v>
      </c>
      <c r="E49" s="1160" t="e">
        <f>R49</f>
        <v>#DIV/0!</v>
      </c>
      <c r="F49" s="2316"/>
      <c r="G49" s="1159" t="e">
        <f>T49</f>
        <v>#DIV/0!</v>
      </c>
      <c r="H49" s="2316"/>
      <c r="I49" s="1160" t="e">
        <f>V49</f>
        <v>#DIV/0!</v>
      </c>
      <c r="J49" s="2316"/>
      <c r="K49" s="2318">
        <f>F49+H49+J49</f>
        <v>0</v>
      </c>
      <c r="L49" s="2722"/>
      <c r="M49" s="2714"/>
      <c r="N49" s="2714"/>
      <c r="O49" s="2714"/>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3"/>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3"/>
      <c r="Q18" s="1351"/>
      <c r="R18" s="705"/>
      <c r="S18" s="706"/>
      <c r="T18" s="705"/>
      <c r="U18" s="706"/>
      <c r="V18" s="705"/>
      <c r="W18" s="706"/>
      <c r="X18" s="1354"/>
      <c r="Y18" s="372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3"/>
      <c r="Q20" s="1351"/>
      <c r="R20" s="705"/>
      <c r="S20" s="706"/>
      <c r="T20" s="705"/>
      <c r="U20" s="706"/>
      <c r="V20" s="705"/>
      <c r="W20" s="706"/>
      <c r="X20" s="1354"/>
      <c r="Y20" s="3723"/>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723"/>
      <c r="Q22" s="1351"/>
      <c r="R22" s="705"/>
      <c r="S22" s="706"/>
      <c r="T22" s="705"/>
      <c r="U22" s="706"/>
      <c r="V22" s="705"/>
      <c r="W22" s="706"/>
      <c r="X22" s="1354"/>
      <c r="Y22" s="372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723"/>
      <c r="Q24" s="1351"/>
      <c r="R24" s="705"/>
      <c r="S24" s="706"/>
      <c r="T24" s="705"/>
      <c r="U24" s="706"/>
      <c r="V24" s="705"/>
      <c r="W24" s="706"/>
      <c r="X24" s="1354"/>
      <c r="Y24" s="372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1">
        <f>B25</f>
        <v>111</v>
      </c>
      <c r="R25" s="705" t="s">
        <v>14</v>
      </c>
      <c r="S25" s="706">
        <f>F25</f>
        <v>100</v>
      </c>
      <c r="T25" s="705" t="s">
        <v>14</v>
      </c>
      <c r="U25" s="706">
        <f>H25</f>
        <v>100</v>
      </c>
      <c r="V25" s="705" t="s">
        <v>14</v>
      </c>
      <c r="W25" s="706">
        <f>J25</f>
        <v>100</v>
      </c>
      <c r="X25" s="1354"/>
      <c r="Y25" s="372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1">
        <f t="shared" ref="Q26:Q40" si="11">B26</f>
        <v>111</v>
      </c>
      <c r="R26" s="705" t="s">
        <v>14</v>
      </c>
      <c r="S26" s="706">
        <f>F26</f>
        <v>100</v>
      </c>
      <c r="T26" s="705" t="s">
        <v>14</v>
      </c>
      <c r="U26" s="706">
        <f>H26</f>
        <v>100</v>
      </c>
      <c r="V26" s="705" t="s">
        <v>14</v>
      </c>
      <c r="W26" s="706">
        <f>J26</f>
        <v>100</v>
      </c>
      <c r="X26" s="1354"/>
      <c r="Y26" s="372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2">
        <f t="shared" si="11"/>
        <v>111</v>
      </c>
      <c r="R27" s="701" t="s">
        <v>14</v>
      </c>
      <c r="S27" s="702">
        <f>F27</f>
        <v>100</v>
      </c>
      <c r="T27" s="701" t="s">
        <v>14</v>
      </c>
      <c r="U27" s="702">
        <f>H27</f>
        <v>100</v>
      </c>
      <c r="V27" s="701" t="s">
        <v>14</v>
      </c>
      <c r="W27" s="702">
        <f>J27</f>
        <v>100</v>
      </c>
      <c r="X27" s="703"/>
      <c r="Y27" s="372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1">
        <f t="shared" si="11"/>
        <v>111</v>
      </c>
      <c r="R28" s="705" t="s">
        <v>14</v>
      </c>
      <c r="S28" s="706">
        <f t="shared" ref="S28:S40" si="12">F28</f>
        <v>100</v>
      </c>
      <c r="T28" s="705" t="s">
        <v>14</v>
      </c>
      <c r="U28" s="706">
        <f t="shared" ref="U28:U40" si="13">H28</f>
        <v>100</v>
      </c>
      <c r="V28" s="705" t="s">
        <v>14</v>
      </c>
      <c r="W28" s="706">
        <f t="shared" ref="W28:W40" si="14">J28</f>
        <v>100</v>
      </c>
      <c r="X28" s="1354"/>
      <c r="Y28" s="3723"/>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1" t="str">
        <f t="shared" si="11"/>
        <v>建筑类型</v>
      </c>
      <c r="R29" s="705" t="s">
        <v>14</v>
      </c>
      <c r="S29" s="706">
        <f t="shared" si="12"/>
        <v>100</v>
      </c>
      <c r="T29" s="705" t="s">
        <v>14</v>
      </c>
      <c r="U29" s="706">
        <f t="shared" si="13"/>
        <v>100</v>
      </c>
      <c r="V29" s="705" t="s">
        <v>14</v>
      </c>
      <c r="W29" s="706">
        <f t="shared" si="14"/>
        <v>100</v>
      </c>
      <c r="X29" s="1354"/>
      <c r="Y29" s="372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1" t="str">
        <f t="shared" si="11"/>
        <v>建筑结构</v>
      </c>
      <c r="R31" s="705" t="s">
        <v>14</v>
      </c>
      <c r="S31" s="706">
        <f t="shared" si="12"/>
        <v>100</v>
      </c>
      <c r="T31" s="705" t="s">
        <v>14</v>
      </c>
      <c r="U31" s="706">
        <f t="shared" si="13"/>
        <v>100</v>
      </c>
      <c r="V31" s="705" t="s">
        <v>14</v>
      </c>
      <c r="W31" s="706">
        <f t="shared" si="14"/>
        <v>100</v>
      </c>
      <c r="X31" s="1354"/>
      <c r="Y31" s="372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1" t="str">
        <f t="shared" si="11"/>
        <v>公共部分装修</v>
      </c>
      <c r="R32" s="705" t="s">
        <v>14</v>
      </c>
      <c r="S32" s="706">
        <f t="shared" si="12"/>
        <v>100</v>
      </c>
      <c r="T32" s="705" t="s">
        <v>14</v>
      </c>
      <c r="U32" s="706">
        <f t="shared" si="13"/>
        <v>100</v>
      </c>
      <c r="V32" s="705" t="s">
        <v>14</v>
      </c>
      <c r="W32" s="706">
        <f t="shared" si="14"/>
        <v>100</v>
      </c>
      <c r="X32" s="1354"/>
      <c r="Y32" s="372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1" t="str">
        <f t="shared" si="11"/>
        <v>成新度</v>
      </c>
      <c r="R33" s="705" t="s">
        <v>14</v>
      </c>
      <c r="S33" s="706" t="e">
        <f t="shared" si="12"/>
        <v>#N/A</v>
      </c>
      <c r="T33" s="705" t="s">
        <v>14</v>
      </c>
      <c r="U33" s="706" t="e">
        <f t="shared" si="13"/>
        <v>#N/A</v>
      </c>
      <c r="V33" s="705" t="s">
        <v>14</v>
      </c>
      <c r="W33" s="706" t="e">
        <f t="shared" si="14"/>
        <v>#N/A</v>
      </c>
      <c r="X33" s="1354"/>
      <c r="Y33" s="372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2"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1" t="str">
        <f t="shared" si="11"/>
        <v>市政基础设施</v>
      </c>
      <c r="R35" s="705" t="s">
        <v>14</v>
      </c>
      <c r="S35" s="706">
        <f t="shared" si="12"/>
        <v>100</v>
      </c>
      <c r="T35" s="705" t="s">
        <v>14</v>
      </c>
      <c r="U35" s="706">
        <f t="shared" si="13"/>
        <v>100</v>
      </c>
      <c r="V35" s="705" t="s">
        <v>14</v>
      </c>
      <c r="W35" s="706">
        <f t="shared" si="14"/>
        <v>100</v>
      </c>
      <c r="X35" s="1354"/>
      <c r="Y35" s="372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1" t="str">
        <f t="shared" si="11"/>
        <v>内部装修</v>
      </c>
      <c r="R36" s="705" t="s">
        <v>14</v>
      </c>
      <c r="S36" s="706">
        <f t="shared" si="12"/>
        <v>100</v>
      </c>
      <c r="T36" s="705" t="s">
        <v>14</v>
      </c>
      <c r="U36" s="706">
        <f t="shared" si="13"/>
        <v>100</v>
      </c>
      <c r="V36" s="705" t="s">
        <v>14</v>
      </c>
      <c r="W36" s="706">
        <f t="shared" si="14"/>
        <v>100</v>
      </c>
      <c r="X36" s="1354"/>
      <c r="Y36" s="372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1" t="str">
        <f t="shared" si="11"/>
        <v>内部装修状况</v>
      </c>
      <c r="R37" s="705" t="s">
        <v>14</v>
      </c>
      <c r="S37" s="706">
        <f t="shared" si="12"/>
        <v>100</v>
      </c>
      <c r="T37" s="705" t="s">
        <v>14</v>
      </c>
      <c r="U37" s="706">
        <f t="shared" si="13"/>
        <v>100</v>
      </c>
      <c r="V37" s="705" t="s">
        <v>14</v>
      </c>
      <c r="W37" s="706">
        <f t="shared" si="14"/>
        <v>100</v>
      </c>
      <c r="X37" s="1354"/>
      <c r="Y37" s="372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1">
        <f t="shared" si="11"/>
        <v>111</v>
      </c>
      <c r="R39" s="705" t="s">
        <v>14</v>
      </c>
      <c r="S39" s="706">
        <f t="shared" si="12"/>
        <v>100</v>
      </c>
      <c r="T39" s="705" t="s">
        <v>14</v>
      </c>
      <c r="U39" s="706">
        <f t="shared" si="13"/>
        <v>100</v>
      </c>
      <c r="V39" s="705" t="s">
        <v>14</v>
      </c>
      <c r="W39" s="706">
        <f t="shared" si="14"/>
        <v>100</v>
      </c>
      <c r="X39" s="1354"/>
      <c r="Y39" s="372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1">
        <f t="shared" si="11"/>
        <v>111</v>
      </c>
      <c r="R40" s="705" t="s">
        <v>14</v>
      </c>
      <c r="S40" s="706">
        <f t="shared" si="12"/>
        <v>100</v>
      </c>
      <c r="T40" s="705" t="s">
        <v>14</v>
      </c>
      <c r="U40" s="706">
        <f t="shared" si="13"/>
        <v>100</v>
      </c>
      <c r="V40" s="705" t="s">
        <v>14</v>
      </c>
      <c r="W40" s="706">
        <f t="shared" si="14"/>
        <v>100</v>
      </c>
      <c r="X40" s="1354"/>
      <c r="Y40" s="372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59" t="e">
        <f>R43</f>
        <v>#DIV/0!</v>
      </c>
      <c r="D42" s="2315" t="s">
        <v>2135</v>
      </c>
      <c r="E42" s="1160" t="e">
        <f>R42</f>
        <v>#DIV/0!</v>
      </c>
      <c r="F42" s="2316"/>
      <c r="G42" s="1159" t="e">
        <f>T42</f>
        <v>#DIV/0!</v>
      </c>
      <c r="H42" s="2316"/>
      <c r="I42" s="1160" t="e">
        <f>V42</f>
        <v>#DIV/0!</v>
      </c>
      <c r="J42" s="2316"/>
      <c r="K42" s="2318">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23"/>
      <c r="Q15" s="1351"/>
      <c r="R15" s="705"/>
      <c r="S15" s="706"/>
      <c r="T15" s="705"/>
      <c r="U15" s="706"/>
      <c r="V15" s="705"/>
      <c r="W15" s="706"/>
      <c r="X15" s="1354"/>
      <c r="Y15" s="3723"/>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723"/>
      <c r="Q17" s="1351"/>
      <c r="R17" s="705"/>
      <c r="S17" s="706"/>
      <c r="T17" s="705"/>
      <c r="U17" s="706"/>
      <c r="V17" s="705"/>
      <c r="W17" s="706"/>
      <c r="X17" s="1354"/>
      <c r="Y17" s="3723"/>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723"/>
      <c r="Q19" s="1351"/>
      <c r="R19" s="705"/>
      <c r="S19" s="706"/>
      <c r="T19" s="705"/>
      <c r="U19" s="706"/>
      <c r="V19" s="705"/>
      <c r="W19" s="706"/>
      <c r="X19" s="1354"/>
      <c r="Y19" s="3723"/>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23"/>
      <c r="Q21" s="1351"/>
      <c r="R21" s="705"/>
      <c r="S21" s="706"/>
      <c r="T21" s="705"/>
      <c r="U21" s="706"/>
      <c r="V21" s="705"/>
      <c r="W21" s="706"/>
      <c r="X21" s="1354"/>
      <c r="Y21" s="372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3"/>
      <c r="Q24" s="1351">
        <f t="shared" ref="Q24:Q36"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7"/>
      <c r="Q28" s="1351" t="str">
        <f t="shared" si="11"/>
        <v>公共部分装修</v>
      </c>
      <c r="R28" s="705" t="s">
        <v>14</v>
      </c>
      <c r="S28" s="706">
        <f t="shared" si="12"/>
        <v>100</v>
      </c>
      <c r="T28" s="705" t="s">
        <v>14</v>
      </c>
      <c r="U28" s="706">
        <f t="shared" si="13"/>
        <v>100</v>
      </c>
      <c r="V28" s="705" t="s">
        <v>14</v>
      </c>
      <c r="W28" s="706">
        <f t="shared" si="14"/>
        <v>100</v>
      </c>
      <c r="X28" s="1354"/>
      <c r="Y28" s="372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7"/>
      <c r="Q29" s="1351" t="str">
        <f t="shared" si="11"/>
        <v>成新率</v>
      </c>
      <c r="R29" s="705" t="s">
        <v>14</v>
      </c>
      <c r="S29" s="706" t="e">
        <f t="shared" si="12"/>
        <v>#N/A</v>
      </c>
      <c r="T29" s="705" t="s">
        <v>14</v>
      </c>
      <c r="U29" s="706" t="e">
        <f t="shared" si="13"/>
        <v>#N/A</v>
      </c>
      <c r="V29" s="705" t="s">
        <v>14</v>
      </c>
      <c r="W29" s="706" t="e">
        <f t="shared" si="14"/>
        <v>#N/A</v>
      </c>
      <c r="X29" s="1354"/>
      <c r="Y29" s="372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7"/>
      <c r="Q30" s="1351" t="str">
        <f t="shared" si="11"/>
        <v>物业等级</v>
      </c>
      <c r="R30" s="705" t="s">
        <v>14</v>
      </c>
      <c r="S30" s="706">
        <f t="shared" si="12"/>
        <v>100</v>
      </c>
      <c r="T30" s="705" t="s">
        <v>14</v>
      </c>
      <c r="U30" s="706">
        <f t="shared" si="13"/>
        <v>100</v>
      </c>
      <c r="V30" s="705" t="s">
        <v>14</v>
      </c>
      <c r="W30" s="706">
        <f t="shared" si="14"/>
        <v>100</v>
      </c>
      <c r="X30" s="1354"/>
      <c r="Y30" s="372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7"/>
      <c r="Q31" s="1342"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7" t="s">
        <v>1696</v>
      </c>
      <c r="Q32" s="1351" t="str">
        <f t="shared" si="11"/>
        <v>车位类型</v>
      </c>
      <c r="R32" s="705" t="s">
        <v>14</v>
      </c>
      <c r="S32" s="706">
        <f t="shared" si="12"/>
        <v>100</v>
      </c>
      <c r="T32" s="705" t="s">
        <v>14</v>
      </c>
      <c r="U32" s="706">
        <f t="shared" si="13"/>
        <v>100</v>
      </c>
      <c r="V32" s="705" t="s">
        <v>14</v>
      </c>
      <c r="W32" s="706">
        <f t="shared" si="14"/>
        <v>100</v>
      </c>
      <c r="X32" s="1354"/>
      <c r="Y32" s="372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7"/>
      <c r="Q33" s="1351" t="str">
        <f t="shared" si="11"/>
        <v>是否直接入户</v>
      </c>
      <c r="R33" s="705" t="s">
        <v>14</v>
      </c>
      <c r="S33" s="706">
        <f t="shared" si="12"/>
        <v>100</v>
      </c>
      <c r="T33" s="705" t="s">
        <v>14</v>
      </c>
      <c r="U33" s="706">
        <f t="shared" si="13"/>
        <v>100</v>
      </c>
      <c r="V33" s="705" t="s">
        <v>14</v>
      </c>
      <c r="W33" s="706">
        <f t="shared" si="14"/>
        <v>100</v>
      </c>
      <c r="X33" s="1354"/>
      <c r="Y33" s="372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7"/>
      <c r="Q36" s="1351">
        <f t="shared" si="11"/>
        <v>111</v>
      </c>
      <c r="R36" s="705" t="s">
        <v>14</v>
      </c>
      <c r="S36" s="706">
        <f t="shared" si="12"/>
        <v>100</v>
      </c>
      <c r="T36" s="705" t="s">
        <v>14</v>
      </c>
      <c r="U36" s="706">
        <f t="shared" si="13"/>
        <v>100</v>
      </c>
      <c r="V36" s="705" t="s">
        <v>14</v>
      </c>
      <c r="W36" s="706">
        <f t="shared" si="14"/>
        <v>100</v>
      </c>
      <c r="X36" s="1354"/>
      <c r="Y36" s="3727"/>
      <c r="Z36" s="1355">
        <f t="shared" si="15"/>
        <v>111</v>
      </c>
      <c r="AA36" s="1352">
        <f t="shared" si="3"/>
        <v>1</v>
      </c>
      <c r="AB36" s="1352">
        <f t="shared" si="4"/>
        <v>1</v>
      </c>
      <c r="AC36" s="1352">
        <f t="shared" si="5"/>
        <v>1</v>
      </c>
    </row>
    <row r="37" spans="1:29" ht="15">
      <c r="A37" s="430" t="s">
        <v>1844</v>
      </c>
      <c r="B37" s="1971" t="s">
        <v>3358</v>
      </c>
      <c r="C37" s="1153" t="s">
        <v>0</v>
      </c>
      <c r="D37" s="1154"/>
      <c r="E37" s="1155"/>
      <c r="F37" s="1156"/>
      <c r="G37" s="1157"/>
      <c r="H37" s="1158"/>
      <c r="I37" s="1155"/>
      <c r="J37" s="1158"/>
      <c r="K37" s="568"/>
      <c r="L37" s="2722"/>
      <c r="M37" s="2723"/>
      <c r="N37" s="2714"/>
      <c r="O37" s="2723"/>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59" t="e">
        <f>R39</f>
        <v>#DIV/0!</v>
      </c>
      <c r="D38" s="2315" t="s">
        <v>2135</v>
      </c>
      <c r="E38" s="1160" t="e">
        <f>R38</f>
        <v>#DIV/0!</v>
      </c>
      <c r="F38" s="2316"/>
      <c r="G38" s="1159" t="e">
        <f>T38</f>
        <v>#DIV/0!</v>
      </c>
      <c r="H38" s="2316"/>
      <c r="I38" s="1160" t="e">
        <f>V38</f>
        <v>#DIV/0!</v>
      </c>
      <c r="J38" s="2316"/>
      <c r="K38" s="2318">
        <f>F38+H38+J38</f>
        <v>0</v>
      </c>
      <c r="L38" s="2722"/>
      <c r="M38" s="2723"/>
      <c r="N38" s="2723"/>
      <c r="O38" s="2723"/>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估价对象为房地产，为所有。根据《国有土地使用证》[]，估价对象（分摊）出让国有建设用地使用权面积为4.7平方米，建筑面积为69.12平方米。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估价对象为房地产,属开发建设的，该项目尚在开发建设中。根据《国有土地使用证》[]，估价对象（分摊）出让国有建设用地使用权面积为4.7平方米，规划建筑面积为69.12平方米。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3"/>
      <c r="Q15" s="1351"/>
      <c r="R15" s="705"/>
      <c r="S15" s="706"/>
      <c r="T15" s="705"/>
      <c r="U15" s="706"/>
      <c r="V15" s="705"/>
      <c r="W15" s="706"/>
      <c r="X15" s="1354"/>
      <c r="Y15" s="3723"/>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723"/>
      <c r="Q17" s="1351"/>
      <c r="R17" s="705"/>
      <c r="S17" s="706"/>
      <c r="T17" s="705"/>
      <c r="U17" s="706"/>
      <c r="V17" s="705"/>
      <c r="W17" s="706"/>
      <c r="X17" s="1354"/>
      <c r="Y17" s="3723"/>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723"/>
      <c r="Q19" s="1351"/>
      <c r="R19" s="705"/>
      <c r="S19" s="706"/>
      <c r="T19" s="705"/>
      <c r="U19" s="706"/>
      <c r="V19" s="705"/>
      <c r="W19" s="706"/>
      <c r="X19" s="1354"/>
      <c r="Y19" s="3723"/>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3"/>
      <c r="Q21" s="1351"/>
      <c r="R21" s="705"/>
      <c r="S21" s="706"/>
      <c r="T21" s="705"/>
      <c r="U21" s="706"/>
      <c r="V21" s="705"/>
      <c r="W21" s="706"/>
      <c r="X21" s="1354"/>
      <c r="Y21" s="372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3"/>
      <c r="Q24" s="1351">
        <f t="shared" ref="Q24:Q34"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7"/>
      <c r="Q28" s="1351" t="str">
        <f t="shared" si="11"/>
        <v>物业等级</v>
      </c>
      <c r="R28" s="705" t="s">
        <v>14</v>
      </c>
      <c r="S28" s="706">
        <f t="shared" si="12"/>
        <v>100</v>
      </c>
      <c r="T28" s="705" t="s">
        <v>14</v>
      </c>
      <c r="U28" s="706">
        <f t="shared" si="13"/>
        <v>100</v>
      </c>
      <c r="V28" s="705" t="s">
        <v>14</v>
      </c>
      <c r="W28" s="706">
        <f t="shared" si="14"/>
        <v>100</v>
      </c>
      <c r="X28" s="1354"/>
      <c r="Y28" s="372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7"/>
      <c r="Q29" s="1351" t="str">
        <f t="shared" si="11"/>
        <v>有无电梯</v>
      </c>
      <c r="R29" s="705" t="s">
        <v>14</v>
      </c>
      <c r="S29" s="706">
        <f t="shared" si="12"/>
        <v>100</v>
      </c>
      <c r="T29" s="705" t="s">
        <v>14</v>
      </c>
      <c r="U29" s="706">
        <f t="shared" si="13"/>
        <v>100</v>
      </c>
      <c r="V29" s="705" t="s">
        <v>14</v>
      </c>
      <c r="W29" s="706">
        <f t="shared" si="14"/>
        <v>100</v>
      </c>
      <c r="X29" s="1354"/>
      <c r="Y29" s="372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7"/>
      <c r="Q30" s="1351" t="str">
        <f t="shared" si="11"/>
        <v>建筑面积</v>
      </c>
      <c r="R30" s="705" t="s">
        <v>14</v>
      </c>
      <c r="S30" s="706" t="e">
        <f t="shared" si="12"/>
        <v>#N/A</v>
      </c>
      <c r="T30" s="705" t="s">
        <v>14</v>
      </c>
      <c r="U30" s="706" t="e">
        <f t="shared" si="13"/>
        <v>#N/A</v>
      </c>
      <c r="V30" s="705" t="s">
        <v>14</v>
      </c>
      <c r="W30" s="706" t="e">
        <f t="shared" si="14"/>
        <v>#N/A</v>
      </c>
      <c r="X30" s="1354"/>
      <c r="Y30" s="372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7"/>
      <c r="Q31" s="1342"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7" t="s">
        <v>1696</v>
      </c>
      <c r="Q32" s="1351">
        <f t="shared" si="11"/>
        <v>111</v>
      </c>
      <c r="R32" s="705" t="s">
        <v>14</v>
      </c>
      <c r="S32" s="706">
        <f t="shared" si="12"/>
        <v>100</v>
      </c>
      <c r="T32" s="705" t="s">
        <v>14</v>
      </c>
      <c r="U32" s="706">
        <f t="shared" si="13"/>
        <v>100</v>
      </c>
      <c r="V32" s="705" t="s">
        <v>14</v>
      </c>
      <c r="W32" s="706">
        <f t="shared" si="14"/>
        <v>100</v>
      </c>
      <c r="X32" s="1354"/>
      <c r="Y32" s="372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7"/>
      <c r="Q33" s="1351">
        <f t="shared" si="11"/>
        <v>111</v>
      </c>
      <c r="R33" s="705" t="s">
        <v>14</v>
      </c>
      <c r="S33" s="706">
        <f t="shared" si="12"/>
        <v>100</v>
      </c>
      <c r="T33" s="705" t="s">
        <v>14</v>
      </c>
      <c r="U33" s="706">
        <f t="shared" si="13"/>
        <v>100</v>
      </c>
      <c r="V33" s="705" t="s">
        <v>14</v>
      </c>
      <c r="W33" s="706">
        <f t="shared" si="14"/>
        <v>100</v>
      </c>
      <c r="X33" s="1354"/>
      <c r="Y33" s="3727"/>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59" t="e">
        <f>R37</f>
        <v>#DIV/0!</v>
      </c>
      <c r="D36" s="2315" t="s">
        <v>2135</v>
      </c>
      <c r="E36" s="1160" t="e">
        <f>R36</f>
        <v>#DIV/0!</v>
      </c>
      <c r="F36" s="2316"/>
      <c r="G36" s="1159" t="e">
        <f>T36</f>
        <v>#DIV/0!</v>
      </c>
      <c r="H36" s="2316"/>
      <c r="I36" s="1160" t="e">
        <f>V36</f>
        <v>#DIV/0!</v>
      </c>
      <c r="J36" s="2316"/>
      <c r="K36" s="2318">
        <f>F36+H36+J36</f>
        <v>0</v>
      </c>
      <c r="L36" s="2722"/>
      <c r="M36" s="2723"/>
      <c r="N36" s="2714"/>
      <c r="O36" s="2723"/>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30" s="108" customFormat="1" ht="15.75" thickBot="1">
      <c r="A7" s="362" t="s">
        <v>1679</v>
      </c>
      <c r="B7" s="363"/>
      <c r="C7" s="364">
        <f>'数据-取费表'!B2</f>
        <v>44942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0"/>
      <c r="Q12" s="1342"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2" t="s">
        <v>1691</v>
      </c>
      <c r="Q15" s="1351" t="str">
        <f t="shared" si="6"/>
        <v>居住社区成熟度</v>
      </c>
      <c r="R15" s="705" t="s">
        <v>14</v>
      </c>
      <c r="S15" s="706">
        <f t="shared" si="0"/>
        <v>100</v>
      </c>
      <c r="T15" s="705" t="s">
        <v>14</v>
      </c>
      <c r="U15" s="706">
        <f t="shared" si="1"/>
        <v>100</v>
      </c>
      <c r="V15" s="705" t="s">
        <v>14</v>
      </c>
      <c r="W15" s="706">
        <f t="shared" si="2"/>
        <v>100</v>
      </c>
      <c r="X15" s="1354"/>
      <c r="Y15" s="372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3"/>
      <c r="Q17" s="1351" t="str">
        <f>B17</f>
        <v>商业繁华度</v>
      </c>
      <c r="R17" s="705" t="s">
        <v>14</v>
      </c>
      <c r="S17" s="706">
        <f>F17</f>
        <v>100</v>
      </c>
      <c r="T17" s="705" t="s">
        <v>14</v>
      </c>
      <c r="U17" s="706">
        <f>H17</f>
        <v>100</v>
      </c>
      <c r="V17" s="705" t="s">
        <v>14</v>
      </c>
      <c r="W17" s="706">
        <f>J17</f>
        <v>100</v>
      </c>
      <c r="X17" s="1354"/>
      <c r="Y17" s="372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3"/>
      <c r="Q19" s="1351" t="str">
        <f>B19</f>
        <v>办公集聚程度</v>
      </c>
      <c r="R19" s="705" t="s">
        <v>14</v>
      </c>
      <c r="S19" s="706">
        <f>F19</f>
        <v>100</v>
      </c>
      <c r="T19" s="705" t="s">
        <v>14</v>
      </c>
      <c r="U19" s="706">
        <f>H19</f>
        <v>100</v>
      </c>
      <c r="V19" s="705" t="s">
        <v>14</v>
      </c>
      <c r="W19" s="706">
        <f>J19</f>
        <v>100</v>
      </c>
      <c r="X19" s="1354"/>
      <c r="Y19" s="372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723"/>
      <c r="Q20" s="1351"/>
      <c r="R20" s="705"/>
      <c r="S20" s="706"/>
      <c r="T20" s="705"/>
      <c r="U20" s="706"/>
      <c r="V20" s="705"/>
      <c r="W20" s="706"/>
      <c r="X20" s="1354"/>
      <c r="Y20" s="3723"/>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3"/>
      <c r="Q21" s="1351" t="str">
        <f>B21</f>
        <v>交通便捷度</v>
      </c>
      <c r="R21" s="705" t="s">
        <v>14</v>
      </c>
      <c r="S21" s="706">
        <f>F21</f>
        <v>100</v>
      </c>
      <c r="T21" s="705" t="s">
        <v>14</v>
      </c>
      <c r="U21" s="706">
        <f>H21</f>
        <v>100</v>
      </c>
      <c r="V21" s="705" t="s">
        <v>14</v>
      </c>
      <c r="W21" s="706">
        <f>J21</f>
        <v>100</v>
      </c>
      <c r="X21" s="1354"/>
      <c r="Y21" s="3723"/>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3"/>
      <c r="Q23" s="1351" t="str">
        <f t="shared" ref="Q23:Q37" si="8">B23</f>
        <v>区域土地利用方向</v>
      </c>
      <c r="R23" s="705" t="s">
        <v>14</v>
      </c>
      <c r="S23" s="706">
        <f>F23</f>
        <v>100</v>
      </c>
      <c r="T23" s="705" t="s">
        <v>14</v>
      </c>
      <c r="U23" s="706">
        <f>H23</f>
        <v>100</v>
      </c>
      <c r="V23" s="705" t="s">
        <v>14</v>
      </c>
      <c r="W23" s="706">
        <f>J23</f>
        <v>100</v>
      </c>
      <c r="X23" s="1354"/>
      <c r="Y23" s="372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723"/>
      <c r="Q24" s="1351"/>
      <c r="R24" s="705"/>
      <c r="S24" s="706"/>
      <c r="T24" s="705"/>
      <c r="U24" s="706"/>
      <c r="V24" s="705"/>
      <c r="W24" s="706"/>
      <c r="X24" s="1354"/>
      <c r="Y24" s="3723"/>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3"/>
      <c r="Q25" s="1351" t="str">
        <f t="shared" si="8"/>
        <v>自然及人文环境状况</v>
      </c>
      <c r="R25" s="705" t="s">
        <v>14</v>
      </c>
      <c r="S25" s="706">
        <f>F25</f>
        <v>100</v>
      </c>
      <c r="T25" s="705" t="s">
        <v>14</v>
      </c>
      <c r="U25" s="706">
        <f>H25</f>
        <v>100</v>
      </c>
      <c r="V25" s="705" t="s">
        <v>14</v>
      </c>
      <c r="W25" s="706">
        <f>J25</f>
        <v>100</v>
      </c>
      <c r="X25" s="1354"/>
      <c r="Y25" s="372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723"/>
      <c r="Q26" s="1351"/>
      <c r="R26" s="705"/>
      <c r="S26" s="706"/>
      <c r="T26" s="705"/>
      <c r="U26" s="706"/>
      <c r="V26" s="705"/>
      <c r="W26" s="706"/>
      <c r="X26" s="1354"/>
      <c r="Y26" s="3723"/>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3"/>
      <c r="Q27" s="1342" t="str">
        <f t="shared" si="8"/>
        <v>公共配套设施</v>
      </c>
      <c r="R27" s="701" t="s">
        <v>14</v>
      </c>
      <c r="S27" s="702">
        <f>F27</f>
        <v>100</v>
      </c>
      <c r="T27" s="701" t="s">
        <v>14</v>
      </c>
      <c r="U27" s="702">
        <f>H27</f>
        <v>100</v>
      </c>
      <c r="V27" s="701" t="s">
        <v>14</v>
      </c>
      <c r="W27" s="702">
        <f>J27</f>
        <v>100</v>
      </c>
      <c r="X27" s="703"/>
      <c r="Y27" s="3723"/>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723"/>
      <c r="Q28" s="1342"/>
      <c r="R28" s="701"/>
      <c r="S28" s="702"/>
      <c r="T28" s="701"/>
      <c r="U28" s="702"/>
      <c r="V28" s="701"/>
      <c r="W28" s="702"/>
      <c r="X28" s="703"/>
      <c r="Y28" s="3723"/>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3"/>
      <c r="Q29" s="1342"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23"/>
      <c r="Q30" s="1342"/>
      <c r="R30" s="701"/>
      <c r="S30" s="702"/>
      <c r="T30" s="701"/>
      <c r="U30" s="702"/>
      <c r="V30" s="701"/>
      <c r="W30" s="702"/>
      <c r="X30" s="703"/>
      <c r="Y30" s="372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3"/>
      <c r="Q32" s="1351" t="str">
        <f t="shared" si="8"/>
        <v>毗邻道路的类型与等级</v>
      </c>
      <c r="R32" s="705" t="s">
        <v>14</v>
      </c>
      <c r="S32" s="706">
        <f t="shared" si="10"/>
        <v>100</v>
      </c>
      <c r="T32" s="705" t="s">
        <v>14</v>
      </c>
      <c r="U32" s="706">
        <f t="shared" si="11"/>
        <v>100</v>
      </c>
      <c r="V32" s="705" t="s">
        <v>14</v>
      </c>
      <c r="W32" s="706">
        <f t="shared" si="12"/>
        <v>100</v>
      </c>
      <c r="X32" s="1354"/>
      <c r="Y32" s="372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723"/>
      <c r="Q33" s="1351"/>
      <c r="R33" s="705"/>
      <c r="S33" s="706"/>
      <c r="T33" s="705"/>
      <c r="U33" s="706"/>
      <c r="V33" s="705"/>
      <c r="W33" s="706"/>
      <c r="X33" s="1354"/>
      <c r="Y33" s="372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3"/>
      <c r="Q34" s="1351" t="str">
        <f t="shared" si="8"/>
        <v>土地级别</v>
      </c>
      <c r="R34" s="705" t="s">
        <v>14</v>
      </c>
      <c r="S34" s="706">
        <f t="shared" si="10"/>
        <v>100</v>
      </c>
      <c r="T34" s="705" t="s">
        <v>14</v>
      </c>
      <c r="U34" s="706">
        <f t="shared" si="11"/>
        <v>100</v>
      </c>
      <c r="V34" s="705" t="s">
        <v>14</v>
      </c>
      <c r="W34" s="706">
        <f t="shared" si="12"/>
        <v>100</v>
      </c>
      <c r="X34" s="1354"/>
      <c r="Y34" s="372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3"/>
      <c r="Q35" s="1351">
        <f t="shared" si="8"/>
        <v>111</v>
      </c>
      <c r="R35" s="705" t="s">
        <v>14</v>
      </c>
      <c r="S35" s="706">
        <f t="shared" si="10"/>
        <v>100</v>
      </c>
      <c r="T35" s="705" t="s">
        <v>14</v>
      </c>
      <c r="U35" s="706">
        <f t="shared" si="11"/>
        <v>100</v>
      </c>
      <c r="V35" s="705" t="s">
        <v>14</v>
      </c>
      <c r="W35" s="706">
        <f t="shared" si="12"/>
        <v>100</v>
      </c>
      <c r="X35" s="1354"/>
      <c r="Y35" s="372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1">
        <f t="shared" si="8"/>
        <v>111</v>
      </c>
      <c r="R36" s="705" t="s">
        <v>14</v>
      </c>
      <c r="S36" s="706">
        <f t="shared" si="10"/>
        <v>100</v>
      </c>
      <c r="T36" s="705" t="s">
        <v>14</v>
      </c>
      <c r="U36" s="706">
        <f t="shared" si="11"/>
        <v>100</v>
      </c>
      <c r="V36" s="705" t="s">
        <v>14</v>
      </c>
      <c r="W36" s="706">
        <f t="shared" si="12"/>
        <v>100</v>
      </c>
      <c r="X36" s="1354"/>
      <c r="Y36" s="372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7"/>
      <c r="Q37" s="1351">
        <f t="shared" si="8"/>
        <v>111</v>
      </c>
      <c r="R37" s="708" t="s">
        <v>14</v>
      </c>
      <c r="S37" s="709">
        <f t="shared" si="10"/>
        <v>100</v>
      </c>
      <c r="T37" s="708" t="s">
        <v>14</v>
      </c>
      <c r="U37" s="709">
        <f t="shared" si="11"/>
        <v>100</v>
      </c>
      <c r="V37" s="708" t="s">
        <v>14</v>
      </c>
      <c r="W37" s="709">
        <f t="shared" si="12"/>
        <v>100</v>
      </c>
      <c r="X37" s="710"/>
      <c r="Y37" s="372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7"/>
      <c r="Q38" s="1351" t="str">
        <f>B38</f>
        <v>宗地面积</v>
      </c>
      <c r="R38" s="705" t="s">
        <v>14</v>
      </c>
      <c r="S38" s="706" t="e">
        <f t="shared" si="10"/>
        <v>#N/A</v>
      </c>
      <c r="T38" s="705" t="s">
        <v>14</v>
      </c>
      <c r="U38" s="706" t="e">
        <f t="shared" si="11"/>
        <v>#N/A</v>
      </c>
      <c r="V38" s="705" t="s">
        <v>14</v>
      </c>
      <c r="W38" s="706" t="e">
        <f t="shared" si="12"/>
        <v>#N/A</v>
      </c>
      <c r="X38" s="1354"/>
      <c r="Y38" s="372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7"/>
      <c r="Q39" s="1351" t="str">
        <f t="shared" ref="Q39:Q45" si="14">B39</f>
        <v>宗地形状</v>
      </c>
      <c r="R39" s="705" t="s">
        <v>14</v>
      </c>
      <c r="S39" s="706">
        <f t="shared" si="10"/>
        <v>100</v>
      </c>
      <c r="T39" s="705" t="s">
        <v>14</v>
      </c>
      <c r="U39" s="706">
        <f t="shared" si="11"/>
        <v>100</v>
      </c>
      <c r="V39" s="705" t="s">
        <v>14</v>
      </c>
      <c r="W39" s="706">
        <f t="shared" si="12"/>
        <v>100</v>
      </c>
      <c r="X39" s="1354"/>
      <c r="Y39" s="372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7"/>
      <c r="Q40" s="1351" t="str">
        <f t="shared" si="14"/>
        <v>临街宽度及深度</v>
      </c>
      <c r="R40" s="705" t="s">
        <v>14</v>
      </c>
      <c r="S40" s="706">
        <f t="shared" si="10"/>
        <v>100</v>
      </c>
      <c r="T40" s="705" t="s">
        <v>14</v>
      </c>
      <c r="U40" s="706">
        <f t="shared" si="11"/>
        <v>100</v>
      </c>
      <c r="V40" s="705" t="s">
        <v>14</v>
      </c>
      <c r="W40" s="706">
        <f t="shared" si="12"/>
        <v>100</v>
      </c>
      <c r="X40" s="1354"/>
      <c r="Y40" s="3727"/>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7"/>
      <c r="Q41" s="1351"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7" t="s">
        <v>1696</v>
      </c>
      <c r="Q42" s="1351" t="str">
        <f t="shared" si="14"/>
        <v>工程地质条件</v>
      </c>
      <c r="R42" s="705" t="s">
        <v>14</v>
      </c>
      <c r="S42" s="706">
        <f t="shared" si="10"/>
        <v>100</v>
      </c>
      <c r="T42" s="705" t="s">
        <v>14</v>
      </c>
      <c r="U42" s="706">
        <f t="shared" si="11"/>
        <v>100</v>
      </c>
      <c r="V42" s="705" t="s">
        <v>14</v>
      </c>
      <c r="W42" s="706">
        <f t="shared" si="12"/>
        <v>100</v>
      </c>
      <c r="X42" s="1354"/>
      <c r="Y42" s="372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7"/>
      <c r="Q43" s="1351">
        <f t="shared" si="14"/>
        <v>111</v>
      </c>
      <c r="R43" s="705" t="s">
        <v>14</v>
      </c>
      <c r="S43" s="706">
        <f t="shared" si="10"/>
        <v>100</v>
      </c>
      <c r="T43" s="705" t="s">
        <v>14</v>
      </c>
      <c r="U43" s="706">
        <f t="shared" si="11"/>
        <v>100</v>
      </c>
      <c r="V43" s="705" t="s">
        <v>14</v>
      </c>
      <c r="W43" s="706">
        <f t="shared" si="12"/>
        <v>100</v>
      </c>
      <c r="X43" s="1354"/>
      <c r="Y43" s="372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7"/>
      <c r="Q44" s="1351">
        <f t="shared" si="14"/>
        <v>111</v>
      </c>
      <c r="R44" s="705" t="s">
        <v>14</v>
      </c>
      <c r="S44" s="706">
        <f t="shared" si="10"/>
        <v>100</v>
      </c>
      <c r="T44" s="705" t="s">
        <v>14</v>
      </c>
      <c r="U44" s="706">
        <f t="shared" si="11"/>
        <v>100</v>
      </c>
      <c r="V44" s="705" t="s">
        <v>14</v>
      </c>
      <c r="W44" s="706">
        <f t="shared" si="12"/>
        <v>100</v>
      </c>
      <c r="X44" s="1354"/>
      <c r="Y44" s="3727"/>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7"/>
      <c r="Q45" s="1351">
        <f t="shared" si="14"/>
        <v>111</v>
      </c>
      <c r="R45" s="708" t="s">
        <v>14</v>
      </c>
      <c r="S45" s="709">
        <f t="shared" si="10"/>
        <v>100</v>
      </c>
      <c r="T45" s="708" t="s">
        <v>14</v>
      </c>
      <c r="U45" s="709">
        <f t="shared" si="11"/>
        <v>100</v>
      </c>
      <c r="V45" s="708" t="s">
        <v>14</v>
      </c>
      <c r="W45" s="709">
        <f t="shared" si="12"/>
        <v>100</v>
      </c>
      <c r="X45" s="710"/>
      <c r="Y45" s="3727"/>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2135</v>
      </c>
      <c r="E47" s="440" t="e">
        <f>R47</f>
        <v>#DIV/0!</v>
      </c>
      <c r="F47" s="2316"/>
      <c r="G47" s="439" t="e">
        <f>T47</f>
        <v>#DIV/0!</v>
      </c>
      <c r="H47" s="2316"/>
      <c r="I47" s="440" t="e">
        <f>V47</f>
        <v>#DIV/0!</v>
      </c>
      <c r="J47" s="2316"/>
      <c r="K47" s="2318">
        <f>F47+H47+J47</f>
        <v>0</v>
      </c>
      <c r="L47" s="2722"/>
      <c r="M47" s="2723"/>
      <c r="N47" s="2723"/>
      <c r="O47" s="2723"/>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3"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69.12</v>
      </c>
      <c r="F56" s="886" t="e">
        <f t="shared" ref="F56:F64" si="15">ROUND(B56*E56/10000,0)</f>
        <v>#DIV/0!</v>
      </c>
      <c r="G56" s="3702"/>
      <c r="H56" s="372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69.12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3"/>
      <c r="Q19" s="1351" t="str">
        <f t="shared" ref="Q19:Q33" si="8">B19</f>
        <v>区域土地利用方向</v>
      </c>
      <c r="R19" s="705" t="s">
        <v>14</v>
      </c>
      <c r="S19" s="706">
        <f>F19</f>
        <v>100</v>
      </c>
      <c r="T19" s="705" t="s">
        <v>14</v>
      </c>
      <c r="U19" s="706">
        <f>H19</f>
        <v>100</v>
      </c>
      <c r="V19" s="705" t="s">
        <v>14</v>
      </c>
      <c r="W19" s="706">
        <f>J19</f>
        <v>100</v>
      </c>
      <c r="X19" s="1354"/>
      <c r="Y19" s="372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723"/>
      <c r="Q20" s="1351"/>
      <c r="R20" s="705"/>
      <c r="S20" s="706"/>
      <c r="T20" s="705"/>
      <c r="U20" s="706"/>
      <c r="V20" s="705"/>
      <c r="W20" s="706"/>
      <c r="X20" s="1354"/>
      <c r="Y20" s="372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3"/>
      <c r="Q21" s="1351" t="str">
        <f t="shared" si="8"/>
        <v>环境状况</v>
      </c>
      <c r="R21" s="705" t="s">
        <v>14</v>
      </c>
      <c r="S21" s="706">
        <f>F21</f>
        <v>100</v>
      </c>
      <c r="T21" s="705" t="s">
        <v>14</v>
      </c>
      <c r="U21" s="706">
        <f>H21</f>
        <v>100</v>
      </c>
      <c r="V21" s="705" t="s">
        <v>14</v>
      </c>
      <c r="W21" s="706">
        <f>J21</f>
        <v>100</v>
      </c>
      <c r="X21" s="1354"/>
      <c r="Y21" s="372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3"/>
      <c r="Q23" s="1342" t="str">
        <f t="shared" si="8"/>
        <v>公共配套设施</v>
      </c>
      <c r="R23" s="701" t="s">
        <v>14</v>
      </c>
      <c r="S23" s="702">
        <f>F23</f>
        <v>100</v>
      </c>
      <c r="T23" s="701" t="s">
        <v>14</v>
      </c>
      <c r="U23" s="702">
        <f>H23</f>
        <v>100</v>
      </c>
      <c r="V23" s="701" t="s">
        <v>14</v>
      </c>
      <c r="W23" s="702">
        <f>J23</f>
        <v>100</v>
      </c>
      <c r="X23" s="703"/>
      <c r="Y23" s="3723"/>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723"/>
      <c r="Q24" s="1342"/>
      <c r="R24" s="701"/>
      <c r="S24" s="702"/>
      <c r="T24" s="701"/>
      <c r="U24" s="702"/>
      <c r="V24" s="701"/>
      <c r="W24" s="702"/>
      <c r="X24" s="703"/>
      <c r="Y24" s="372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3"/>
      <c r="Q25" s="1342"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23"/>
      <c r="Q26" s="1342"/>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3"/>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3"/>
      <c r="Q28" s="1351" t="str">
        <f t="shared" si="8"/>
        <v>毗邻道路的类型与等级</v>
      </c>
      <c r="R28" s="705" t="s">
        <v>14</v>
      </c>
      <c r="S28" s="706">
        <f t="shared" si="10"/>
        <v>100</v>
      </c>
      <c r="T28" s="705" t="s">
        <v>14</v>
      </c>
      <c r="U28" s="706">
        <f t="shared" si="11"/>
        <v>100</v>
      </c>
      <c r="V28" s="705" t="s">
        <v>14</v>
      </c>
      <c r="W28" s="706">
        <f t="shared" si="12"/>
        <v>100</v>
      </c>
      <c r="X28" s="1354"/>
      <c r="Y28" s="372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723"/>
      <c r="Q29" s="1351"/>
      <c r="R29" s="705"/>
      <c r="S29" s="706"/>
      <c r="T29" s="705"/>
      <c r="U29" s="706"/>
      <c r="V29" s="705"/>
      <c r="W29" s="706"/>
      <c r="X29" s="1354"/>
      <c r="Y29" s="372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3"/>
      <c r="Q30" s="1351" t="str">
        <f t="shared" si="8"/>
        <v>土地级别</v>
      </c>
      <c r="R30" s="705" t="s">
        <v>14</v>
      </c>
      <c r="S30" s="706">
        <f t="shared" si="10"/>
        <v>100</v>
      </c>
      <c r="T30" s="705" t="s">
        <v>14</v>
      </c>
      <c r="U30" s="706">
        <f t="shared" si="11"/>
        <v>100</v>
      </c>
      <c r="V30" s="705" t="s">
        <v>14</v>
      </c>
      <c r="W30" s="706">
        <f t="shared" si="12"/>
        <v>100</v>
      </c>
      <c r="X30" s="1354"/>
      <c r="Y30" s="3723"/>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3"/>
      <c r="Q31" s="1351">
        <f t="shared" si="8"/>
        <v>111</v>
      </c>
      <c r="R31" s="705" t="s">
        <v>14</v>
      </c>
      <c r="S31" s="706">
        <f t="shared" si="10"/>
        <v>100</v>
      </c>
      <c r="T31" s="705" t="s">
        <v>14</v>
      </c>
      <c r="U31" s="706">
        <f t="shared" si="11"/>
        <v>100</v>
      </c>
      <c r="V31" s="705" t="s">
        <v>14</v>
      </c>
      <c r="W31" s="706">
        <f t="shared" si="12"/>
        <v>100</v>
      </c>
      <c r="X31" s="1354"/>
      <c r="Y31" s="3723"/>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1">
        <f t="shared" si="8"/>
        <v>111</v>
      </c>
      <c r="R32" s="705" t="s">
        <v>14</v>
      </c>
      <c r="S32" s="706">
        <f t="shared" si="10"/>
        <v>100</v>
      </c>
      <c r="T32" s="705" t="s">
        <v>14</v>
      </c>
      <c r="U32" s="706">
        <f t="shared" si="11"/>
        <v>100</v>
      </c>
      <c r="V32" s="705" t="s">
        <v>14</v>
      </c>
      <c r="W32" s="706">
        <f t="shared" si="12"/>
        <v>100</v>
      </c>
      <c r="X32" s="1354"/>
      <c r="Y32" s="3727"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7"/>
      <c r="Q33" s="1351">
        <f t="shared" si="8"/>
        <v>111</v>
      </c>
      <c r="R33" s="708" t="s">
        <v>14</v>
      </c>
      <c r="S33" s="709">
        <f t="shared" si="10"/>
        <v>100</v>
      </c>
      <c r="T33" s="708" t="s">
        <v>14</v>
      </c>
      <c r="U33" s="709">
        <f t="shared" si="11"/>
        <v>100</v>
      </c>
      <c r="V33" s="708" t="s">
        <v>14</v>
      </c>
      <c r="W33" s="709">
        <f t="shared" si="12"/>
        <v>100</v>
      </c>
      <c r="X33" s="710"/>
      <c r="Y33" s="372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7"/>
      <c r="Q34" s="1351" t="str">
        <f>B34</f>
        <v>宗地面积</v>
      </c>
      <c r="R34" s="705" t="s">
        <v>14</v>
      </c>
      <c r="S34" s="706" t="e">
        <f t="shared" si="10"/>
        <v>#N/A</v>
      </c>
      <c r="T34" s="705" t="s">
        <v>14</v>
      </c>
      <c r="U34" s="706" t="e">
        <f t="shared" si="11"/>
        <v>#N/A</v>
      </c>
      <c r="V34" s="705" t="s">
        <v>14</v>
      </c>
      <c r="W34" s="706" t="e">
        <f t="shared" si="12"/>
        <v>#N/A</v>
      </c>
      <c r="X34" s="1354"/>
      <c r="Y34" s="372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7"/>
      <c r="Q35" s="1351" t="str">
        <f t="shared" ref="Q35:Q40" si="14">B35</f>
        <v>宗地形状</v>
      </c>
      <c r="R35" s="705" t="s">
        <v>14</v>
      </c>
      <c r="S35" s="706">
        <f t="shared" si="10"/>
        <v>100</v>
      </c>
      <c r="T35" s="705" t="s">
        <v>14</v>
      </c>
      <c r="U35" s="706">
        <f t="shared" si="11"/>
        <v>100</v>
      </c>
      <c r="V35" s="705" t="s">
        <v>14</v>
      </c>
      <c r="W35" s="706">
        <f t="shared" si="12"/>
        <v>100</v>
      </c>
      <c r="X35" s="1354"/>
      <c r="Y35" s="3727"/>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7"/>
      <c r="Q36" s="1351"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7" t="s">
        <v>1696</v>
      </c>
      <c r="Q37" s="1351" t="str">
        <f t="shared" si="14"/>
        <v>工程地质条件</v>
      </c>
      <c r="R37" s="705" t="s">
        <v>14</v>
      </c>
      <c r="S37" s="706">
        <f t="shared" si="10"/>
        <v>100</v>
      </c>
      <c r="T37" s="705" t="s">
        <v>14</v>
      </c>
      <c r="U37" s="706">
        <f t="shared" si="11"/>
        <v>100</v>
      </c>
      <c r="V37" s="705" t="s">
        <v>14</v>
      </c>
      <c r="W37" s="706">
        <f t="shared" si="12"/>
        <v>100</v>
      </c>
      <c r="X37" s="1354"/>
      <c r="Y37" s="372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7"/>
      <c r="Q38" s="1351">
        <f t="shared" si="14"/>
        <v>111</v>
      </c>
      <c r="R38" s="705" t="s">
        <v>14</v>
      </c>
      <c r="S38" s="706">
        <f t="shared" si="10"/>
        <v>100</v>
      </c>
      <c r="T38" s="705" t="s">
        <v>14</v>
      </c>
      <c r="U38" s="706">
        <f t="shared" si="11"/>
        <v>100</v>
      </c>
      <c r="V38" s="705" t="s">
        <v>14</v>
      </c>
      <c r="W38" s="706">
        <f t="shared" si="12"/>
        <v>100</v>
      </c>
      <c r="X38" s="1354"/>
      <c r="Y38" s="372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7"/>
      <c r="Q39" s="1351">
        <f t="shared" si="14"/>
        <v>111</v>
      </c>
      <c r="R39" s="705" t="s">
        <v>14</v>
      </c>
      <c r="S39" s="706">
        <f t="shared" si="10"/>
        <v>100</v>
      </c>
      <c r="T39" s="705" t="s">
        <v>14</v>
      </c>
      <c r="U39" s="706">
        <f t="shared" si="11"/>
        <v>100</v>
      </c>
      <c r="V39" s="705" t="s">
        <v>14</v>
      </c>
      <c r="W39" s="706">
        <f t="shared" si="12"/>
        <v>100</v>
      </c>
      <c r="X39" s="1354"/>
      <c r="Y39" s="3727"/>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7"/>
      <c r="Q40" s="1351">
        <f t="shared" si="14"/>
        <v>111</v>
      </c>
      <c r="R40" s="708" t="s">
        <v>14</v>
      </c>
      <c r="S40" s="709">
        <f t="shared" si="10"/>
        <v>100</v>
      </c>
      <c r="T40" s="708" t="s">
        <v>14</v>
      </c>
      <c r="U40" s="709">
        <f t="shared" si="11"/>
        <v>100</v>
      </c>
      <c r="V40" s="708" t="s">
        <v>14</v>
      </c>
      <c r="W40" s="709">
        <f t="shared" si="12"/>
        <v>100</v>
      </c>
      <c r="X40" s="710"/>
      <c r="Y40" s="3727"/>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2135</v>
      </c>
      <c r="E42" s="440" t="e">
        <f>R42</f>
        <v>#DIV/0!</v>
      </c>
      <c r="F42" s="2316"/>
      <c r="G42" s="439" t="e">
        <f>T42</f>
        <v>#DIV/0!</v>
      </c>
      <c r="H42" s="2316"/>
      <c r="I42" s="440" t="e">
        <f>V42</f>
        <v>#DIV/0!</v>
      </c>
      <c r="J42" s="2316"/>
      <c r="K42" s="2318">
        <f>F42+H42+J42</f>
        <v>0</v>
      </c>
      <c r="L42" s="2722"/>
      <c r="M42" s="2714"/>
      <c r="N42" s="2714"/>
      <c r="O42" s="2723"/>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3" t="s">
        <v>1887</v>
      </c>
      <c r="H50" s="3750"/>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69.12</v>
      </c>
      <c r="F51" s="639" t="e">
        <f t="shared" ref="F51:F60" si="15">ROUND(B51*E51/10000,0)</f>
        <v>#DIV/0!</v>
      </c>
      <c r="G51" s="3702"/>
      <c r="H51" s="372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4.7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O20" sqref="O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8.25">
      <c r="A2" s="984"/>
      <c r="B2" s="651" t="s">
        <v>2086</v>
      </c>
      <c r="C2" s="652" t="str">
        <f t="shared" ref="C2:L2" si="0">C3&amp;"(含)"&amp;"-"&amp;D3</f>
        <v>0(含)-50</v>
      </c>
      <c r="D2" s="653" t="str">
        <f t="shared" si="0"/>
        <v>50(含)-90</v>
      </c>
      <c r="E2" s="653" t="str">
        <f t="shared" si="0"/>
        <v>90(含)-120</v>
      </c>
      <c r="F2" s="653" t="str">
        <f t="shared" si="0"/>
        <v>120(含)-150</v>
      </c>
      <c r="G2" s="653" t="str">
        <f t="shared" si="0"/>
        <v>150(含)-200</v>
      </c>
      <c r="H2" s="653" t="str">
        <f t="shared" si="0"/>
        <v>200(含)-300</v>
      </c>
      <c r="I2" s="653" t="str">
        <f t="shared" si="0"/>
        <v>300(含)-400</v>
      </c>
      <c r="J2" s="653" t="str">
        <f t="shared" si="0"/>
        <v>400(含)-500</v>
      </c>
      <c r="K2" s="653" t="str">
        <f t="shared" si="0"/>
        <v>500(含)-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v>200</v>
      </c>
      <c r="I3" s="1304">
        <v>300</v>
      </c>
      <c r="J3" s="1304">
        <v>400</v>
      </c>
      <c r="K3" s="1304">
        <v>500</v>
      </c>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v>90</v>
      </c>
      <c r="I4" s="1308">
        <v>88</v>
      </c>
      <c r="J4" s="1308">
        <v>86</v>
      </c>
      <c r="K4" s="1308">
        <v>84</v>
      </c>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75">
      <c r="A5" s="994"/>
      <c r="B5" s="3465" t="s">
        <v>3408</v>
      </c>
      <c r="C5" s="995" t="str">
        <f>'比较法-住宅'!C88</f>
        <v>南北</v>
      </c>
      <c r="D5" s="995" t="str">
        <f>'比较法-住宅'!D88</f>
        <v>南（东南）</v>
      </c>
      <c r="E5" s="995" t="s">
        <v>3409</v>
      </c>
      <c r="F5" s="995" t="str">
        <f>'比较法-住宅'!F88</f>
        <v>西</v>
      </c>
      <c r="G5" s="1311"/>
      <c r="H5" s="1311"/>
      <c r="I5" s="1311"/>
      <c r="J5" s="1311"/>
      <c r="K5" s="1311"/>
      <c r="L5" s="1312"/>
      <c r="M5" s="1313"/>
      <c r="N5" s="1313"/>
      <c r="O5" s="1311"/>
      <c r="P5" s="1311"/>
      <c r="Q5" s="1311"/>
      <c r="R5" s="1311"/>
      <c r="S5" s="1314"/>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99</v>
      </c>
      <c r="E6" s="902">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0" t="s">
        <v>3411</v>
      </c>
      <c r="C7" s="3471" t="s">
        <v>3413</v>
      </c>
      <c r="D7" s="3472" t="s">
        <v>3414</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3468" t="s">
        <v>3424</v>
      </c>
      <c r="D17" s="3469" t="s">
        <v>3425</v>
      </c>
      <c r="E17" s="3469" t="s">
        <v>3426</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95</v>
      </c>
      <c r="E18" s="1022">
        <v>90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9"/>
      <c r="F19" s="1339"/>
      <c r="G19" s="1339"/>
      <c r="H19" s="1058"/>
      <c r="I19" s="159"/>
      <c r="J19" s="159"/>
      <c r="K19" s="159"/>
      <c r="L19" s="159"/>
      <c r="M19" s="159"/>
      <c r="N19" s="159"/>
      <c r="O19" s="159"/>
      <c r="P19" s="159"/>
      <c r="Q19" s="159"/>
      <c r="R19" s="718"/>
      <c r="S19" s="129"/>
    </row>
    <row r="20" spans="1:45" ht="16.5" thickBot="1">
      <c r="A20" s="662" t="s">
        <v>2094</v>
      </c>
      <c r="B20" s="294">
        <f>IF(D20="——",S22,S22-F20)</f>
        <v>407</v>
      </c>
      <c r="C20" s="159"/>
      <c r="D20" s="2149" t="s">
        <v>43</v>
      </c>
      <c r="E20" s="1340"/>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f>ROUND(B20*10000/B22,0)</f>
        <v>15521</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262.22000000000003</v>
      </c>
      <c r="C22" s="3755" t="s">
        <v>27</v>
      </c>
      <c r="D22" s="3756"/>
      <c r="E22" s="3756"/>
      <c r="F22" s="3756"/>
      <c r="G22" s="3756"/>
      <c r="H22" s="3756"/>
      <c r="I22" s="3756"/>
      <c r="J22" s="3756"/>
      <c r="K22" s="3756"/>
      <c r="L22" s="3756"/>
      <c r="M22" s="3756"/>
      <c r="N22" s="3756"/>
      <c r="O22" s="3756"/>
      <c r="P22" s="3756"/>
      <c r="Q22" s="3757"/>
      <c r="R22" s="663">
        <f>ROUND(S22*10000/B22,0)</f>
        <v>15521</v>
      </c>
      <c r="S22" s="21">
        <f>SUM(S24:S10000)</f>
        <v>407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3431</v>
      </c>
      <c r="B24" s="665">
        <v>69.12</v>
      </c>
      <c r="C24" s="2808">
        <v>1</v>
      </c>
      <c r="D24" s="2809" t="s">
        <v>3400</v>
      </c>
      <c r="E24" s="2808">
        <v>1</v>
      </c>
      <c r="F24" s="2809" t="s">
        <v>3412</v>
      </c>
      <c r="G24" s="2808">
        <v>1</v>
      </c>
      <c r="H24" s="2809"/>
      <c r="I24" s="2808">
        <v>1</v>
      </c>
      <c r="J24" s="2809"/>
      <c r="K24" s="2808">
        <v>1</v>
      </c>
      <c r="L24" s="2809"/>
      <c r="M24" s="2808">
        <v>1</v>
      </c>
      <c r="N24" s="2809"/>
      <c r="O24" s="2808">
        <v>1</v>
      </c>
      <c r="P24" s="3466" t="s">
        <v>3393</v>
      </c>
      <c r="Q24" s="2808">
        <v>1</v>
      </c>
      <c r="R24" s="668">
        <f>'比较法-住宅'!C49</f>
        <v>15344</v>
      </c>
      <c r="S24" s="666">
        <f t="shared" ref="S24:S54" si="11">ROUND(R24*B24/10000,0)</f>
        <v>106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54">
        <v>71.55</v>
      </c>
      <c r="C25" s="21">
        <f>IF(B25="",1,(LOOKUP(B25,$3:$3,$4:$4)-LOOKUP($B$24,$3:$3,$4:$4)+100)/100)</f>
        <v>1</v>
      </c>
      <c r="D25" s="667" t="s">
        <v>3410</v>
      </c>
      <c r="E25" s="21">
        <f>(SUMIF($5:$5,D25,$6:$6)-SUMIF($5:$5,$D$24,$6:$6)+100)/100</f>
        <v>1.01</v>
      </c>
      <c r="F25" s="667" t="s">
        <v>3412</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7" t="s">
        <v>3393</v>
      </c>
      <c r="Q25" s="21">
        <f>(SUMIF($17:$17,P25,$18:$18)-SUMIF($17:$17,$P$24,$18:$18)+100)/100</f>
        <v>1</v>
      </c>
      <c r="R25" s="663">
        <f>IF(B25="",0,ROUND($R$24*C25*E25*G25*I25*K25*M25*O25*Q25,0))</f>
        <v>15497</v>
      </c>
      <c r="S25" s="316">
        <f t="shared" si="11"/>
        <v>111</v>
      </c>
    </row>
    <row r="26" spans="1:45">
      <c r="A26" s="3464" t="s">
        <v>3433</v>
      </c>
      <c r="B26" s="54">
        <v>50</v>
      </c>
      <c r="C26" s="21">
        <f t="shared" ref="C26:C89" si="12">IF(B26="",1,(LOOKUP(B26,$3:$3,$4:$4)-LOOKUP($B$24,$3:$3,$4:$4)+100)/100)</f>
        <v>1</v>
      </c>
      <c r="D26" s="667" t="s">
        <v>3427</v>
      </c>
      <c r="E26" s="21">
        <f t="shared" ref="E26:E89" si="13">(SUMIF($5:$5,D26,$6:$6)-SUMIF($5:$5,$D$24,$6:$6)+100)/100</f>
        <v>1.02</v>
      </c>
      <c r="F26" s="667" t="s">
        <v>3412</v>
      </c>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7" t="s">
        <v>3424</v>
      </c>
      <c r="Q26" s="21">
        <f t="shared" ref="Q26:Q89" si="19">(SUMIF($17:$17,P26,$18:$18)-SUMIF($17:$17,$P$24,$18:$18)+100)/100</f>
        <v>1</v>
      </c>
      <c r="R26" s="663">
        <f t="shared" ref="R26:R89" si="20">IF(B26="",0,ROUND($R$24*C26*E26*G26*I26*K26*M26*O26*Q26,0))</f>
        <v>15651</v>
      </c>
      <c r="S26" s="316">
        <f t="shared" si="11"/>
        <v>78</v>
      </c>
    </row>
    <row r="27" spans="1:45">
      <c r="A27" s="150" t="s">
        <v>3434</v>
      </c>
      <c r="B27" s="54">
        <v>71.55</v>
      </c>
      <c r="C27" s="21">
        <f t="shared" si="12"/>
        <v>1</v>
      </c>
      <c r="D27" s="667" t="s">
        <v>3427</v>
      </c>
      <c r="E27" s="21">
        <f t="shared" si="13"/>
        <v>1.02</v>
      </c>
      <c r="F27" s="667" t="s">
        <v>3412</v>
      </c>
      <c r="G27" s="21">
        <f t="shared" si="14"/>
        <v>1</v>
      </c>
      <c r="H27" s="667"/>
      <c r="I27" s="21">
        <f t="shared" si="15"/>
        <v>1</v>
      </c>
      <c r="J27" s="667"/>
      <c r="K27" s="21">
        <f t="shared" si="16"/>
        <v>1</v>
      </c>
      <c r="L27" s="667"/>
      <c r="M27" s="21">
        <f t="shared" si="17"/>
        <v>1</v>
      </c>
      <c r="N27" s="667"/>
      <c r="O27" s="21">
        <f t="shared" si="18"/>
        <v>1</v>
      </c>
      <c r="P27" s="3467" t="s">
        <v>3435</v>
      </c>
      <c r="Q27" s="21">
        <f t="shared" si="19"/>
        <v>1</v>
      </c>
      <c r="R27" s="663">
        <f t="shared" si="20"/>
        <v>15651</v>
      </c>
      <c r="S27" s="316">
        <f t="shared" si="11"/>
        <v>112</v>
      </c>
    </row>
    <row r="28" spans="1:45">
      <c r="A28" s="150"/>
      <c r="B28" s="54"/>
      <c r="C28" s="21">
        <f t="shared" si="12"/>
        <v>1</v>
      </c>
      <c r="D28" s="667"/>
      <c r="E28" s="21">
        <f t="shared" si="13"/>
        <v>0.03</v>
      </c>
      <c r="F28" s="667"/>
      <c r="G28" s="21">
        <f t="shared" si="14"/>
        <v>0</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0.03</v>
      </c>
      <c r="F29" s="667"/>
      <c r="G29" s="21">
        <f t="shared" si="14"/>
        <v>0</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0.03</v>
      </c>
      <c r="F30" s="667"/>
      <c r="G30" s="21">
        <f t="shared" si="14"/>
        <v>0</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0.03</v>
      </c>
      <c r="F31" s="667"/>
      <c r="G31" s="21">
        <f t="shared" si="14"/>
        <v>0</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0.03</v>
      </c>
      <c r="F32" s="667"/>
      <c r="G32" s="21">
        <f t="shared" si="14"/>
        <v>0</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0.03</v>
      </c>
      <c r="F33" s="667"/>
      <c r="G33" s="21">
        <f t="shared" si="14"/>
        <v>0</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0.03</v>
      </c>
      <c r="F34" s="667"/>
      <c r="G34" s="21">
        <f t="shared" si="14"/>
        <v>0</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0.03</v>
      </c>
      <c r="F35" s="667"/>
      <c r="G35" s="21">
        <f t="shared" si="14"/>
        <v>0</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0.03</v>
      </c>
      <c r="F36" s="667"/>
      <c r="G36" s="21">
        <f t="shared" si="14"/>
        <v>0</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0.03</v>
      </c>
      <c r="F37" s="667"/>
      <c r="G37" s="21">
        <f t="shared" si="14"/>
        <v>0</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0.03</v>
      </c>
      <c r="F38" s="667"/>
      <c r="G38" s="21">
        <f t="shared" si="14"/>
        <v>0</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0.03</v>
      </c>
      <c r="F39" s="667"/>
      <c r="G39" s="21">
        <f t="shared" si="14"/>
        <v>0</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0.03</v>
      </c>
      <c r="F40" s="667"/>
      <c r="G40" s="21">
        <f t="shared" si="14"/>
        <v>0</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0.03</v>
      </c>
      <c r="F41" s="667"/>
      <c r="G41" s="21">
        <f t="shared" si="14"/>
        <v>0</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0.03</v>
      </c>
      <c r="F42" s="667"/>
      <c r="G42" s="21">
        <f t="shared" si="14"/>
        <v>0</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0.03</v>
      </c>
      <c r="F43" s="667"/>
      <c r="G43" s="21">
        <f t="shared" si="14"/>
        <v>0</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0.03</v>
      </c>
      <c r="F44" s="667"/>
      <c r="G44" s="21">
        <f t="shared" si="14"/>
        <v>0</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0.03</v>
      </c>
      <c r="F45" s="667"/>
      <c r="G45" s="21">
        <f t="shared" si="14"/>
        <v>0</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0.03</v>
      </c>
      <c r="F46" s="667"/>
      <c r="G46" s="21">
        <f t="shared" si="14"/>
        <v>0</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0.03</v>
      </c>
      <c r="F47" s="667"/>
      <c r="G47" s="21">
        <f t="shared" si="14"/>
        <v>0</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0.03</v>
      </c>
      <c r="F48" s="667"/>
      <c r="G48" s="21">
        <f t="shared" si="14"/>
        <v>0</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0.03</v>
      </c>
      <c r="F49" s="667"/>
      <c r="G49" s="21">
        <f t="shared" si="14"/>
        <v>0</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0.03</v>
      </c>
      <c r="F50" s="667"/>
      <c r="G50" s="21">
        <f t="shared" si="14"/>
        <v>0</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0.03</v>
      </c>
      <c r="F51" s="667"/>
      <c r="G51" s="21">
        <f t="shared" si="14"/>
        <v>0</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0.03</v>
      </c>
      <c r="F52" s="667"/>
      <c r="G52" s="21">
        <f t="shared" si="14"/>
        <v>0</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0.03</v>
      </c>
      <c r="F53" s="667"/>
      <c r="G53" s="21">
        <f t="shared" si="14"/>
        <v>0</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0.03</v>
      </c>
      <c r="F54" s="667"/>
      <c r="G54" s="21">
        <f t="shared" si="14"/>
        <v>0</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0.03</v>
      </c>
      <c r="F55" s="667"/>
      <c r="G55" s="21">
        <f t="shared" si="14"/>
        <v>0</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0.03</v>
      </c>
      <c r="F56" s="667"/>
      <c r="G56" s="21">
        <f t="shared" si="14"/>
        <v>0</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0.03</v>
      </c>
      <c r="F57" s="667"/>
      <c r="G57" s="21">
        <f t="shared" si="14"/>
        <v>0</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0.03</v>
      </c>
      <c r="F58" s="667"/>
      <c r="G58" s="21">
        <f t="shared" si="14"/>
        <v>0</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0.03</v>
      </c>
      <c r="F59" s="667"/>
      <c r="G59" s="21">
        <f t="shared" si="14"/>
        <v>0</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0.03</v>
      </c>
      <c r="F60" s="667"/>
      <c r="G60" s="21">
        <f t="shared" si="14"/>
        <v>0</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0.03</v>
      </c>
      <c r="F61" s="667"/>
      <c r="G61" s="21">
        <f t="shared" si="14"/>
        <v>0</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0.03</v>
      </c>
      <c r="F62" s="667"/>
      <c r="G62" s="21">
        <f t="shared" si="14"/>
        <v>0</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0.03</v>
      </c>
      <c r="F63" s="667"/>
      <c r="G63" s="21">
        <f t="shared" si="14"/>
        <v>0</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0.03</v>
      </c>
      <c r="F64" s="667"/>
      <c r="G64" s="21">
        <f t="shared" si="14"/>
        <v>0</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0.03</v>
      </c>
      <c r="F65" s="667"/>
      <c r="G65" s="21">
        <f t="shared" si="14"/>
        <v>0</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0.03</v>
      </c>
      <c r="F66" s="667"/>
      <c r="G66" s="21">
        <f t="shared" si="14"/>
        <v>0</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0.03</v>
      </c>
      <c r="F67" s="667"/>
      <c r="G67" s="21">
        <f t="shared" si="14"/>
        <v>0</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0.03</v>
      </c>
      <c r="F68" s="667"/>
      <c r="G68" s="21">
        <f t="shared" si="14"/>
        <v>0</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0.03</v>
      </c>
      <c r="F69" s="667"/>
      <c r="G69" s="21">
        <f t="shared" si="14"/>
        <v>0</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0.03</v>
      </c>
      <c r="F70" s="667"/>
      <c r="G70" s="21">
        <f t="shared" si="14"/>
        <v>0</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0.03</v>
      </c>
      <c r="F71" s="667"/>
      <c r="G71" s="21">
        <f t="shared" si="14"/>
        <v>0</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0.03</v>
      </c>
      <c r="F72" s="667"/>
      <c r="G72" s="21">
        <f t="shared" si="14"/>
        <v>0</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0.03</v>
      </c>
      <c r="F73" s="667"/>
      <c r="G73" s="21">
        <f t="shared" si="14"/>
        <v>0</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0.03</v>
      </c>
      <c r="F74" s="667"/>
      <c r="G74" s="21">
        <f t="shared" si="14"/>
        <v>0</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0.03</v>
      </c>
      <c r="F75" s="667"/>
      <c r="G75" s="21">
        <f t="shared" si="14"/>
        <v>0</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0.03</v>
      </c>
      <c r="F76" s="667"/>
      <c r="G76" s="21">
        <f t="shared" si="14"/>
        <v>0</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0.03</v>
      </c>
      <c r="F77" s="667"/>
      <c r="G77" s="21">
        <f t="shared" si="14"/>
        <v>0</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0.03</v>
      </c>
      <c r="F78" s="667"/>
      <c r="G78" s="21">
        <f t="shared" si="14"/>
        <v>0</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0.03</v>
      </c>
      <c r="F79" s="667"/>
      <c r="G79" s="21">
        <f t="shared" si="14"/>
        <v>0</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0.03</v>
      </c>
      <c r="F80" s="667"/>
      <c r="G80" s="21">
        <f t="shared" si="14"/>
        <v>0</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0.03</v>
      </c>
      <c r="F81" s="667"/>
      <c r="G81" s="21">
        <f t="shared" si="14"/>
        <v>0</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0.03</v>
      </c>
      <c r="F82" s="667"/>
      <c r="G82" s="21">
        <f t="shared" si="14"/>
        <v>0</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0.03</v>
      </c>
      <c r="F83" s="667"/>
      <c r="G83" s="21">
        <f t="shared" si="14"/>
        <v>0</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0.03</v>
      </c>
      <c r="F84" s="667"/>
      <c r="G84" s="21">
        <f t="shared" si="14"/>
        <v>0</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0.03</v>
      </c>
      <c r="F85" s="667"/>
      <c r="G85" s="21">
        <f t="shared" si="14"/>
        <v>0</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0.03</v>
      </c>
      <c r="F86" s="667"/>
      <c r="G86" s="21">
        <f t="shared" si="14"/>
        <v>0</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0.03</v>
      </c>
      <c r="F87" s="667"/>
      <c r="G87" s="21">
        <f t="shared" si="14"/>
        <v>0</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0.03</v>
      </c>
      <c r="F88" s="667"/>
      <c r="G88" s="21">
        <f t="shared" si="14"/>
        <v>0</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0.03</v>
      </c>
      <c r="F89" s="667"/>
      <c r="G89" s="21">
        <f t="shared" si="14"/>
        <v>0</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0.03</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0.03</v>
      </c>
      <c r="F91" s="667"/>
      <c r="G91" s="21">
        <f t="shared" si="25"/>
        <v>0</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0.03</v>
      </c>
      <c r="F92" s="667"/>
      <c r="G92" s="21">
        <f t="shared" si="25"/>
        <v>0</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0.03</v>
      </c>
      <c r="F93" s="667"/>
      <c r="G93" s="21">
        <f t="shared" si="25"/>
        <v>0</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0.03</v>
      </c>
      <c r="F94" s="667"/>
      <c r="G94" s="21">
        <f t="shared" si="25"/>
        <v>0</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0.03</v>
      </c>
      <c r="F95" s="667"/>
      <c r="G95" s="21">
        <f t="shared" si="25"/>
        <v>0</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0.03</v>
      </c>
      <c r="F96" s="667"/>
      <c r="G96" s="21">
        <f t="shared" si="25"/>
        <v>0</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0.03</v>
      </c>
      <c r="F97" s="667"/>
      <c r="G97" s="21">
        <f t="shared" si="25"/>
        <v>0</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0.03</v>
      </c>
      <c r="F98" s="667"/>
      <c r="G98" s="21">
        <f t="shared" si="25"/>
        <v>0</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0.03</v>
      </c>
      <c r="F99" s="667"/>
      <c r="G99" s="21">
        <f t="shared" si="25"/>
        <v>0</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0.03</v>
      </c>
      <c r="F100" s="667"/>
      <c r="G100" s="21">
        <f t="shared" si="25"/>
        <v>0</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0.03</v>
      </c>
      <c r="F101" s="667"/>
      <c r="G101" s="21">
        <f t="shared" si="25"/>
        <v>0</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0.03</v>
      </c>
      <c r="F102" s="667"/>
      <c r="G102" s="21">
        <f t="shared" si="25"/>
        <v>0</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0.03</v>
      </c>
      <c r="F103" s="667"/>
      <c r="G103" s="21">
        <f t="shared" si="25"/>
        <v>0</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0.03</v>
      </c>
      <c r="F104" s="667"/>
      <c r="G104" s="21">
        <f t="shared" si="25"/>
        <v>0</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0.03</v>
      </c>
      <c r="F105" s="667"/>
      <c r="G105" s="21">
        <f t="shared" si="25"/>
        <v>0</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0.03</v>
      </c>
      <c r="F106" s="667"/>
      <c r="G106" s="21">
        <f t="shared" si="25"/>
        <v>0</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0.03</v>
      </c>
      <c r="F107" s="667"/>
      <c r="G107" s="21">
        <f t="shared" si="25"/>
        <v>0</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0.03</v>
      </c>
      <c r="F108" s="667"/>
      <c r="G108" s="21">
        <f t="shared" si="25"/>
        <v>0</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0.03</v>
      </c>
      <c r="F109" s="667"/>
      <c r="G109" s="21">
        <f t="shared" si="25"/>
        <v>0</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0.03</v>
      </c>
      <c r="F110" s="667"/>
      <c r="G110" s="21">
        <f t="shared" si="25"/>
        <v>0</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0.03</v>
      </c>
      <c r="F111" s="667"/>
      <c r="G111" s="21">
        <f t="shared" si="25"/>
        <v>0</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0.03</v>
      </c>
      <c r="F112" s="667"/>
      <c r="G112" s="21">
        <f t="shared" si="25"/>
        <v>0</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0.03</v>
      </c>
      <c r="F113" s="667"/>
      <c r="G113" s="21">
        <f t="shared" si="25"/>
        <v>0</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0.03</v>
      </c>
      <c r="F114" s="667"/>
      <c r="G114" s="21">
        <f t="shared" si="25"/>
        <v>0</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0.03</v>
      </c>
      <c r="F115" s="667"/>
      <c r="G115" s="21">
        <f t="shared" si="25"/>
        <v>0</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0.03</v>
      </c>
      <c r="F116" s="667"/>
      <c r="G116" s="21">
        <f t="shared" si="25"/>
        <v>0</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0.03</v>
      </c>
      <c r="F117" s="667"/>
      <c r="G117" s="21">
        <f t="shared" si="25"/>
        <v>0</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0.03</v>
      </c>
      <c r="F118" s="667"/>
      <c r="G118" s="21">
        <f t="shared" si="25"/>
        <v>0</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0.03</v>
      </c>
      <c r="F119" s="667"/>
      <c r="G119" s="21">
        <f t="shared" si="25"/>
        <v>0</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0.03</v>
      </c>
      <c r="F120" s="667"/>
      <c r="G120" s="21">
        <f t="shared" si="25"/>
        <v>0</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0.03</v>
      </c>
      <c r="F121" s="667"/>
      <c r="G121" s="21">
        <f t="shared" si="25"/>
        <v>0</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0.03</v>
      </c>
      <c r="F122" s="667"/>
      <c r="G122" s="21">
        <f t="shared" si="25"/>
        <v>0</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0.03</v>
      </c>
      <c r="F123" s="667"/>
      <c r="G123" s="21">
        <f t="shared" si="25"/>
        <v>0</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0.03</v>
      </c>
      <c r="F124" s="667"/>
      <c r="G124" s="21">
        <f t="shared" si="25"/>
        <v>0</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0.03</v>
      </c>
      <c r="F125" s="667"/>
      <c r="G125" s="21">
        <f t="shared" si="25"/>
        <v>0</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0.03</v>
      </c>
      <c r="F126" s="667"/>
      <c r="G126" s="21">
        <f t="shared" si="25"/>
        <v>0</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0.03</v>
      </c>
      <c r="F127" s="667"/>
      <c r="G127" s="21">
        <f t="shared" si="25"/>
        <v>0</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0.03</v>
      </c>
      <c r="F128" s="667"/>
      <c r="G128" s="21">
        <f t="shared" si="25"/>
        <v>0</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0.03</v>
      </c>
      <c r="F129" s="667"/>
      <c r="G129" s="21">
        <f t="shared" si="25"/>
        <v>0</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0.03</v>
      </c>
      <c r="F130" s="667"/>
      <c r="G130" s="21">
        <f t="shared" si="25"/>
        <v>0</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0.03</v>
      </c>
      <c r="F131" s="667"/>
      <c r="G131" s="21">
        <f t="shared" si="25"/>
        <v>0</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0.03</v>
      </c>
      <c r="F132" s="667"/>
      <c r="G132" s="21">
        <f t="shared" si="25"/>
        <v>0</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0.03</v>
      </c>
      <c r="F133" s="667"/>
      <c r="G133" s="21">
        <f t="shared" si="25"/>
        <v>0</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0.03</v>
      </c>
      <c r="F134" s="667"/>
      <c r="G134" s="21">
        <f t="shared" si="25"/>
        <v>0</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0.03</v>
      </c>
      <c r="F135" s="667"/>
      <c r="G135" s="21">
        <f t="shared" si="25"/>
        <v>0</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0.03</v>
      </c>
      <c r="F136" s="667"/>
      <c r="G136" s="21">
        <f t="shared" si="25"/>
        <v>0</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0.03</v>
      </c>
      <c r="F137" s="667"/>
      <c r="G137" s="21">
        <f t="shared" si="25"/>
        <v>0</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0.03</v>
      </c>
      <c r="F138" s="667"/>
      <c r="G138" s="21">
        <f t="shared" si="25"/>
        <v>0</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0.03</v>
      </c>
      <c r="F139" s="667"/>
      <c r="G139" s="21">
        <f t="shared" si="25"/>
        <v>0</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0.03</v>
      </c>
      <c r="F140" s="667"/>
      <c r="G140" s="21">
        <f t="shared" si="25"/>
        <v>0</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0.03</v>
      </c>
      <c r="F141" s="667"/>
      <c r="G141" s="21">
        <f t="shared" si="25"/>
        <v>0</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0.03</v>
      </c>
      <c r="F142" s="667"/>
      <c r="G142" s="21">
        <f t="shared" si="25"/>
        <v>0</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0.03</v>
      </c>
      <c r="F143" s="667"/>
      <c r="G143" s="21">
        <f t="shared" si="25"/>
        <v>0</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0.03</v>
      </c>
      <c r="F144" s="667"/>
      <c r="G144" s="21">
        <f t="shared" si="25"/>
        <v>0</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0.03</v>
      </c>
      <c r="F145" s="667"/>
      <c r="G145" s="21">
        <f t="shared" si="25"/>
        <v>0</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0.03</v>
      </c>
      <c r="F146" s="667"/>
      <c r="G146" s="21">
        <f t="shared" si="25"/>
        <v>0</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0.03</v>
      </c>
      <c r="F147" s="667"/>
      <c r="G147" s="21">
        <f t="shared" si="25"/>
        <v>0</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0.03</v>
      </c>
      <c r="F148" s="667"/>
      <c r="G148" s="21">
        <f t="shared" si="25"/>
        <v>0</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0.03</v>
      </c>
      <c r="F149" s="667"/>
      <c r="G149" s="21">
        <f t="shared" si="25"/>
        <v>0</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0.03</v>
      </c>
      <c r="F150" s="667"/>
      <c r="G150" s="21">
        <f t="shared" si="25"/>
        <v>0</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0.03</v>
      </c>
      <c r="F151" s="667"/>
      <c r="G151" s="21">
        <f t="shared" si="25"/>
        <v>0</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0.03</v>
      </c>
      <c r="F152" s="667"/>
      <c r="G152" s="21">
        <f t="shared" si="25"/>
        <v>0</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0.03</v>
      </c>
      <c r="F153" s="667"/>
      <c r="G153" s="21">
        <f t="shared" si="25"/>
        <v>0</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0.03</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0.03</v>
      </c>
      <c r="F155" s="667"/>
      <c r="G155" s="21">
        <f t="shared" si="35"/>
        <v>0</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0.03</v>
      </c>
      <c r="F156" s="667"/>
      <c r="G156" s="21">
        <f t="shared" si="35"/>
        <v>0</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0.03</v>
      </c>
      <c r="F157" s="667"/>
      <c r="G157" s="21">
        <f t="shared" si="35"/>
        <v>0</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0.03</v>
      </c>
      <c r="F158" s="667"/>
      <c r="G158" s="21">
        <f t="shared" si="35"/>
        <v>0</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0.03</v>
      </c>
      <c r="F159" s="667"/>
      <c r="G159" s="21">
        <f t="shared" si="35"/>
        <v>0</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0.03</v>
      </c>
      <c r="F160" s="667"/>
      <c r="G160" s="21">
        <f t="shared" si="35"/>
        <v>0</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0.03</v>
      </c>
      <c r="F161" s="667"/>
      <c r="G161" s="21">
        <f t="shared" si="35"/>
        <v>0</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0.03</v>
      </c>
      <c r="F162" s="667"/>
      <c r="G162" s="21">
        <f t="shared" si="35"/>
        <v>0</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0.03</v>
      </c>
      <c r="F163" s="667"/>
      <c r="G163" s="21">
        <f t="shared" si="35"/>
        <v>0</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0.03</v>
      </c>
      <c r="F164" s="667"/>
      <c r="G164" s="21">
        <f t="shared" si="35"/>
        <v>0</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0.03</v>
      </c>
      <c r="F165" s="667"/>
      <c r="G165" s="21">
        <f t="shared" si="35"/>
        <v>0</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0.03</v>
      </c>
      <c r="F166" s="667"/>
      <c r="G166" s="21">
        <f t="shared" si="35"/>
        <v>0</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0.03</v>
      </c>
      <c r="F167" s="667"/>
      <c r="G167" s="21">
        <f t="shared" si="35"/>
        <v>0</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0.03</v>
      </c>
      <c r="F168" s="667"/>
      <c r="G168" s="21">
        <f t="shared" si="35"/>
        <v>0</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0.03</v>
      </c>
      <c r="F169" s="667"/>
      <c r="G169" s="21">
        <f t="shared" si="35"/>
        <v>0</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0.03</v>
      </c>
      <c r="F170" s="667"/>
      <c r="G170" s="21">
        <f t="shared" si="35"/>
        <v>0</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0.03</v>
      </c>
      <c r="F171" s="667"/>
      <c r="G171" s="21">
        <f t="shared" si="35"/>
        <v>0</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0.03</v>
      </c>
      <c r="F172" s="667"/>
      <c r="G172" s="21">
        <f t="shared" si="35"/>
        <v>0</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0.03</v>
      </c>
      <c r="F173" s="667"/>
      <c r="G173" s="21">
        <f t="shared" si="35"/>
        <v>0</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0.03</v>
      </c>
      <c r="F174" s="667"/>
      <c r="G174" s="21">
        <f t="shared" si="35"/>
        <v>0</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0.03</v>
      </c>
      <c r="F175" s="667"/>
      <c r="G175" s="21">
        <f t="shared" si="35"/>
        <v>0</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0.03</v>
      </c>
      <c r="F176" s="667"/>
      <c r="G176" s="21">
        <f t="shared" si="35"/>
        <v>0</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0.03</v>
      </c>
      <c r="F177" s="667"/>
      <c r="G177" s="21">
        <f t="shared" si="35"/>
        <v>0</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0.03</v>
      </c>
      <c r="F178" s="667"/>
      <c r="G178" s="21">
        <f t="shared" si="35"/>
        <v>0</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0.03</v>
      </c>
      <c r="F179" s="667"/>
      <c r="G179" s="21">
        <f t="shared" si="35"/>
        <v>0</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0.03</v>
      </c>
      <c r="F180" s="667"/>
      <c r="G180" s="21">
        <f t="shared" si="35"/>
        <v>0</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0.03</v>
      </c>
      <c r="F181" s="667"/>
      <c r="G181" s="21">
        <f t="shared" si="35"/>
        <v>0</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0.03</v>
      </c>
      <c r="F182" s="667"/>
      <c r="G182" s="21">
        <f t="shared" si="35"/>
        <v>0</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0.03</v>
      </c>
      <c r="F183" s="667"/>
      <c r="G183" s="21">
        <f t="shared" si="35"/>
        <v>0</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0.03</v>
      </c>
      <c r="F184" s="667"/>
      <c r="G184" s="21">
        <f t="shared" si="35"/>
        <v>0</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0.03</v>
      </c>
      <c r="F185" s="667"/>
      <c r="G185" s="21">
        <f t="shared" si="35"/>
        <v>0</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0.03</v>
      </c>
      <c r="F186" s="667"/>
      <c r="G186" s="21">
        <f t="shared" si="35"/>
        <v>0</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0.03</v>
      </c>
      <c r="F187" s="667"/>
      <c r="G187" s="21">
        <f t="shared" si="35"/>
        <v>0</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0.03</v>
      </c>
      <c r="F188" s="667"/>
      <c r="G188" s="21">
        <f t="shared" si="35"/>
        <v>0</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0.03</v>
      </c>
      <c r="F189" s="667"/>
      <c r="G189" s="21">
        <f t="shared" si="35"/>
        <v>0</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0.03</v>
      </c>
      <c r="F190" s="667"/>
      <c r="G190" s="21">
        <f t="shared" si="35"/>
        <v>0</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0.03</v>
      </c>
      <c r="F191" s="667"/>
      <c r="G191" s="21">
        <f t="shared" si="35"/>
        <v>0</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0.03</v>
      </c>
      <c r="F192" s="667"/>
      <c r="G192" s="21">
        <f t="shared" si="35"/>
        <v>0</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0.03</v>
      </c>
      <c r="F193" s="667"/>
      <c r="G193" s="21">
        <f t="shared" si="35"/>
        <v>0</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0.03</v>
      </c>
      <c r="F194" s="667"/>
      <c r="G194" s="21">
        <f t="shared" si="35"/>
        <v>0</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0.03</v>
      </c>
      <c r="F195" s="667"/>
      <c r="G195" s="21">
        <f t="shared" si="35"/>
        <v>0</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0.03</v>
      </c>
      <c r="F196" s="667"/>
      <c r="G196" s="21">
        <f t="shared" si="35"/>
        <v>0</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0.03</v>
      </c>
      <c r="F197" s="667"/>
      <c r="G197" s="21">
        <f t="shared" si="35"/>
        <v>0</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0.03</v>
      </c>
      <c r="F198" s="667"/>
      <c r="G198" s="21">
        <f t="shared" si="35"/>
        <v>0</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0.03</v>
      </c>
      <c r="F199" s="667"/>
      <c r="G199" s="21">
        <f t="shared" si="35"/>
        <v>0</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0.03</v>
      </c>
      <c r="F200" s="667"/>
      <c r="G200" s="21">
        <f t="shared" si="35"/>
        <v>0</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0.03</v>
      </c>
      <c r="F201" s="667"/>
      <c r="G201" s="21">
        <f t="shared" si="35"/>
        <v>0</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0.03</v>
      </c>
      <c r="F202" s="667"/>
      <c r="G202" s="21">
        <f t="shared" si="35"/>
        <v>0</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0.03</v>
      </c>
      <c r="F203" s="667"/>
      <c r="G203" s="21">
        <f t="shared" si="35"/>
        <v>0</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0.03</v>
      </c>
      <c r="F204" s="667"/>
      <c r="G204" s="21">
        <f t="shared" si="35"/>
        <v>0</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0.03</v>
      </c>
      <c r="F205" s="667"/>
      <c r="G205" s="21">
        <f t="shared" si="35"/>
        <v>0</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0.03</v>
      </c>
      <c r="F206" s="667"/>
      <c r="G206" s="21">
        <f t="shared" si="35"/>
        <v>0</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0.03</v>
      </c>
      <c r="F207" s="667"/>
      <c r="G207" s="21">
        <f t="shared" si="35"/>
        <v>0</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0.03</v>
      </c>
      <c r="F208" s="667"/>
      <c r="G208" s="21">
        <f t="shared" si="35"/>
        <v>0</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0.03</v>
      </c>
      <c r="F209" s="667"/>
      <c r="G209" s="21">
        <f t="shared" si="35"/>
        <v>0</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0.03</v>
      </c>
      <c r="F210" s="667"/>
      <c r="G210" s="21">
        <f t="shared" si="35"/>
        <v>0</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0.03</v>
      </c>
      <c r="F211" s="667"/>
      <c r="G211" s="21">
        <f t="shared" si="35"/>
        <v>0</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0.03</v>
      </c>
      <c r="F212" s="667"/>
      <c r="G212" s="21">
        <f t="shared" si="35"/>
        <v>0</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0.03</v>
      </c>
      <c r="F213" s="667"/>
      <c r="G213" s="21">
        <f t="shared" si="35"/>
        <v>0</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0.03</v>
      </c>
      <c r="F214" s="667"/>
      <c r="G214" s="21">
        <f t="shared" si="35"/>
        <v>0</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0.03</v>
      </c>
      <c r="F215" s="667"/>
      <c r="G215" s="21">
        <f t="shared" si="35"/>
        <v>0</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0.03</v>
      </c>
      <c r="F216" s="667"/>
      <c r="G216" s="21">
        <f t="shared" si="35"/>
        <v>0</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0.03</v>
      </c>
      <c r="F217" s="667"/>
      <c r="G217" s="21">
        <f t="shared" si="35"/>
        <v>0</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0.03</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0.03</v>
      </c>
      <c r="F219" s="667"/>
      <c r="G219" s="21">
        <f t="shared" si="45"/>
        <v>0</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0.03</v>
      </c>
      <c r="F220" s="667"/>
      <c r="G220" s="21">
        <f t="shared" si="45"/>
        <v>0</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0.03</v>
      </c>
      <c r="F221" s="667"/>
      <c r="G221" s="21">
        <f t="shared" si="45"/>
        <v>0</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0.03</v>
      </c>
      <c r="F222" s="667"/>
      <c r="G222" s="21">
        <f t="shared" si="45"/>
        <v>0</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0.03</v>
      </c>
      <c r="F223" s="667"/>
      <c r="G223" s="21">
        <f t="shared" si="45"/>
        <v>0</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0.03</v>
      </c>
      <c r="F224" s="667"/>
      <c r="G224" s="21">
        <f t="shared" si="45"/>
        <v>0</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0.03</v>
      </c>
      <c r="F225" s="667"/>
      <c r="G225" s="21">
        <f t="shared" si="45"/>
        <v>0</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0.03</v>
      </c>
      <c r="F226" s="667"/>
      <c r="G226" s="21">
        <f t="shared" si="45"/>
        <v>0</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0.03</v>
      </c>
      <c r="F227" s="667"/>
      <c r="G227" s="21">
        <f t="shared" si="45"/>
        <v>0</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0.03</v>
      </c>
      <c r="F228" s="667"/>
      <c r="G228" s="21">
        <f t="shared" si="45"/>
        <v>0</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0.03</v>
      </c>
      <c r="F229" s="667"/>
      <c r="G229" s="21">
        <f t="shared" si="45"/>
        <v>0</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0.03</v>
      </c>
      <c r="F230" s="667"/>
      <c r="G230" s="21">
        <f t="shared" si="45"/>
        <v>0</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0.03</v>
      </c>
      <c r="F231" s="667"/>
      <c r="G231" s="21">
        <f t="shared" si="45"/>
        <v>0</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0.03</v>
      </c>
      <c r="F232" s="667"/>
      <c r="G232" s="21">
        <f t="shared" si="45"/>
        <v>0</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0.03</v>
      </c>
      <c r="F233" s="667"/>
      <c r="G233" s="21">
        <f t="shared" si="45"/>
        <v>0</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0.03</v>
      </c>
      <c r="F234" s="667"/>
      <c r="G234" s="21">
        <f t="shared" si="45"/>
        <v>0</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0.03</v>
      </c>
      <c r="F235" s="667"/>
      <c r="G235" s="21">
        <f t="shared" si="45"/>
        <v>0</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0.03</v>
      </c>
      <c r="F236" s="667"/>
      <c r="G236" s="21">
        <f t="shared" si="45"/>
        <v>0</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0.03</v>
      </c>
      <c r="F237" s="667"/>
      <c r="G237" s="21">
        <f t="shared" si="45"/>
        <v>0</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0.03</v>
      </c>
      <c r="F238" s="667"/>
      <c r="G238" s="21">
        <f t="shared" si="45"/>
        <v>0</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0.03</v>
      </c>
      <c r="F239" s="667"/>
      <c r="G239" s="21">
        <f t="shared" si="45"/>
        <v>0</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0.03</v>
      </c>
      <c r="F240" s="667"/>
      <c r="G240" s="21">
        <f t="shared" si="45"/>
        <v>0</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0.03</v>
      </c>
      <c r="F241" s="667"/>
      <c r="G241" s="21">
        <f t="shared" si="45"/>
        <v>0</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0.03</v>
      </c>
      <c r="F242" s="667"/>
      <c r="G242" s="21">
        <f t="shared" si="45"/>
        <v>0</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0.03</v>
      </c>
      <c r="F243" s="667"/>
      <c r="G243" s="21">
        <f t="shared" si="45"/>
        <v>0</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0.03</v>
      </c>
      <c r="F244" s="667"/>
      <c r="G244" s="21">
        <f t="shared" si="45"/>
        <v>0</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0.03</v>
      </c>
      <c r="F245" s="667"/>
      <c r="G245" s="21">
        <f t="shared" si="45"/>
        <v>0</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0.03</v>
      </c>
      <c r="F246" s="667"/>
      <c r="G246" s="21">
        <f t="shared" si="45"/>
        <v>0</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0.03</v>
      </c>
      <c r="F247" s="667"/>
      <c r="G247" s="21">
        <f t="shared" si="45"/>
        <v>0</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0.03</v>
      </c>
      <c r="F248" s="667"/>
      <c r="G248" s="21">
        <f t="shared" si="45"/>
        <v>0</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0.03</v>
      </c>
      <c r="F249" s="667"/>
      <c r="G249" s="21">
        <f t="shared" si="45"/>
        <v>0</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0.03</v>
      </c>
      <c r="F250" s="667"/>
      <c r="G250" s="21">
        <f t="shared" si="45"/>
        <v>0</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0.03</v>
      </c>
      <c r="F251" s="667"/>
      <c r="G251" s="21">
        <f t="shared" si="45"/>
        <v>0</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0.03</v>
      </c>
      <c r="F252" s="667"/>
      <c r="G252" s="21">
        <f t="shared" si="45"/>
        <v>0</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0.03</v>
      </c>
      <c r="F253" s="667"/>
      <c r="G253" s="21">
        <f t="shared" si="45"/>
        <v>0</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0.03</v>
      </c>
      <c r="F254" s="667"/>
      <c r="G254" s="21">
        <f t="shared" si="45"/>
        <v>0</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0.03</v>
      </c>
      <c r="F255" s="667"/>
      <c r="G255" s="21">
        <f t="shared" si="45"/>
        <v>0</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0.03</v>
      </c>
      <c r="F256" s="667"/>
      <c r="G256" s="21">
        <f t="shared" si="45"/>
        <v>0</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0.03</v>
      </c>
      <c r="F257" s="667"/>
      <c r="G257" s="21">
        <f t="shared" si="45"/>
        <v>0</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0.03</v>
      </c>
      <c r="F258" s="667"/>
      <c r="G258" s="21">
        <f t="shared" si="45"/>
        <v>0</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0.03</v>
      </c>
      <c r="F259" s="667"/>
      <c r="G259" s="21">
        <f t="shared" si="45"/>
        <v>0</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0.03</v>
      </c>
      <c r="F260" s="667"/>
      <c r="G260" s="21">
        <f t="shared" si="45"/>
        <v>0</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0.03</v>
      </c>
      <c r="F261" s="667"/>
      <c r="G261" s="21">
        <f t="shared" si="45"/>
        <v>0</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0.03</v>
      </c>
      <c r="F262" s="667"/>
      <c r="G262" s="21">
        <f t="shared" si="45"/>
        <v>0</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0.03</v>
      </c>
      <c r="F263" s="667"/>
      <c r="G263" s="21">
        <f t="shared" si="45"/>
        <v>0</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0.03</v>
      </c>
      <c r="F264" s="667"/>
      <c r="G264" s="21">
        <f t="shared" si="45"/>
        <v>0</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0.03</v>
      </c>
      <c r="F265" s="667"/>
      <c r="G265" s="21">
        <f t="shared" si="45"/>
        <v>0</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0.03</v>
      </c>
      <c r="F266" s="667"/>
      <c r="G266" s="21">
        <f t="shared" si="45"/>
        <v>0</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0.03</v>
      </c>
      <c r="F267" s="667"/>
      <c r="G267" s="21">
        <f t="shared" si="45"/>
        <v>0</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0.03</v>
      </c>
      <c r="F268" s="667"/>
      <c r="G268" s="21">
        <f t="shared" si="45"/>
        <v>0</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0.03</v>
      </c>
      <c r="F269" s="667"/>
      <c r="G269" s="21">
        <f t="shared" si="45"/>
        <v>0</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0.03</v>
      </c>
      <c r="F270" s="667"/>
      <c r="G270" s="21">
        <f t="shared" si="45"/>
        <v>0</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0.03</v>
      </c>
      <c r="F271" s="667"/>
      <c r="G271" s="21">
        <f t="shared" si="45"/>
        <v>0</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0.03</v>
      </c>
      <c r="F272" s="667"/>
      <c r="G272" s="21">
        <f t="shared" si="45"/>
        <v>0</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0.03</v>
      </c>
      <c r="F273" s="667"/>
      <c r="G273" s="21">
        <f t="shared" si="45"/>
        <v>0</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0.03</v>
      </c>
      <c r="F274" s="667"/>
      <c r="G274" s="21">
        <f t="shared" si="45"/>
        <v>0</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0.03</v>
      </c>
      <c r="F275" s="667"/>
      <c r="G275" s="21">
        <f t="shared" si="45"/>
        <v>0</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0.03</v>
      </c>
      <c r="F276" s="667"/>
      <c r="G276" s="21">
        <f t="shared" si="45"/>
        <v>0</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0.03</v>
      </c>
      <c r="F277" s="667"/>
      <c r="G277" s="21">
        <f t="shared" si="45"/>
        <v>0</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0.03</v>
      </c>
      <c r="F278" s="667"/>
      <c r="G278" s="21">
        <f t="shared" si="45"/>
        <v>0</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0.03</v>
      </c>
      <c r="F279" s="667"/>
      <c r="G279" s="21">
        <f t="shared" si="45"/>
        <v>0</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0.03</v>
      </c>
      <c r="F280" s="667"/>
      <c r="G280" s="21">
        <f t="shared" si="45"/>
        <v>0</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0.03</v>
      </c>
      <c r="F281" s="667"/>
      <c r="G281" s="21">
        <f t="shared" si="45"/>
        <v>0</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0.03</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0.03</v>
      </c>
      <c r="F283" s="667"/>
      <c r="G283" s="21">
        <f t="shared" si="55"/>
        <v>0</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0.03</v>
      </c>
      <c r="F284" s="667"/>
      <c r="G284" s="21">
        <f t="shared" si="55"/>
        <v>0</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0.03</v>
      </c>
      <c r="F285" s="667"/>
      <c r="G285" s="21">
        <f t="shared" si="55"/>
        <v>0</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0.03</v>
      </c>
      <c r="F286" s="667"/>
      <c r="G286" s="21">
        <f t="shared" si="55"/>
        <v>0</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0.03</v>
      </c>
      <c r="F287" s="667"/>
      <c r="G287" s="21">
        <f t="shared" si="55"/>
        <v>0</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0.03</v>
      </c>
      <c r="F288" s="667"/>
      <c r="G288" s="21">
        <f t="shared" si="55"/>
        <v>0</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0.03</v>
      </c>
      <c r="F289" s="667"/>
      <c r="G289" s="21">
        <f t="shared" si="55"/>
        <v>0</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0.03</v>
      </c>
      <c r="F290" s="667"/>
      <c r="G290" s="21">
        <f t="shared" si="55"/>
        <v>0</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0.03</v>
      </c>
      <c r="F291" s="667"/>
      <c r="G291" s="21">
        <f t="shared" si="55"/>
        <v>0</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0.03</v>
      </c>
      <c r="F292" s="667"/>
      <c r="G292" s="21">
        <f t="shared" si="55"/>
        <v>0</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0.03</v>
      </c>
      <c r="F293" s="667"/>
      <c r="G293" s="21">
        <f t="shared" si="55"/>
        <v>0</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0.03</v>
      </c>
      <c r="F294" s="667"/>
      <c r="G294" s="21">
        <f t="shared" si="55"/>
        <v>0</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0.03</v>
      </c>
      <c r="F295" s="667"/>
      <c r="G295" s="21">
        <f t="shared" si="55"/>
        <v>0</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0.03</v>
      </c>
      <c r="F296" s="667"/>
      <c r="G296" s="21">
        <f t="shared" si="55"/>
        <v>0</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0.03</v>
      </c>
      <c r="F297" s="667"/>
      <c r="G297" s="21">
        <f t="shared" si="55"/>
        <v>0</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0.03</v>
      </c>
      <c r="F298" s="667"/>
      <c r="G298" s="21">
        <f t="shared" si="55"/>
        <v>0</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0.03</v>
      </c>
      <c r="F299" s="667"/>
      <c r="G299" s="21">
        <f t="shared" si="55"/>
        <v>0</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0.03</v>
      </c>
      <c r="F300" s="667"/>
      <c r="G300" s="21">
        <f t="shared" si="55"/>
        <v>0</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0.03</v>
      </c>
      <c r="F301" s="667"/>
      <c r="G301" s="21">
        <f t="shared" si="55"/>
        <v>0</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0.03</v>
      </c>
      <c r="F302" s="667"/>
      <c r="G302" s="21">
        <f t="shared" si="55"/>
        <v>0</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0.03</v>
      </c>
      <c r="F303" s="667"/>
      <c r="G303" s="21">
        <f t="shared" si="55"/>
        <v>0</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0.03</v>
      </c>
      <c r="F304" s="667"/>
      <c r="G304" s="21">
        <f t="shared" si="55"/>
        <v>0</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0.03</v>
      </c>
      <c r="F305" s="667"/>
      <c r="G305" s="21">
        <f t="shared" si="55"/>
        <v>0</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0.03</v>
      </c>
      <c r="F306" s="667"/>
      <c r="G306" s="21">
        <f t="shared" si="55"/>
        <v>0</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0.03</v>
      </c>
      <c r="F307" s="667"/>
      <c r="G307" s="21">
        <f t="shared" si="55"/>
        <v>0</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0.03</v>
      </c>
      <c r="F308" s="667"/>
      <c r="G308" s="21">
        <f t="shared" si="55"/>
        <v>0</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0.03</v>
      </c>
      <c r="F309" s="667"/>
      <c r="G309" s="21">
        <f t="shared" si="55"/>
        <v>0</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0.03</v>
      </c>
      <c r="F310" s="667"/>
      <c r="G310" s="21">
        <f t="shared" si="55"/>
        <v>0</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0.03</v>
      </c>
      <c r="F311" s="667"/>
      <c r="G311" s="21">
        <f t="shared" si="55"/>
        <v>0</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0.03</v>
      </c>
      <c r="F312" s="667"/>
      <c r="G312" s="21">
        <f t="shared" si="55"/>
        <v>0</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0.03</v>
      </c>
      <c r="F313" s="667"/>
      <c r="G313" s="21">
        <f t="shared" si="55"/>
        <v>0</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0.03</v>
      </c>
      <c r="F314" s="667"/>
      <c r="G314" s="21">
        <f t="shared" si="55"/>
        <v>0</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0.03</v>
      </c>
      <c r="F315" s="667"/>
      <c r="G315" s="21">
        <f t="shared" si="55"/>
        <v>0</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0.03</v>
      </c>
      <c r="F316" s="667"/>
      <c r="G316" s="21">
        <f t="shared" si="55"/>
        <v>0</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0.03</v>
      </c>
      <c r="F317" s="667"/>
      <c r="G317" s="21">
        <f t="shared" si="55"/>
        <v>0</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0.03</v>
      </c>
      <c r="F318" s="667"/>
      <c r="G318" s="21">
        <f t="shared" si="55"/>
        <v>0</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0.03</v>
      </c>
      <c r="F319" s="667"/>
      <c r="G319" s="21">
        <f t="shared" si="55"/>
        <v>0</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0.03</v>
      </c>
      <c r="F320" s="667"/>
      <c r="G320" s="21">
        <f t="shared" si="55"/>
        <v>0</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0.03</v>
      </c>
      <c r="F321" s="667"/>
      <c r="G321" s="21">
        <f t="shared" si="55"/>
        <v>0</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0.03</v>
      </c>
      <c r="F322" s="667"/>
      <c r="G322" s="21">
        <f t="shared" si="55"/>
        <v>0</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0.03</v>
      </c>
      <c r="F323" s="667"/>
      <c r="G323" s="21">
        <f t="shared" si="55"/>
        <v>0</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0.03</v>
      </c>
      <c r="F324" s="667"/>
      <c r="G324" s="21">
        <f t="shared" si="55"/>
        <v>0</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0.03</v>
      </c>
      <c r="F325" s="667"/>
      <c r="G325" s="21">
        <f t="shared" si="55"/>
        <v>0</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0.03</v>
      </c>
      <c r="F326" s="667"/>
      <c r="G326" s="21">
        <f t="shared" si="55"/>
        <v>0</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0.03</v>
      </c>
      <c r="F327" s="667"/>
      <c r="G327" s="21">
        <f t="shared" si="55"/>
        <v>0</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0.03</v>
      </c>
      <c r="F328" s="667"/>
      <c r="G328" s="21">
        <f t="shared" si="55"/>
        <v>0</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0.03</v>
      </c>
      <c r="F329" s="667"/>
      <c r="G329" s="21">
        <f t="shared" si="55"/>
        <v>0</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0.03</v>
      </c>
      <c r="F330" s="667"/>
      <c r="G330" s="21">
        <f t="shared" si="55"/>
        <v>0</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0.03</v>
      </c>
      <c r="F331" s="667"/>
      <c r="G331" s="21">
        <f t="shared" si="55"/>
        <v>0</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0.03</v>
      </c>
      <c r="F332" s="667"/>
      <c r="G332" s="21">
        <f t="shared" si="55"/>
        <v>0</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0.03</v>
      </c>
      <c r="F333" s="667"/>
      <c r="G333" s="21">
        <f t="shared" si="55"/>
        <v>0</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0.03</v>
      </c>
      <c r="F334" s="667"/>
      <c r="G334" s="21">
        <f t="shared" si="55"/>
        <v>0</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0.03</v>
      </c>
      <c r="F335" s="667"/>
      <c r="G335" s="21">
        <f t="shared" si="55"/>
        <v>0</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0.03</v>
      </c>
      <c r="F336" s="667"/>
      <c r="G336" s="21">
        <f t="shared" si="55"/>
        <v>0</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0.03</v>
      </c>
      <c r="F337" s="667"/>
      <c r="G337" s="21">
        <f t="shared" si="55"/>
        <v>0</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0.03</v>
      </c>
      <c r="F338" s="667"/>
      <c r="G338" s="21">
        <f t="shared" si="55"/>
        <v>0</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0.03</v>
      </c>
      <c r="F339" s="667"/>
      <c r="G339" s="21">
        <f t="shared" si="55"/>
        <v>0</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0.03</v>
      </c>
      <c r="F340" s="667"/>
      <c r="G340" s="21">
        <f t="shared" si="55"/>
        <v>0</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0.03</v>
      </c>
      <c r="F341" s="667"/>
      <c r="G341" s="21">
        <f t="shared" si="55"/>
        <v>0</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0.03</v>
      </c>
      <c r="F342" s="667"/>
      <c r="G342" s="21">
        <f t="shared" si="55"/>
        <v>0</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0.03</v>
      </c>
      <c r="F343" s="667"/>
      <c r="G343" s="21">
        <f t="shared" si="55"/>
        <v>0</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0.03</v>
      </c>
      <c r="F344" s="667"/>
      <c r="G344" s="21">
        <f t="shared" si="55"/>
        <v>0</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0.03</v>
      </c>
      <c r="F345" s="667"/>
      <c r="G345" s="21">
        <f t="shared" si="55"/>
        <v>0</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0.03</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0.03</v>
      </c>
      <c r="F347" s="667"/>
      <c r="G347" s="21">
        <f t="shared" si="66"/>
        <v>0</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0.03</v>
      </c>
      <c r="F348" s="667"/>
      <c r="G348" s="21">
        <f t="shared" si="66"/>
        <v>0</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0.03</v>
      </c>
      <c r="F349" s="667"/>
      <c r="G349" s="21">
        <f t="shared" si="66"/>
        <v>0</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0.03</v>
      </c>
      <c r="F350" s="667"/>
      <c r="G350" s="21">
        <f t="shared" si="66"/>
        <v>0</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0.03</v>
      </c>
      <c r="F351" s="667"/>
      <c r="G351" s="21">
        <f t="shared" si="66"/>
        <v>0</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0.03</v>
      </c>
      <c r="F352" s="667"/>
      <c r="G352" s="21">
        <f t="shared" si="66"/>
        <v>0</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0.03</v>
      </c>
      <c r="F353" s="667"/>
      <c r="G353" s="21">
        <f t="shared" si="66"/>
        <v>0</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0.03</v>
      </c>
      <c r="F354" s="667"/>
      <c r="G354" s="21">
        <f t="shared" si="66"/>
        <v>0</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0.03</v>
      </c>
      <c r="F355" s="667"/>
      <c r="G355" s="21">
        <f t="shared" si="66"/>
        <v>0</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0.03</v>
      </c>
      <c r="F356" s="667"/>
      <c r="G356" s="21">
        <f t="shared" si="66"/>
        <v>0</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0.03</v>
      </c>
      <c r="F357" s="667"/>
      <c r="G357" s="21">
        <f t="shared" si="66"/>
        <v>0</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0.03</v>
      </c>
      <c r="F358" s="667"/>
      <c r="G358" s="21">
        <f t="shared" si="66"/>
        <v>0</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0.03</v>
      </c>
      <c r="F359" s="667"/>
      <c r="G359" s="21">
        <f t="shared" si="66"/>
        <v>0</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0.03</v>
      </c>
      <c r="F360" s="667"/>
      <c r="G360" s="21">
        <f t="shared" si="66"/>
        <v>0</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0.03</v>
      </c>
      <c r="F361" s="667"/>
      <c r="G361" s="21">
        <f t="shared" si="66"/>
        <v>0</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0.03</v>
      </c>
      <c r="F362" s="667"/>
      <c r="G362" s="21">
        <f t="shared" si="66"/>
        <v>0</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0.03</v>
      </c>
      <c r="F363" s="667"/>
      <c r="G363" s="21">
        <f t="shared" si="66"/>
        <v>0</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0.03</v>
      </c>
      <c r="F364" s="667"/>
      <c r="G364" s="21">
        <f t="shared" si="66"/>
        <v>0</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0.03</v>
      </c>
      <c r="F365" s="667"/>
      <c r="G365" s="21">
        <f t="shared" si="66"/>
        <v>0</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0.03</v>
      </c>
      <c r="F366" s="667"/>
      <c r="G366" s="21">
        <f t="shared" si="66"/>
        <v>0</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0.03</v>
      </c>
      <c r="F367" s="667"/>
      <c r="G367" s="21">
        <f t="shared" si="66"/>
        <v>0</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0.03</v>
      </c>
      <c r="F368" s="667"/>
      <c r="G368" s="21">
        <f t="shared" si="66"/>
        <v>0</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0.03</v>
      </c>
      <c r="F369" s="667"/>
      <c r="G369" s="21">
        <f t="shared" si="66"/>
        <v>0</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0.03</v>
      </c>
      <c r="F370" s="667"/>
      <c r="G370" s="21">
        <f t="shared" si="66"/>
        <v>0</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0.03</v>
      </c>
      <c r="F371" s="667"/>
      <c r="G371" s="21">
        <f t="shared" si="66"/>
        <v>0</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0.03</v>
      </c>
      <c r="F372" s="667"/>
      <c r="G372" s="21">
        <f t="shared" si="66"/>
        <v>0</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0.03</v>
      </c>
      <c r="F373" s="667"/>
      <c r="G373" s="21">
        <f t="shared" si="66"/>
        <v>0</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0.03</v>
      </c>
      <c r="F374" s="667"/>
      <c r="G374" s="21">
        <f t="shared" si="66"/>
        <v>0</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0.03</v>
      </c>
      <c r="F375" s="667"/>
      <c r="G375" s="21">
        <f t="shared" si="66"/>
        <v>0</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0.03</v>
      </c>
      <c r="F376" s="667"/>
      <c r="G376" s="21">
        <f t="shared" si="66"/>
        <v>0</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0.03</v>
      </c>
      <c r="F377" s="667"/>
      <c r="G377" s="21">
        <f t="shared" si="66"/>
        <v>0</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0.03</v>
      </c>
      <c r="F378" s="667"/>
      <c r="G378" s="21">
        <f t="shared" si="66"/>
        <v>0</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0.03</v>
      </c>
      <c r="F379" s="667"/>
      <c r="G379" s="21">
        <f t="shared" si="66"/>
        <v>0</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0.03</v>
      </c>
      <c r="F380" s="667"/>
      <c r="G380" s="21">
        <f t="shared" si="66"/>
        <v>0</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0.03</v>
      </c>
      <c r="F381" s="667"/>
      <c r="G381" s="21">
        <f t="shared" si="66"/>
        <v>0</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0.03</v>
      </c>
      <c r="F382" s="667"/>
      <c r="G382" s="21">
        <f t="shared" si="66"/>
        <v>0</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0.03</v>
      </c>
      <c r="F383" s="667"/>
      <c r="G383" s="21">
        <f t="shared" si="66"/>
        <v>0</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0.03</v>
      </c>
      <c r="F384" s="667"/>
      <c r="G384" s="21">
        <f t="shared" si="66"/>
        <v>0</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0.03</v>
      </c>
      <c r="F385" s="667"/>
      <c r="G385" s="21">
        <f t="shared" si="66"/>
        <v>0</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0.03</v>
      </c>
      <c r="F386" s="667"/>
      <c r="G386" s="21">
        <f t="shared" si="66"/>
        <v>0</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0.03</v>
      </c>
      <c r="F387" s="667"/>
      <c r="G387" s="21">
        <f t="shared" si="66"/>
        <v>0</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0.03</v>
      </c>
      <c r="F388" s="667"/>
      <c r="G388" s="21">
        <f t="shared" si="66"/>
        <v>0</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0.03</v>
      </c>
      <c r="F389" s="667"/>
      <c r="G389" s="21">
        <f t="shared" si="66"/>
        <v>0</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0.03</v>
      </c>
      <c r="F390" s="667"/>
      <c r="G390" s="21">
        <f t="shared" si="66"/>
        <v>0</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0.03</v>
      </c>
      <c r="F391" s="667"/>
      <c r="G391" s="21">
        <f t="shared" si="66"/>
        <v>0</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0.03</v>
      </c>
      <c r="F392" s="667"/>
      <c r="G392" s="21">
        <f t="shared" si="66"/>
        <v>0</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0.03</v>
      </c>
      <c r="F393" s="667"/>
      <c r="G393" s="21">
        <f t="shared" si="66"/>
        <v>0</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0.03</v>
      </c>
      <c r="F394" s="667"/>
      <c r="G394" s="21">
        <f t="shared" si="66"/>
        <v>0</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0.03</v>
      </c>
      <c r="F395" s="667"/>
      <c r="G395" s="21">
        <f t="shared" si="66"/>
        <v>0</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0.03</v>
      </c>
      <c r="F396" s="667"/>
      <c r="G396" s="21">
        <f t="shared" si="66"/>
        <v>0</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0.03</v>
      </c>
      <c r="F397" s="667"/>
      <c r="G397" s="21">
        <f t="shared" si="66"/>
        <v>0</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0.03</v>
      </c>
      <c r="F398" s="667"/>
      <c r="G398" s="21">
        <f t="shared" si="66"/>
        <v>0</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0.03</v>
      </c>
      <c r="F399" s="667"/>
      <c r="G399" s="21">
        <f t="shared" si="66"/>
        <v>0</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0.03</v>
      </c>
      <c r="F400" s="667"/>
      <c r="G400" s="21">
        <f t="shared" si="66"/>
        <v>0</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0.03</v>
      </c>
      <c r="F401" s="667"/>
      <c r="G401" s="21">
        <f t="shared" si="66"/>
        <v>0</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0.03</v>
      </c>
      <c r="F402" s="667"/>
      <c r="G402" s="21">
        <f t="shared" si="66"/>
        <v>0</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0.03</v>
      </c>
      <c r="F403" s="667"/>
      <c r="G403" s="21">
        <f t="shared" si="66"/>
        <v>0</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0.03</v>
      </c>
      <c r="F404" s="667"/>
      <c r="G404" s="21">
        <f t="shared" si="66"/>
        <v>0</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0.03</v>
      </c>
      <c r="F405" s="667"/>
      <c r="G405" s="21">
        <f t="shared" si="66"/>
        <v>0</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0.03</v>
      </c>
      <c r="F406" s="667"/>
      <c r="G406" s="21">
        <f t="shared" si="66"/>
        <v>0</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0.03</v>
      </c>
      <c r="F407" s="667"/>
      <c r="G407" s="21">
        <f t="shared" si="66"/>
        <v>0</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0.03</v>
      </c>
      <c r="F408" s="667"/>
      <c r="G408" s="21">
        <f t="shared" si="66"/>
        <v>0</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0.03</v>
      </c>
      <c r="F409" s="667"/>
      <c r="G409" s="21">
        <f t="shared" si="66"/>
        <v>0</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0.03</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0.03</v>
      </c>
      <c r="F411" s="667"/>
      <c r="G411" s="21">
        <f t="shared" si="76"/>
        <v>0</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0.03</v>
      </c>
      <c r="F412" s="667"/>
      <c r="G412" s="21">
        <f t="shared" si="76"/>
        <v>0</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0.03</v>
      </c>
      <c r="F413" s="667"/>
      <c r="G413" s="21">
        <f t="shared" si="76"/>
        <v>0</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0.03</v>
      </c>
      <c r="F414" s="667"/>
      <c r="G414" s="21">
        <f t="shared" si="76"/>
        <v>0</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0.03</v>
      </c>
      <c r="F415" s="667"/>
      <c r="G415" s="21">
        <f t="shared" si="76"/>
        <v>0</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0.03</v>
      </c>
      <c r="F416" s="667"/>
      <c r="G416" s="21">
        <f t="shared" si="76"/>
        <v>0</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0.03</v>
      </c>
      <c r="F417" s="667"/>
      <c r="G417" s="21">
        <f t="shared" si="76"/>
        <v>0</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0.03</v>
      </c>
      <c r="F418" s="667"/>
      <c r="G418" s="21">
        <f t="shared" si="76"/>
        <v>0</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0.03</v>
      </c>
      <c r="F419" s="667"/>
      <c r="G419" s="21">
        <f t="shared" si="76"/>
        <v>0</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0.03</v>
      </c>
      <c r="F420" s="667"/>
      <c r="G420" s="21">
        <f t="shared" si="76"/>
        <v>0</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0.03</v>
      </c>
      <c r="F421" s="667"/>
      <c r="G421" s="21">
        <f t="shared" si="76"/>
        <v>0</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0.03</v>
      </c>
      <c r="F422" s="667"/>
      <c r="G422" s="21">
        <f t="shared" si="76"/>
        <v>0</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0.03</v>
      </c>
      <c r="F423" s="667"/>
      <c r="G423" s="21">
        <f t="shared" si="76"/>
        <v>0</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0.03</v>
      </c>
      <c r="F424" s="667"/>
      <c r="G424" s="21">
        <f t="shared" si="76"/>
        <v>0</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0.03</v>
      </c>
      <c r="F425" s="667"/>
      <c r="G425" s="21">
        <f t="shared" si="76"/>
        <v>0</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0.03</v>
      </c>
      <c r="F426" s="667"/>
      <c r="G426" s="21">
        <f t="shared" si="76"/>
        <v>0</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0.03</v>
      </c>
      <c r="F427" s="667"/>
      <c r="G427" s="21">
        <f t="shared" si="76"/>
        <v>0</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0.03</v>
      </c>
      <c r="F428" s="667"/>
      <c r="G428" s="21">
        <f t="shared" si="76"/>
        <v>0</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0.03</v>
      </c>
      <c r="F429" s="667"/>
      <c r="G429" s="21">
        <f t="shared" si="76"/>
        <v>0</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0.03</v>
      </c>
      <c r="F430" s="667"/>
      <c r="G430" s="21">
        <f t="shared" si="76"/>
        <v>0</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0.03</v>
      </c>
      <c r="F431" s="667"/>
      <c r="G431" s="21">
        <f t="shared" si="76"/>
        <v>0</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0.03</v>
      </c>
      <c r="F432" s="667"/>
      <c r="G432" s="21">
        <f t="shared" si="76"/>
        <v>0</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0.03</v>
      </c>
      <c r="F433" s="667"/>
      <c r="G433" s="21">
        <f t="shared" si="76"/>
        <v>0</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0.03</v>
      </c>
      <c r="F434" s="667"/>
      <c r="G434" s="21">
        <f t="shared" si="76"/>
        <v>0</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0.03</v>
      </c>
      <c r="F435" s="667"/>
      <c r="G435" s="21">
        <f t="shared" si="76"/>
        <v>0</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0.03</v>
      </c>
      <c r="F436" s="667"/>
      <c r="G436" s="21">
        <f t="shared" si="76"/>
        <v>0</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0.03</v>
      </c>
      <c r="F437" s="667"/>
      <c r="G437" s="21">
        <f t="shared" si="76"/>
        <v>0</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0.03</v>
      </c>
      <c r="F438" s="667"/>
      <c r="G438" s="21">
        <f t="shared" si="76"/>
        <v>0</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0.03</v>
      </c>
      <c r="F439" s="667"/>
      <c r="G439" s="21">
        <f t="shared" si="76"/>
        <v>0</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0.03</v>
      </c>
      <c r="F440" s="667"/>
      <c r="G440" s="21">
        <f t="shared" si="76"/>
        <v>0</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0.03</v>
      </c>
      <c r="F441" s="667"/>
      <c r="G441" s="21">
        <f t="shared" si="76"/>
        <v>0</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0.03</v>
      </c>
      <c r="F442" s="667"/>
      <c r="G442" s="21">
        <f t="shared" si="76"/>
        <v>0</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0.03</v>
      </c>
      <c r="F443" s="667"/>
      <c r="G443" s="21">
        <f t="shared" si="76"/>
        <v>0</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0.03</v>
      </c>
      <c r="F444" s="667"/>
      <c r="G444" s="21">
        <f t="shared" si="76"/>
        <v>0</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0.03</v>
      </c>
      <c r="F445" s="667"/>
      <c r="G445" s="21">
        <f t="shared" si="76"/>
        <v>0</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0.03</v>
      </c>
      <c r="F446" s="667"/>
      <c r="G446" s="21">
        <f t="shared" si="76"/>
        <v>0</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0.03</v>
      </c>
      <c r="F447" s="667"/>
      <c r="G447" s="21">
        <f t="shared" si="76"/>
        <v>0</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0.03</v>
      </c>
      <c r="F448" s="667"/>
      <c r="G448" s="21">
        <f t="shared" si="76"/>
        <v>0</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0.03</v>
      </c>
      <c r="F449" s="667"/>
      <c r="G449" s="21">
        <f t="shared" si="76"/>
        <v>0</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0.03</v>
      </c>
      <c r="F450" s="667"/>
      <c r="G450" s="21">
        <f t="shared" si="76"/>
        <v>0</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0.03</v>
      </c>
      <c r="F451" s="667"/>
      <c r="G451" s="21">
        <f t="shared" si="76"/>
        <v>0</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0.03</v>
      </c>
      <c r="F452" s="667"/>
      <c r="G452" s="21">
        <f t="shared" si="76"/>
        <v>0</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0.03</v>
      </c>
      <c r="F453" s="667"/>
      <c r="G453" s="21">
        <f t="shared" si="76"/>
        <v>0</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0.03</v>
      </c>
      <c r="F454" s="667"/>
      <c r="G454" s="21">
        <f t="shared" si="76"/>
        <v>0</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0.03</v>
      </c>
      <c r="F455" s="667"/>
      <c r="G455" s="21">
        <f t="shared" si="76"/>
        <v>0</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0.03</v>
      </c>
      <c r="F456" s="667"/>
      <c r="G456" s="21">
        <f t="shared" si="76"/>
        <v>0</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0.03</v>
      </c>
      <c r="F457" s="667"/>
      <c r="G457" s="21">
        <f t="shared" si="76"/>
        <v>0</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0.03</v>
      </c>
      <c r="F458" s="667"/>
      <c r="G458" s="21">
        <f t="shared" si="76"/>
        <v>0</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0.03</v>
      </c>
      <c r="F459" s="667"/>
      <c r="G459" s="21">
        <f t="shared" si="76"/>
        <v>0</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0.03</v>
      </c>
      <c r="F460" s="667"/>
      <c r="G460" s="21">
        <f t="shared" si="76"/>
        <v>0</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0.03</v>
      </c>
      <c r="F461" s="667"/>
      <c r="G461" s="21">
        <f t="shared" si="76"/>
        <v>0</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0.03</v>
      </c>
      <c r="F462" s="667"/>
      <c r="G462" s="21">
        <f t="shared" si="76"/>
        <v>0</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0.03</v>
      </c>
      <c r="F463" s="667"/>
      <c r="G463" s="21">
        <f t="shared" si="76"/>
        <v>0</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0.03</v>
      </c>
      <c r="F464" s="667"/>
      <c r="G464" s="21">
        <f t="shared" si="76"/>
        <v>0</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0.03</v>
      </c>
      <c r="F465" s="667"/>
      <c r="G465" s="21">
        <f t="shared" si="76"/>
        <v>0</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0.03</v>
      </c>
      <c r="F466" s="667"/>
      <c r="G466" s="21">
        <f t="shared" si="76"/>
        <v>0</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0.03</v>
      </c>
      <c r="F467" s="667"/>
      <c r="G467" s="21">
        <f t="shared" si="76"/>
        <v>0</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0.03</v>
      </c>
      <c r="F468" s="667"/>
      <c r="G468" s="21">
        <f t="shared" si="76"/>
        <v>0</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0.03</v>
      </c>
      <c r="F469" s="667"/>
      <c r="G469" s="21">
        <f t="shared" si="76"/>
        <v>0</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0.03</v>
      </c>
      <c r="F470" s="667"/>
      <c r="G470" s="21">
        <f t="shared" si="76"/>
        <v>0</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0.03</v>
      </c>
      <c r="F471" s="667"/>
      <c r="G471" s="21">
        <f t="shared" si="76"/>
        <v>0</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0.03</v>
      </c>
      <c r="F472" s="667"/>
      <c r="G472" s="21">
        <f t="shared" si="76"/>
        <v>0</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0.03</v>
      </c>
      <c r="F473" s="667"/>
      <c r="G473" s="21">
        <f t="shared" si="76"/>
        <v>0</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0.03</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0.03</v>
      </c>
      <c r="F475" s="667"/>
      <c r="G475" s="21">
        <f t="shared" si="87"/>
        <v>0</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0.03</v>
      </c>
      <c r="F476" s="667"/>
      <c r="G476" s="21">
        <f t="shared" si="87"/>
        <v>0</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0.03</v>
      </c>
      <c r="F477" s="667"/>
      <c r="G477" s="21">
        <f t="shared" si="87"/>
        <v>0</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0.03</v>
      </c>
      <c r="F478" s="667"/>
      <c r="G478" s="21">
        <f t="shared" si="87"/>
        <v>0</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0.03</v>
      </c>
      <c r="F479" s="667"/>
      <c r="G479" s="21">
        <f t="shared" si="87"/>
        <v>0</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0.03</v>
      </c>
      <c r="F480" s="667"/>
      <c r="G480" s="21">
        <f t="shared" si="87"/>
        <v>0</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0.03</v>
      </c>
      <c r="F481" s="667"/>
      <c r="G481" s="21">
        <f t="shared" si="87"/>
        <v>0</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0.03</v>
      </c>
      <c r="F482" s="667"/>
      <c r="G482" s="21">
        <f t="shared" si="87"/>
        <v>0</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0.03</v>
      </c>
      <c r="F483" s="667"/>
      <c r="G483" s="21">
        <f t="shared" si="87"/>
        <v>0</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0.03</v>
      </c>
      <c r="F484" s="667"/>
      <c r="G484" s="21">
        <f t="shared" si="87"/>
        <v>0</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0.03</v>
      </c>
      <c r="F485" s="667"/>
      <c r="G485" s="21">
        <f t="shared" si="87"/>
        <v>0</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0.03</v>
      </c>
      <c r="F486" s="667"/>
      <c r="G486" s="21">
        <f t="shared" si="87"/>
        <v>0</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0.03</v>
      </c>
      <c r="F487" s="667"/>
      <c r="G487" s="21">
        <f t="shared" si="87"/>
        <v>0</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0.03</v>
      </c>
      <c r="F488" s="667"/>
      <c r="G488" s="21">
        <f t="shared" si="87"/>
        <v>0</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0.03</v>
      </c>
      <c r="F489" s="667"/>
      <c r="G489" s="21">
        <f t="shared" si="87"/>
        <v>0</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0.03</v>
      </c>
      <c r="F490" s="667"/>
      <c r="G490" s="21">
        <f t="shared" si="87"/>
        <v>0</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0.03</v>
      </c>
      <c r="F491" s="667"/>
      <c r="G491" s="21">
        <f t="shared" si="87"/>
        <v>0</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0.03</v>
      </c>
      <c r="F492" s="667"/>
      <c r="G492" s="21">
        <f t="shared" si="87"/>
        <v>0</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0.03</v>
      </c>
      <c r="F493" s="667"/>
      <c r="G493" s="21">
        <f t="shared" si="87"/>
        <v>0</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0.03</v>
      </c>
      <c r="F494" s="667"/>
      <c r="G494" s="21">
        <f t="shared" si="87"/>
        <v>0</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0.03</v>
      </c>
      <c r="F495" s="667"/>
      <c r="G495" s="21">
        <f t="shared" si="87"/>
        <v>0</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0.03</v>
      </c>
      <c r="F496" s="667"/>
      <c r="G496" s="21">
        <f t="shared" si="87"/>
        <v>0</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0.03</v>
      </c>
      <c r="F497" s="667"/>
      <c r="G497" s="21">
        <f t="shared" si="87"/>
        <v>0</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0.03</v>
      </c>
      <c r="F498" s="667"/>
      <c r="G498" s="21">
        <f t="shared" si="87"/>
        <v>0</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0.03</v>
      </c>
      <c r="F499" s="667"/>
      <c r="G499" s="21">
        <f t="shared" si="87"/>
        <v>0</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0.03</v>
      </c>
      <c r="F500" s="667"/>
      <c r="G500" s="21">
        <f t="shared" si="87"/>
        <v>0</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0.03</v>
      </c>
      <c r="F501" s="667"/>
      <c r="G501" s="21">
        <f t="shared" si="87"/>
        <v>0</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0.03</v>
      </c>
      <c r="F502" s="667"/>
      <c r="G502" s="21">
        <f t="shared" si="87"/>
        <v>0</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0.03</v>
      </c>
      <c r="F503" s="667"/>
      <c r="G503" s="21">
        <f t="shared" si="87"/>
        <v>0</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0.03</v>
      </c>
      <c r="F504" s="667"/>
      <c r="G504" s="21">
        <f t="shared" si="87"/>
        <v>0</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0.03</v>
      </c>
      <c r="F505" s="667"/>
      <c r="G505" s="21">
        <f t="shared" si="87"/>
        <v>0</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0.03</v>
      </c>
      <c r="F506" s="667"/>
      <c r="G506" s="21">
        <f t="shared" si="87"/>
        <v>0</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0.03</v>
      </c>
      <c r="F507" s="667"/>
      <c r="G507" s="21">
        <f t="shared" si="87"/>
        <v>0</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0.03</v>
      </c>
      <c r="F508" s="667"/>
      <c r="G508" s="21">
        <f t="shared" si="87"/>
        <v>0</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0.03</v>
      </c>
      <c r="F509" s="667"/>
      <c r="G509" s="21">
        <f t="shared" si="87"/>
        <v>0</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0.03</v>
      </c>
      <c r="F510" s="667"/>
      <c r="G510" s="21">
        <f t="shared" si="87"/>
        <v>0</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0.03</v>
      </c>
      <c r="F511" s="667"/>
      <c r="G511" s="21">
        <f t="shared" si="87"/>
        <v>0</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0.03</v>
      </c>
      <c r="F512" s="667"/>
      <c r="G512" s="21">
        <f t="shared" si="87"/>
        <v>0</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0.03</v>
      </c>
      <c r="F513" s="667"/>
      <c r="G513" s="21">
        <f t="shared" si="87"/>
        <v>0</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0.03</v>
      </c>
      <c r="F514" s="667"/>
      <c r="G514" s="21">
        <f t="shared" si="87"/>
        <v>0</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0.03</v>
      </c>
      <c r="F515" s="667"/>
      <c r="G515" s="21">
        <f t="shared" si="87"/>
        <v>0</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0.03</v>
      </c>
      <c r="F516" s="667"/>
      <c r="G516" s="21">
        <f t="shared" si="87"/>
        <v>0</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0.03</v>
      </c>
      <c r="F517" s="667"/>
      <c r="G517" s="21">
        <f t="shared" si="87"/>
        <v>0</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0.03</v>
      </c>
      <c r="F518" s="667"/>
      <c r="G518" s="21">
        <f t="shared" si="87"/>
        <v>0</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0.03</v>
      </c>
      <c r="F519" s="667"/>
      <c r="G519" s="21">
        <f t="shared" si="87"/>
        <v>0</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0.03</v>
      </c>
      <c r="F520" s="667"/>
      <c r="G520" s="21">
        <f t="shared" si="87"/>
        <v>0</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0.03</v>
      </c>
      <c r="F521" s="667"/>
      <c r="G521" s="21">
        <f t="shared" si="87"/>
        <v>0</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0.03</v>
      </c>
      <c r="F522" s="667"/>
      <c r="G522" s="21">
        <f t="shared" si="87"/>
        <v>0</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0.03</v>
      </c>
      <c r="F523" s="667"/>
      <c r="G523" s="21">
        <f t="shared" si="87"/>
        <v>0</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0.03</v>
      </c>
      <c r="F524" s="667"/>
      <c r="G524" s="21">
        <f t="shared" si="87"/>
        <v>0</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3241</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3246</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3253</v>
      </c>
      <c r="E19" s="3336"/>
      <c r="F19" s="3337" t="s">
        <v>3256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2" t="s">
        <v>3258</v>
      </c>
      <c r="B20" s="167" t="s">
        <v>1994</v>
      </c>
      <c r="C20" s="3323" t="e">
        <f>ROUND(IF(F21="与级别开发程度一致",0,(G21-E21)/C21),0)</f>
        <v>#DIV/0!</v>
      </c>
      <c r="D20" s="3339" t="s">
        <v>1998</v>
      </c>
      <c r="E20" s="3340"/>
      <c r="F20" s="3778" t="s">
        <v>1995</v>
      </c>
      <c r="G20" s="3779"/>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44942</v>
      </c>
      <c r="H23" s="3341" t="s">
        <v>3260</v>
      </c>
      <c r="I23" s="3342" t="str">
        <f>IF(H23="季度增幅（自定义）",SUMIF(N25:N28,E2,O25:O28),"")</f>
        <v/>
      </c>
      <c r="J23" s="3444" t="s">
        <v>3259</v>
      </c>
      <c r="K23" s="1124"/>
      <c r="L23" s="2053" t="s">
        <v>2004</v>
      </c>
      <c r="M23" s="1327">
        <f>ROUND(SUMIF(地价!B2:G2,E2,地价!B16:G16),0)</f>
        <v>0</v>
      </c>
      <c r="N23" s="2054" t="s">
        <v>2005</v>
      </c>
      <c r="O23" s="763">
        <f>ROUNDDOWN(DATEDIF(E23,G23,"M")/3,0)</f>
        <v>8</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7"/>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3273</v>
      </c>
      <c r="B52" s="2132">
        <f>估价对象房地状况!C19</f>
        <v>0</v>
      </c>
      <c r="C52" s="2042"/>
      <c r="D52" s="1064">
        <f t="shared" si="7"/>
        <v>0</v>
      </c>
      <c r="E52" s="745"/>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3273</v>
      </c>
      <c r="B63" s="2132">
        <f>估价对象房地状况!C19</f>
        <v>0</v>
      </c>
      <c r="C63" s="2042"/>
      <c r="D63" s="1064">
        <f t="shared" si="12"/>
        <v>0</v>
      </c>
      <c r="E63" s="745"/>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3273</v>
      </c>
      <c r="B74" s="2132">
        <f>估价对象房地状况!C19</f>
        <v>0</v>
      </c>
      <c r="C74" s="2042"/>
      <c r="D74" s="1064">
        <f t="shared" si="17"/>
        <v>0</v>
      </c>
      <c r="E74" s="747"/>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3274</v>
      </c>
      <c r="B85" s="2132">
        <f>估价对象房地状况!G17</f>
        <v>0</v>
      </c>
      <c r="C85" s="2042"/>
      <c r="D85" s="1064">
        <f t="shared" si="22"/>
        <v>0</v>
      </c>
      <c r="E85" s="747"/>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1998" t="s">
        <v>3318</v>
      </c>
      <c r="F116" s="3400">
        <f>E2</f>
        <v>0</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7" t="s">
        <v>2607</v>
      </c>
      <c r="B20" s="3780" t="s">
        <v>2628</v>
      </c>
      <c r="C20" s="3101" t="s">
        <v>2439</v>
      </c>
      <c r="D20" s="3102"/>
      <c r="E20" s="3103">
        <v>1</v>
      </c>
      <c r="F20" s="3104" t="s">
        <v>2440</v>
      </c>
      <c r="G20" s="3104"/>
    </row>
    <row r="21" spans="1:13" ht="19.5" customHeight="1">
      <c r="A21" s="3788"/>
      <c r="B21" s="3781"/>
      <c r="C21" s="3105" t="s">
        <v>2441</v>
      </c>
      <c r="D21" s="3106"/>
      <c r="E21" s="3107">
        <v>1</v>
      </c>
      <c r="F21" s="3104" t="s">
        <v>2442</v>
      </c>
      <c r="G21" s="3104"/>
    </row>
    <row r="22" spans="1:13" ht="19.5" customHeight="1">
      <c r="A22" s="3788"/>
      <c r="B22" s="3781"/>
      <c r="C22" s="3105" t="s">
        <v>2443</v>
      </c>
      <c r="D22" s="3106"/>
      <c r="E22" s="3107">
        <v>0.9</v>
      </c>
      <c r="F22" s="3104" t="s">
        <v>2444</v>
      </c>
      <c r="G22" s="3104"/>
    </row>
    <row r="23" spans="1:13" ht="19.5" customHeight="1">
      <c r="A23" s="3788"/>
      <c r="B23" s="3781"/>
      <c r="C23" s="3105" t="s">
        <v>2445</v>
      </c>
      <c r="D23" s="3106"/>
      <c r="E23" s="3107">
        <v>0.9</v>
      </c>
      <c r="F23" s="3104" t="s">
        <v>2446</v>
      </c>
      <c r="G23" s="3104"/>
    </row>
    <row r="24" spans="1:13" ht="19.5" customHeight="1">
      <c r="A24" s="3788"/>
      <c r="B24" s="3781"/>
      <c r="C24" s="3105" t="s">
        <v>2447</v>
      </c>
      <c r="D24" s="3106"/>
      <c r="E24" s="3107">
        <v>0.8</v>
      </c>
      <c r="F24" s="3104" t="s">
        <v>2448</v>
      </c>
      <c r="G24" s="3104"/>
    </row>
    <row r="25" spans="1:13" ht="19.5" customHeight="1" thickBot="1">
      <c r="A25" s="3789"/>
      <c r="B25" s="378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3" t="s">
        <v>2631</v>
      </c>
      <c r="B27" s="3780" t="s">
        <v>2612</v>
      </c>
      <c r="C27" s="3101" t="s">
        <v>2452</v>
      </c>
      <c r="D27" s="3102"/>
      <c r="E27" s="3103">
        <v>1</v>
      </c>
      <c r="F27" s="3104" t="s">
        <v>2453</v>
      </c>
      <c r="G27" s="3104"/>
    </row>
    <row r="28" spans="1:13" ht="19.5" customHeight="1">
      <c r="A28" s="3784"/>
      <c r="B28" s="3781"/>
      <c r="C28" s="3105" t="s">
        <v>2454</v>
      </c>
      <c r="D28" s="3106"/>
      <c r="E28" s="3107">
        <v>1</v>
      </c>
      <c r="F28" s="3104" t="s">
        <v>2455</v>
      </c>
      <c r="G28" s="3104"/>
    </row>
    <row r="29" spans="1:13" ht="19.5" customHeight="1">
      <c r="A29" s="3784"/>
      <c r="B29" s="3781"/>
      <c r="C29" s="3105" t="s">
        <v>2456</v>
      </c>
      <c r="D29" s="3106"/>
      <c r="E29" s="3107">
        <v>0.8</v>
      </c>
      <c r="F29" s="3104" t="s">
        <v>2457</v>
      </c>
      <c r="G29" s="3104"/>
    </row>
    <row r="30" spans="1:13" ht="19.5" customHeight="1">
      <c r="A30" s="3784"/>
      <c r="B30" s="3781"/>
      <c r="C30" s="3105" t="s">
        <v>2458</v>
      </c>
      <c r="D30" s="3106"/>
      <c r="E30" s="3107">
        <v>0.8</v>
      </c>
      <c r="F30" s="3104" t="s">
        <v>2459</v>
      </c>
      <c r="G30" s="3104"/>
    </row>
    <row r="31" spans="1:13" ht="19.5" customHeight="1">
      <c r="A31" s="3784"/>
      <c r="B31" s="3781"/>
      <c r="C31" s="3105" t="s">
        <v>2460</v>
      </c>
      <c r="D31" s="3106"/>
      <c r="E31" s="3107">
        <v>0.8</v>
      </c>
      <c r="F31" s="3104" t="s">
        <v>2461</v>
      </c>
      <c r="G31" s="3104"/>
    </row>
    <row r="32" spans="1:13" ht="19.5" customHeight="1">
      <c r="A32" s="3784"/>
      <c r="B32" s="3781"/>
      <c r="C32" s="3105" t="s">
        <v>2462</v>
      </c>
      <c r="D32" s="3106"/>
      <c r="E32" s="3107">
        <v>0.7</v>
      </c>
      <c r="F32" s="3104" t="s">
        <v>2463</v>
      </c>
      <c r="G32" s="3104"/>
    </row>
    <row r="33" spans="1:7" ht="19.5" customHeight="1">
      <c r="A33" s="3784"/>
      <c r="B33" s="3781"/>
      <c r="C33" s="3105" t="s">
        <v>2464</v>
      </c>
      <c r="D33" s="3106"/>
      <c r="E33" s="3107">
        <v>0.8</v>
      </c>
      <c r="F33" s="3104" t="s">
        <v>2465</v>
      </c>
      <c r="G33" s="3104"/>
    </row>
    <row r="34" spans="1:7" ht="19.5" customHeight="1">
      <c r="A34" s="3784"/>
      <c r="B34" s="3781"/>
      <c r="C34" s="3105" t="s">
        <v>2466</v>
      </c>
      <c r="D34" s="3106"/>
      <c r="E34" s="3107">
        <v>0.6</v>
      </c>
      <c r="F34" s="3104" t="s">
        <v>2467</v>
      </c>
      <c r="G34" s="3104"/>
    </row>
    <row r="35" spans="1:7" ht="19.5" customHeight="1">
      <c r="A35" s="3784"/>
      <c r="B35" s="3781"/>
      <c r="C35" s="3105" t="s">
        <v>2468</v>
      </c>
      <c r="D35" s="3106"/>
      <c r="E35" s="3107">
        <v>0.2</v>
      </c>
      <c r="F35" s="3104" t="s">
        <v>2469</v>
      </c>
      <c r="G35" s="3104"/>
    </row>
    <row r="36" spans="1:7" ht="19.5" customHeight="1">
      <c r="A36" s="3784"/>
      <c r="B36" s="3781"/>
      <c r="C36" s="3105" t="s">
        <v>2470</v>
      </c>
      <c r="D36" s="3106"/>
      <c r="E36" s="3107">
        <v>0.2</v>
      </c>
      <c r="F36" s="3104" t="s">
        <v>2471</v>
      </c>
      <c r="G36" s="3104"/>
    </row>
    <row r="37" spans="1:7" ht="19.5" customHeight="1">
      <c r="A37" s="3784"/>
      <c r="B37" s="3786" t="s">
        <v>2632</v>
      </c>
      <c r="C37" s="3105" t="s">
        <v>2472</v>
      </c>
      <c r="D37" s="3106"/>
      <c r="E37" s="3107">
        <v>0.6</v>
      </c>
      <c r="F37" s="3104" t="s">
        <v>2473</v>
      </c>
      <c r="G37" s="3104"/>
    </row>
    <row r="38" spans="1:7" ht="19.5" customHeight="1">
      <c r="A38" s="3784"/>
      <c r="B38" s="3781"/>
      <c r="C38" s="3105" t="s">
        <v>2474</v>
      </c>
      <c r="D38" s="3106"/>
      <c r="E38" s="3107">
        <v>0.6</v>
      </c>
      <c r="F38" s="3104" t="s">
        <v>2475</v>
      </c>
      <c r="G38" s="3104"/>
    </row>
    <row r="39" spans="1:7" ht="19.5" customHeight="1" thickBot="1">
      <c r="A39" s="3785"/>
      <c r="B39" s="378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7" t="s">
        <v>2610</v>
      </c>
      <c r="B41" s="3780" t="s">
        <v>2634</v>
      </c>
      <c r="C41" s="3101" t="s">
        <v>2479</v>
      </c>
      <c r="D41" s="3102"/>
      <c r="E41" s="3103">
        <v>1</v>
      </c>
      <c r="F41" s="3104" t="s">
        <v>2480</v>
      </c>
      <c r="G41" s="3104"/>
    </row>
    <row r="42" spans="1:7" ht="19.5" customHeight="1">
      <c r="A42" s="3788"/>
      <c r="B42" s="3781"/>
      <c r="C42" s="3105" t="s">
        <v>2481</v>
      </c>
      <c r="D42" s="3106"/>
      <c r="E42" s="3107">
        <v>1</v>
      </c>
      <c r="F42" s="3104" t="s">
        <v>2482</v>
      </c>
      <c r="G42" s="3104"/>
    </row>
    <row r="43" spans="1:7" ht="19.5" customHeight="1">
      <c r="A43" s="3788"/>
      <c r="B43" s="3790"/>
      <c r="C43" s="3105" t="s">
        <v>2483</v>
      </c>
      <c r="D43" s="3106"/>
      <c r="E43" s="3107">
        <v>1.5</v>
      </c>
      <c r="F43" s="3104" t="s">
        <v>2484</v>
      </c>
      <c r="G43" s="3104"/>
    </row>
    <row r="44" spans="1:7" ht="19.5" customHeight="1">
      <c r="A44" s="3788"/>
      <c r="B44" s="3116" t="s">
        <v>2635</v>
      </c>
      <c r="C44" s="3105" t="s">
        <v>2636</v>
      </c>
      <c r="D44" s="3106"/>
      <c r="E44" s="3107">
        <v>2</v>
      </c>
      <c r="F44" s="3104" t="s">
        <v>2485</v>
      </c>
      <c r="G44" s="3104"/>
    </row>
    <row r="45" spans="1:7" ht="19.5" customHeight="1">
      <c r="A45" s="3788"/>
      <c r="B45" s="3786" t="s">
        <v>2637</v>
      </c>
      <c r="C45" s="3105" t="s">
        <v>2486</v>
      </c>
      <c r="D45" s="3106"/>
      <c r="E45" s="3107">
        <v>1</v>
      </c>
      <c r="F45" s="3104" t="s">
        <v>2487</v>
      </c>
      <c r="G45" s="3104"/>
    </row>
    <row r="46" spans="1:7" ht="19.5" customHeight="1">
      <c r="A46" s="3788"/>
      <c r="B46" s="3781"/>
      <c r="C46" s="3105" t="s">
        <v>2488</v>
      </c>
      <c r="D46" s="3106"/>
      <c r="E46" s="3107">
        <v>1</v>
      </c>
      <c r="F46" s="3104" t="s">
        <v>2489</v>
      </c>
      <c r="G46" s="3104"/>
    </row>
    <row r="47" spans="1:7" ht="19.5" customHeight="1">
      <c r="A47" s="3788"/>
      <c r="B47" s="3781"/>
      <c r="C47" s="3105" t="s">
        <v>2490</v>
      </c>
      <c r="D47" s="3106"/>
      <c r="E47" s="3107">
        <v>1</v>
      </c>
      <c r="F47" s="3104" t="s">
        <v>2491</v>
      </c>
      <c r="G47" s="3104"/>
    </row>
    <row r="48" spans="1:7" ht="19.5" customHeight="1">
      <c r="A48" s="3788"/>
      <c r="B48" s="3781"/>
      <c r="C48" s="3105" t="s">
        <v>2492</v>
      </c>
      <c r="D48" s="3106"/>
      <c r="E48" s="3107">
        <v>1</v>
      </c>
      <c r="F48" s="3104" t="s">
        <v>2493</v>
      </c>
      <c r="G48" s="3104"/>
    </row>
    <row r="49" spans="1:7" ht="19.5" customHeight="1">
      <c r="A49" s="3788"/>
      <c r="B49" s="3781"/>
      <c r="C49" s="3105" t="s">
        <v>2494</v>
      </c>
      <c r="D49" s="3106"/>
      <c r="E49" s="3107">
        <v>1</v>
      </c>
      <c r="F49" s="3104" t="s">
        <v>2495</v>
      </c>
      <c r="G49" s="3104"/>
    </row>
    <row r="50" spans="1:7" ht="19.5" customHeight="1">
      <c r="A50" s="3788"/>
      <c r="B50" s="3781"/>
      <c r="C50" s="3105" t="s">
        <v>2496</v>
      </c>
      <c r="D50" s="3106"/>
      <c r="E50" s="3107">
        <v>1</v>
      </c>
      <c r="F50" s="3104" t="s">
        <v>2497</v>
      </c>
      <c r="G50" s="3104"/>
    </row>
    <row r="51" spans="1:7" ht="19.5" customHeight="1" thickBot="1">
      <c r="A51" s="3789"/>
      <c r="B51" s="378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6" t="s">
        <v>2651</v>
      </c>
      <c r="C73" s="3090" t="s">
        <v>2652</v>
      </c>
      <c r="D73" s="3090" t="s">
        <v>2653</v>
      </c>
      <c r="E73" s="3116">
        <v>0.2</v>
      </c>
      <c r="F73" s="3116">
        <v>25</v>
      </c>
    </row>
    <row r="74" spans="1:7" ht="24">
      <c r="A74" s="3116">
        <v>2</v>
      </c>
      <c r="B74" s="3781"/>
      <c r="C74" s="3090" t="s">
        <v>2654</v>
      </c>
      <c r="D74" s="3090" t="s">
        <v>2655</v>
      </c>
      <c r="E74" s="3116">
        <v>0.2</v>
      </c>
      <c r="F74" s="3116">
        <v>25</v>
      </c>
    </row>
    <row r="75" spans="1:7" ht="24">
      <c r="A75" s="3116">
        <v>3</v>
      </c>
      <c r="B75" s="3781"/>
      <c r="C75" s="3090" t="s">
        <v>2656</v>
      </c>
      <c r="D75" s="3090" t="s">
        <v>2657</v>
      </c>
      <c r="E75" s="3116">
        <v>0.2</v>
      </c>
      <c r="F75" s="3116">
        <v>25</v>
      </c>
    </row>
    <row r="76" spans="1:7" ht="13.5">
      <c r="A76" s="3116">
        <v>4</v>
      </c>
      <c r="B76" s="3781"/>
      <c r="C76" s="3090" t="s">
        <v>2658</v>
      </c>
      <c r="D76" s="3090" t="s">
        <v>2659</v>
      </c>
      <c r="E76" s="3116">
        <v>0.15</v>
      </c>
      <c r="F76" s="3116">
        <v>20</v>
      </c>
    </row>
    <row r="77" spans="1:7" ht="24">
      <c r="A77" s="3116">
        <v>5</v>
      </c>
      <c r="B77" s="3781"/>
      <c r="C77" s="3090" t="s">
        <v>2660</v>
      </c>
      <c r="D77" s="3090" t="s">
        <v>2661</v>
      </c>
      <c r="E77" s="3116">
        <v>0.15</v>
      </c>
      <c r="F77" s="3116">
        <v>20</v>
      </c>
    </row>
    <row r="78" spans="1:7" ht="24">
      <c r="A78" s="3116">
        <v>6</v>
      </c>
      <c r="B78" s="3781"/>
      <c r="C78" s="3090" t="s">
        <v>2662</v>
      </c>
      <c r="D78" s="3090" t="s">
        <v>2663</v>
      </c>
      <c r="E78" s="3116">
        <v>0.15</v>
      </c>
      <c r="F78" s="3116">
        <v>20</v>
      </c>
    </row>
    <row r="79" spans="1:7" ht="24">
      <c r="A79" s="3116">
        <v>7</v>
      </c>
      <c r="B79" s="3781"/>
      <c r="C79" s="3090" t="s">
        <v>2664</v>
      </c>
      <c r="D79" s="3090" t="s">
        <v>2665</v>
      </c>
      <c r="E79" s="3116">
        <v>0.15</v>
      </c>
      <c r="F79" s="3116">
        <v>20</v>
      </c>
    </row>
    <row r="80" spans="1:7" ht="24">
      <c r="A80" s="3116">
        <v>8</v>
      </c>
      <c r="B80" s="3781"/>
      <c r="C80" s="3090" t="s">
        <v>2666</v>
      </c>
      <c r="D80" s="3090" t="s">
        <v>2667</v>
      </c>
      <c r="E80" s="3116">
        <v>0.1</v>
      </c>
      <c r="F80" s="3116">
        <v>15</v>
      </c>
    </row>
    <row r="81" spans="1:6" ht="24">
      <c r="A81" s="3116">
        <v>9</v>
      </c>
      <c r="B81" s="3781"/>
      <c r="C81" s="3090" t="s">
        <v>2668</v>
      </c>
      <c r="D81" s="3090" t="s">
        <v>2669</v>
      </c>
      <c r="E81" s="3116">
        <v>0.1</v>
      </c>
      <c r="F81" s="3116">
        <v>15</v>
      </c>
    </row>
    <row r="82" spans="1:6" ht="24">
      <c r="A82" s="3116">
        <v>10</v>
      </c>
      <c r="B82" s="3781"/>
      <c r="C82" s="3090" t="s">
        <v>2670</v>
      </c>
      <c r="D82" s="3090" t="s">
        <v>2671</v>
      </c>
      <c r="E82" s="3116">
        <v>0.1</v>
      </c>
      <c r="F82" s="3116">
        <v>15</v>
      </c>
    </row>
    <row r="83" spans="1:6" ht="24">
      <c r="A83" s="3116">
        <v>11</v>
      </c>
      <c r="B83" s="3781"/>
      <c r="C83" s="3090" t="s">
        <v>2672</v>
      </c>
      <c r="D83" s="3090" t="s">
        <v>2673</v>
      </c>
      <c r="E83" s="3116">
        <v>0.1</v>
      </c>
      <c r="F83" s="3116">
        <v>15</v>
      </c>
    </row>
    <row r="84" spans="1:6" ht="24">
      <c r="A84" s="3116">
        <v>12</v>
      </c>
      <c r="B84" s="3781"/>
      <c r="C84" s="3090" t="s">
        <v>2674</v>
      </c>
      <c r="D84" s="3090" t="s">
        <v>2675</v>
      </c>
      <c r="E84" s="3116">
        <v>0.1</v>
      </c>
      <c r="F84" s="3116">
        <v>15</v>
      </c>
    </row>
    <row r="85" spans="1:6" ht="13.5">
      <c r="A85" s="3116">
        <v>13</v>
      </c>
      <c r="B85" s="3781"/>
      <c r="C85" s="3090" t="s">
        <v>2676</v>
      </c>
      <c r="D85" s="3090" t="s">
        <v>2677</v>
      </c>
      <c r="E85" s="3116">
        <v>0.1</v>
      </c>
      <c r="F85" s="3116">
        <v>15</v>
      </c>
    </row>
    <row r="86" spans="1:6" ht="13.5">
      <c r="A86" s="3116">
        <v>14</v>
      </c>
      <c r="B86" s="3781"/>
      <c r="C86" s="3090" t="s">
        <v>2678</v>
      </c>
      <c r="D86" s="3090" t="s">
        <v>2679</v>
      </c>
      <c r="E86" s="3116">
        <v>0.1</v>
      </c>
      <c r="F86" s="3116">
        <v>15</v>
      </c>
    </row>
    <row r="87" spans="1:6" ht="13.5">
      <c r="A87" s="3116">
        <v>15</v>
      </c>
      <c r="B87" s="3781"/>
      <c r="C87" s="3090" t="s">
        <v>2680</v>
      </c>
      <c r="D87" s="3090" t="s">
        <v>2681</v>
      </c>
      <c r="E87" s="3116">
        <v>0.1</v>
      </c>
      <c r="F87" s="3116">
        <v>15</v>
      </c>
    </row>
    <row r="88" spans="1:6" ht="24">
      <c r="A88" s="3116">
        <v>16</v>
      </c>
      <c r="B88" s="3781"/>
      <c r="C88" s="3090" t="s">
        <v>2682</v>
      </c>
      <c r="D88" s="3090" t="s">
        <v>2683</v>
      </c>
      <c r="E88" s="3116">
        <v>0.1</v>
      </c>
      <c r="F88" s="3116">
        <v>15</v>
      </c>
    </row>
    <row r="89" spans="1:6" ht="24">
      <c r="A89" s="3116">
        <v>17</v>
      </c>
      <c r="B89" s="3790"/>
      <c r="C89" s="3090" t="s">
        <v>2684</v>
      </c>
      <c r="D89" s="3090" t="s">
        <v>2685</v>
      </c>
      <c r="E89" s="3116">
        <v>0.1</v>
      </c>
      <c r="F89" s="3116">
        <v>15</v>
      </c>
    </row>
    <row r="90" spans="1:6" ht="13.5">
      <c r="A90" s="3116">
        <v>18</v>
      </c>
      <c r="B90" s="3786" t="s">
        <v>2686</v>
      </c>
      <c r="C90" s="3090" t="s">
        <v>2687</v>
      </c>
      <c r="D90" s="3090" t="s">
        <v>2688</v>
      </c>
      <c r="E90" s="3116">
        <v>0.2</v>
      </c>
      <c r="F90" s="3116">
        <v>25</v>
      </c>
    </row>
    <row r="91" spans="1:6" ht="24">
      <c r="A91" s="3116">
        <v>19</v>
      </c>
      <c r="B91" s="3781"/>
      <c r="C91" s="3090" t="s">
        <v>2689</v>
      </c>
      <c r="D91" s="3090" t="s">
        <v>2690</v>
      </c>
      <c r="E91" s="3116">
        <v>0.2</v>
      </c>
      <c r="F91" s="3116">
        <v>25</v>
      </c>
    </row>
    <row r="92" spans="1:6" ht="13.5">
      <c r="A92" s="3116">
        <v>20</v>
      </c>
      <c r="B92" s="3781"/>
      <c r="C92" s="3090" t="s">
        <v>2691</v>
      </c>
      <c r="D92" s="3090" t="s">
        <v>2692</v>
      </c>
      <c r="E92" s="3116">
        <v>0.15</v>
      </c>
      <c r="F92" s="3116">
        <v>20</v>
      </c>
    </row>
    <row r="93" spans="1:6" ht="13.5">
      <c r="A93" s="3116">
        <v>21</v>
      </c>
      <c r="B93" s="3781"/>
      <c r="C93" s="3090" t="s">
        <v>2693</v>
      </c>
      <c r="D93" s="3090" t="s">
        <v>2694</v>
      </c>
      <c r="E93" s="3116">
        <v>0.15</v>
      </c>
      <c r="F93" s="3116">
        <v>20</v>
      </c>
    </row>
    <row r="94" spans="1:6" ht="13.5">
      <c r="A94" s="3116">
        <v>22</v>
      </c>
      <c r="B94" s="3781"/>
      <c r="C94" s="3090" t="s">
        <v>2695</v>
      </c>
      <c r="D94" s="3090" t="s">
        <v>2696</v>
      </c>
      <c r="E94" s="3116">
        <v>0.15</v>
      </c>
      <c r="F94" s="3116">
        <v>20</v>
      </c>
    </row>
    <row r="95" spans="1:6" ht="36">
      <c r="A95" s="3116">
        <v>23</v>
      </c>
      <c r="B95" s="3781"/>
      <c r="C95" s="3090" t="s">
        <v>2697</v>
      </c>
      <c r="D95" s="3090" t="s">
        <v>2698</v>
      </c>
      <c r="E95" s="3116">
        <v>0.15</v>
      </c>
      <c r="F95" s="3116">
        <v>20</v>
      </c>
    </row>
    <row r="96" spans="1:6" ht="13.5">
      <c r="A96" s="3116">
        <v>24</v>
      </c>
      <c r="B96" s="3781"/>
      <c r="C96" s="3090" t="s">
        <v>2699</v>
      </c>
      <c r="D96" s="3090" t="s">
        <v>2700</v>
      </c>
      <c r="E96" s="3116">
        <v>0.1</v>
      </c>
      <c r="F96" s="3116">
        <v>15</v>
      </c>
    </row>
    <row r="97" spans="1:6" ht="13.5">
      <c r="A97" s="3116">
        <v>25</v>
      </c>
      <c r="B97" s="3781"/>
      <c r="C97" s="3090" t="s">
        <v>2701</v>
      </c>
      <c r="D97" s="3090" t="s">
        <v>2702</v>
      </c>
      <c r="E97" s="3116">
        <v>0.1</v>
      </c>
      <c r="F97" s="3116">
        <v>15</v>
      </c>
    </row>
    <row r="98" spans="1:6" ht="24">
      <c r="A98" s="3116">
        <v>26</v>
      </c>
      <c r="B98" s="3781"/>
      <c r="C98" s="3090" t="s">
        <v>2703</v>
      </c>
      <c r="D98" s="3090" t="s">
        <v>2704</v>
      </c>
      <c r="E98" s="3116">
        <v>0.1</v>
      </c>
      <c r="F98" s="3116">
        <v>15</v>
      </c>
    </row>
    <row r="99" spans="1:6" ht="24">
      <c r="A99" s="3116">
        <v>27</v>
      </c>
      <c r="B99" s="3781"/>
      <c r="C99" s="3090" t="s">
        <v>2705</v>
      </c>
      <c r="D99" s="3090" t="s">
        <v>2706</v>
      </c>
      <c r="E99" s="3116">
        <v>0.1</v>
      </c>
      <c r="F99" s="3116">
        <v>15</v>
      </c>
    </row>
    <row r="100" spans="1:6" ht="13.5">
      <c r="A100" s="3116">
        <v>28</v>
      </c>
      <c r="B100" s="3781"/>
      <c r="C100" s="3090" t="s">
        <v>2707</v>
      </c>
      <c r="D100" s="3090" t="s">
        <v>2708</v>
      </c>
      <c r="E100" s="3116">
        <v>0.1</v>
      </c>
      <c r="F100" s="3116">
        <v>15</v>
      </c>
    </row>
    <row r="101" spans="1:6" ht="13.5">
      <c r="A101" s="3116">
        <v>29</v>
      </c>
      <c r="B101" s="3781"/>
      <c r="C101" s="3090" t="s">
        <v>2709</v>
      </c>
      <c r="D101" s="3090" t="s">
        <v>2710</v>
      </c>
      <c r="E101" s="3116">
        <v>0.1</v>
      </c>
      <c r="F101" s="3116">
        <v>15</v>
      </c>
    </row>
    <row r="102" spans="1:6" ht="13.5">
      <c r="A102" s="3116">
        <v>30</v>
      </c>
      <c r="B102" s="3781"/>
      <c r="C102" s="3090" t="s">
        <v>2711</v>
      </c>
      <c r="D102" s="3090" t="s">
        <v>2712</v>
      </c>
      <c r="E102" s="3116">
        <v>0.1</v>
      </c>
      <c r="F102" s="3116">
        <v>15</v>
      </c>
    </row>
    <row r="103" spans="1:6" ht="24">
      <c r="A103" s="3116">
        <v>31</v>
      </c>
      <c r="B103" s="3781"/>
      <c r="C103" s="3090" t="s">
        <v>2713</v>
      </c>
      <c r="D103" s="3090" t="s">
        <v>2714</v>
      </c>
      <c r="E103" s="3116">
        <v>0.1</v>
      </c>
      <c r="F103" s="3116">
        <v>15</v>
      </c>
    </row>
    <row r="104" spans="1:6" ht="24">
      <c r="A104" s="3116">
        <v>32</v>
      </c>
      <c r="B104" s="3781"/>
      <c r="C104" s="3090" t="s">
        <v>2715</v>
      </c>
      <c r="D104" s="3090" t="s">
        <v>2716</v>
      </c>
      <c r="E104" s="3116">
        <v>0.1</v>
      </c>
      <c r="F104" s="3116">
        <v>15</v>
      </c>
    </row>
    <row r="105" spans="1:6" ht="24">
      <c r="A105" s="3116">
        <v>33</v>
      </c>
      <c r="B105" s="3781"/>
      <c r="C105" s="3090" t="s">
        <v>2717</v>
      </c>
      <c r="D105" s="3090" t="s">
        <v>2718</v>
      </c>
      <c r="E105" s="3116">
        <v>0.1</v>
      </c>
      <c r="F105" s="3116">
        <v>15</v>
      </c>
    </row>
    <row r="106" spans="1:6" ht="24">
      <c r="A106" s="3116">
        <v>34</v>
      </c>
      <c r="B106" s="3790"/>
      <c r="C106" s="3090" t="s">
        <v>2719</v>
      </c>
      <c r="D106" s="3090" t="s">
        <v>2720</v>
      </c>
      <c r="E106" s="3116">
        <v>0.1</v>
      </c>
      <c r="F106" s="3116">
        <v>15</v>
      </c>
    </row>
    <row r="107" spans="1:6" ht="24">
      <c r="A107" s="3116">
        <v>35</v>
      </c>
      <c r="B107" s="3786" t="s">
        <v>2721</v>
      </c>
      <c r="C107" s="3116" t="s">
        <v>2722</v>
      </c>
      <c r="D107" s="3090" t="s">
        <v>2723</v>
      </c>
      <c r="E107" s="3116">
        <v>0.15</v>
      </c>
      <c r="F107" s="3116">
        <v>20</v>
      </c>
    </row>
    <row r="108" spans="1:6" ht="13.5">
      <c r="A108" s="3116">
        <v>36</v>
      </c>
      <c r="B108" s="3781"/>
      <c r="C108" s="3116" t="s">
        <v>2724</v>
      </c>
      <c r="D108" s="3090" t="s">
        <v>2725</v>
      </c>
      <c r="E108" s="3116">
        <v>0.15</v>
      </c>
      <c r="F108" s="3116">
        <v>20</v>
      </c>
    </row>
    <row r="109" spans="1:6" ht="13.5">
      <c r="A109" s="3116">
        <v>37</v>
      </c>
      <c r="B109" s="3781"/>
      <c r="C109" s="3116" t="s">
        <v>2726</v>
      </c>
      <c r="D109" s="3090" t="s">
        <v>2727</v>
      </c>
      <c r="E109" s="3116">
        <v>0.15</v>
      </c>
      <c r="F109" s="3116">
        <v>20</v>
      </c>
    </row>
    <row r="110" spans="1:6" ht="13.5">
      <c r="A110" s="3116">
        <v>38</v>
      </c>
      <c r="B110" s="3781"/>
      <c r="C110" s="3116" t="s">
        <v>2728</v>
      </c>
      <c r="D110" s="3090" t="s">
        <v>2729</v>
      </c>
      <c r="E110" s="3116">
        <v>0.1</v>
      </c>
      <c r="F110" s="3116">
        <v>15</v>
      </c>
    </row>
    <row r="111" spans="1:6" ht="24">
      <c r="A111" s="3116">
        <v>39</v>
      </c>
      <c r="B111" s="3781"/>
      <c r="C111" s="3116" t="s">
        <v>2730</v>
      </c>
      <c r="D111" s="3090" t="s">
        <v>2731</v>
      </c>
      <c r="E111" s="3116">
        <v>0.1</v>
      </c>
      <c r="F111" s="3116">
        <v>15</v>
      </c>
    </row>
    <row r="112" spans="1:6" ht="24">
      <c r="A112" s="3116">
        <v>40</v>
      </c>
      <c r="B112" s="3790"/>
      <c r="C112" s="3116" t="s">
        <v>2732</v>
      </c>
      <c r="D112" s="3090" t="s">
        <v>2733</v>
      </c>
      <c r="E112" s="3116">
        <v>0.1</v>
      </c>
      <c r="F112" s="3116">
        <v>15</v>
      </c>
    </row>
    <row r="113" spans="1:6" ht="13.5">
      <c r="A113" s="3116">
        <v>41</v>
      </c>
      <c r="B113" s="3791" t="s">
        <v>2734</v>
      </c>
      <c r="C113" s="3116" t="s">
        <v>2735</v>
      </c>
      <c r="D113" s="3090" t="s">
        <v>2736</v>
      </c>
      <c r="E113" s="3116">
        <v>0.1</v>
      </c>
      <c r="F113" s="3116">
        <v>15</v>
      </c>
    </row>
    <row r="114" spans="1:6" ht="13.5">
      <c r="A114" s="3116">
        <v>42</v>
      </c>
      <c r="B114" s="3791"/>
      <c r="C114" s="3116" t="s">
        <v>2737</v>
      </c>
      <c r="D114" s="3090" t="s">
        <v>2738</v>
      </c>
      <c r="E114" s="3116">
        <v>0.1</v>
      </c>
      <c r="F114" s="3116">
        <v>15</v>
      </c>
    </row>
    <row r="115" spans="1:6" ht="24">
      <c r="A115" s="3116">
        <v>43</v>
      </c>
      <c r="B115" s="3791"/>
      <c r="C115" s="3116" t="s">
        <v>2739</v>
      </c>
      <c r="D115" s="3090" t="s">
        <v>2740</v>
      </c>
      <c r="E115" s="3116">
        <v>0.1</v>
      </c>
      <c r="F115" s="3116">
        <v>15</v>
      </c>
    </row>
    <row r="116" spans="1:6" ht="13.5">
      <c r="A116" s="3116">
        <v>44</v>
      </c>
      <c r="B116" s="3786" t="s">
        <v>2741</v>
      </c>
      <c r="C116" s="3116" t="s">
        <v>2742</v>
      </c>
      <c r="D116" s="3090" t="s">
        <v>2743</v>
      </c>
      <c r="E116" s="3116">
        <v>0.1</v>
      </c>
      <c r="F116" s="3116">
        <v>15</v>
      </c>
    </row>
    <row r="117" spans="1:6" ht="24">
      <c r="A117" s="3116">
        <v>45</v>
      </c>
      <c r="B117" s="3790"/>
      <c r="C117" s="3090" t="s">
        <v>2744</v>
      </c>
      <c r="D117" s="3090" t="s">
        <v>2745</v>
      </c>
      <c r="E117" s="3116">
        <v>0.1</v>
      </c>
      <c r="F117" s="3116">
        <v>15</v>
      </c>
    </row>
    <row r="118" spans="1:6" ht="24">
      <c r="A118" s="3116">
        <v>46</v>
      </c>
      <c r="B118" s="3786" t="s">
        <v>2746</v>
      </c>
      <c r="C118" s="3116" t="s">
        <v>2747</v>
      </c>
      <c r="D118" s="3090" t="s">
        <v>2748</v>
      </c>
      <c r="E118" s="3116">
        <v>0.1</v>
      </c>
      <c r="F118" s="3116">
        <v>15</v>
      </c>
    </row>
    <row r="119" spans="1:6" ht="24">
      <c r="A119" s="3116">
        <v>47</v>
      </c>
      <c r="B119" s="3790"/>
      <c r="C119" s="3116" t="s">
        <v>2749</v>
      </c>
      <c r="D119" s="3090" t="s">
        <v>2750</v>
      </c>
      <c r="E119" s="3116">
        <v>0.1</v>
      </c>
      <c r="F119" s="3116">
        <v>15</v>
      </c>
    </row>
    <row r="120" spans="1:6" ht="13.5">
      <c r="A120" s="3116">
        <v>48</v>
      </c>
      <c r="B120" s="3786" t="s">
        <v>2751</v>
      </c>
      <c r="C120" s="3116" t="s">
        <v>2752</v>
      </c>
      <c r="D120" s="3090" t="s">
        <v>2753</v>
      </c>
      <c r="E120" s="3116">
        <v>0.1</v>
      </c>
      <c r="F120" s="3116">
        <v>15</v>
      </c>
    </row>
    <row r="121" spans="1:6" ht="13.5">
      <c r="A121" s="3116">
        <v>49</v>
      </c>
      <c r="B121" s="3790"/>
      <c r="C121" s="3116" t="s">
        <v>2754</v>
      </c>
      <c r="D121" s="3090" t="s">
        <v>2755</v>
      </c>
      <c r="E121" s="3116">
        <v>0.1</v>
      </c>
      <c r="F121" s="3116">
        <v>15</v>
      </c>
    </row>
    <row r="122" spans="1:6" ht="24">
      <c r="A122" s="3116">
        <v>50</v>
      </c>
      <c r="B122" s="3791" t="s">
        <v>2756</v>
      </c>
      <c r="C122" s="3116" t="s">
        <v>2757</v>
      </c>
      <c r="D122" s="3090" t="s">
        <v>2758</v>
      </c>
      <c r="E122" s="3116">
        <v>0.1</v>
      </c>
      <c r="F122" s="3116">
        <v>15</v>
      </c>
    </row>
    <row r="123" spans="1:6" ht="24">
      <c r="A123" s="3116">
        <v>51</v>
      </c>
      <c r="B123" s="3791"/>
      <c r="C123" s="3116" t="s">
        <v>2759</v>
      </c>
      <c r="D123" s="3090" t="s">
        <v>2760</v>
      </c>
      <c r="E123" s="3116">
        <v>0.1</v>
      </c>
      <c r="F123" s="3116">
        <v>15</v>
      </c>
    </row>
    <row r="124" spans="1:6" ht="24">
      <c r="A124" s="3116">
        <v>52</v>
      </c>
      <c r="B124" s="3791" t="s">
        <v>2761</v>
      </c>
      <c r="C124" s="3116" t="s">
        <v>2762</v>
      </c>
      <c r="D124" s="3090" t="s">
        <v>2763</v>
      </c>
      <c r="E124" s="3116">
        <v>0.1</v>
      </c>
      <c r="F124" s="3116">
        <v>15</v>
      </c>
    </row>
    <row r="125" spans="1:6" ht="24">
      <c r="A125" s="3116">
        <v>53</v>
      </c>
      <c r="B125" s="379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1" t="s">
        <v>2769</v>
      </c>
      <c r="C127" s="3116" t="s">
        <v>2770</v>
      </c>
      <c r="D127" s="3090" t="s">
        <v>2771</v>
      </c>
      <c r="E127" s="3116">
        <v>0.1</v>
      </c>
      <c r="F127" s="3116">
        <v>15</v>
      </c>
    </row>
    <row r="128" spans="1:6" ht="13.5">
      <c r="A128" s="3116">
        <v>56</v>
      </c>
      <c r="B128" s="3791"/>
      <c r="C128" s="3116" t="s">
        <v>2772</v>
      </c>
      <c r="D128" s="3090" t="s">
        <v>2773</v>
      </c>
      <c r="E128" s="3116">
        <v>0.1</v>
      </c>
      <c r="F128" s="3116">
        <v>15</v>
      </c>
    </row>
    <row r="129" spans="1:6" ht="24">
      <c r="A129" s="3116">
        <v>57</v>
      </c>
      <c r="B129" s="3791"/>
      <c r="C129" s="3116" t="s">
        <v>2774</v>
      </c>
      <c r="D129" s="3090" t="s">
        <v>2775</v>
      </c>
      <c r="E129" s="3116">
        <v>0.1</v>
      </c>
      <c r="F129" s="3116">
        <v>15</v>
      </c>
    </row>
    <row r="130" spans="1:6" ht="24">
      <c r="A130" s="3116">
        <v>58</v>
      </c>
      <c r="B130" s="3791" t="s">
        <v>2776</v>
      </c>
      <c r="C130" s="3116" t="s">
        <v>2777</v>
      </c>
      <c r="D130" s="3090" t="s">
        <v>2778</v>
      </c>
      <c r="E130" s="3116">
        <v>0.1</v>
      </c>
      <c r="F130" s="3116">
        <v>15</v>
      </c>
    </row>
    <row r="131" spans="1:6" ht="13.5">
      <c r="A131" s="3116">
        <v>59</v>
      </c>
      <c r="B131" s="3791"/>
      <c r="C131" s="3116" t="s">
        <v>2779</v>
      </c>
      <c r="D131" s="3090" t="s">
        <v>2780</v>
      </c>
      <c r="E131" s="3116">
        <v>0.1</v>
      </c>
      <c r="F131" s="3116">
        <v>15</v>
      </c>
    </row>
    <row r="132" spans="1:6" ht="13.5">
      <c r="A132" s="3116">
        <v>60</v>
      </c>
      <c r="B132" s="3786" t="s">
        <v>2781</v>
      </c>
      <c r="C132" s="3116" t="s">
        <v>2782</v>
      </c>
      <c r="D132" s="3090" t="s">
        <v>2783</v>
      </c>
      <c r="E132" s="3116">
        <v>0.1</v>
      </c>
      <c r="F132" s="3116">
        <v>15</v>
      </c>
    </row>
    <row r="133" spans="1:6" ht="13.5">
      <c r="A133" s="3116">
        <v>61</v>
      </c>
      <c r="B133" s="379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1" t="s">
        <v>2789</v>
      </c>
      <c r="C135" s="3116" t="s">
        <v>2790</v>
      </c>
      <c r="D135" s="3090" t="s">
        <v>2791</v>
      </c>
      <c r="E135" s="3116">
        <v>0.1</v>
      </c>
      <c r="F135" s="3116">
        <v>15</v>
      </c>
    </row>
    <row r="136" spans="1:6" ht="13.5">
      <c r="A136" s="3116">
        <v>64</v>
      </c>
      <c r="B136" s="379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28143</v>
      </c>
      <c r="C2" s="2" t="s">
        <v>106</v>
      </c>
      <c r="D2" s="199"/>
      <c r="E2" s="199"/>
      <c r="F2" s="199"/>
      <c r="G2" s="199"/>
    </row>
    <row r="3" spans="1:7" s="200" customFormat="1" ht="18" customHeight="1" thickBot="1">
      <c r="A3" s="203" t="s">
        <v>58</v>
      </c>
      <c r="B3" s="204">
        <f ca="1">ROUND(B2*10000/'数据-汇总表'!E3,0)</f>
        <v>4071615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69.12</v>
      </c>
      <c r="E9" s="225">
        <f>'数据-取费表'!B27</f>
        <v>165</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5.6500000000000002E-2</v>
      </c>
      <c r="D30" s="236" t="s">
        <v>100</v>
      </c>
      <c r="E30" s="241"/>
      <c r="F30" s="237">
        <f>'数据-取费表'!B41</f>
        <v>5.6500000000000002E-2</v>
      </c>
      <c r="G30" s="234" t="s">
        <v>86</v>
      </c>
    </row>
    <row r="31" spans="1:7" ht="16.5" customHeight="1">
      <c r="A31" s="209">
        <v>1</v>
      </c>
      <c r="B31" s="210" t="s">
        <v>101</v>
      </c>
      <c r="C31" s="211">
        <f ca="1">ROUND((C5+C19+C20+C22+C27)/(1-C21-D22-D27-C30/(1+'数据-取费表'!B42)),0)</f>
        <v>28121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69.12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8.0000000000000004E-4</v>
      </c>
      <c r="D44" s="238"/>
      <c r="E44" s="238"/>
      <c r="F44" s="239"/>
      <c r="G44" s="3658"/>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5.6500000000000002E-2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28143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106</v>
      </c>
      <c r="E5" s="1490"/>
    </row>
    <row r="6" spans="1:5" ht="15.75">
      <c r="A6" s="1490"/>
      <c r="B6" s="3475"/>
      <c r="C6" s="1493" t="s">
        <v>911</v>
      </c>
      <c r="D6" s="850" t="str">
        <f ca="1">NUMBERSTRING(INT(D5*10000),2)&amp;"元整"</f>
        <v>壹佰零陆万元整</v>
      </c>
      <c r="E6" s="1490"/>
    </row>
    <row r="7" spans="1:5" ht="15.75">
      <c r="A7" s="1490"/>
      <c r="B7" s="3480"/>
      <c r="C7" s="1494" t="s">
        <v>912</v>
      </c>
      <c r="D7" s="851">
        <f ca="1">结果表!H102</f>
        <v>15344</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106</v>
      </c>
      <c r="E13" s="1490"/>
    </row>
    <row r="14" spans="1:5" ht="15.75">
      <c r="A14" s="1490"/>
      <c r="B14" s="3475"/>
      <c r="C14" s="1493" t="s">
        <v>911</v>
      </c>
      <c r="D14" s="850" t="str">
        <f ca="1">NUMBERSTRING(INT(D13*10000),2)&amp;"元整"</f>
        <v>壹佰零陆万元整</v>
      </c>
      <c r="E14" s="1490"/>
    </row>
    <row r="15" spans="1:5" ht="15">
      <c r="A15" s="1490"/>
      <c r="B15" s="3480"/>
      <c r="C15" s="1494" t="s">
        <v>921</v>
      </c>
      <c r="D15" s="859">
        <f ca="1">结果表!H108</f>
        <v>15344</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6" t="s">
        <v>3185</v>
      </c>
      <c r="B1" s="379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7" t="s">
        <v>3236</v>
      </c>
      <c r="B1" s="3797"/>
      <c r="C1" s="3797"/>
      <c r="D1" s="3797"/>
      <c r="E1" s="3797"/>
      <c r="F1" s="379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44942</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2310</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D37" sqref="D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1">
        <f ca="1">J53</f>
        <v>70</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f ca="1">ROUND(D2/10000,4)</f>
        <v>27.8993</v>
      </c>
      <c r="C2" s="1386" t="s">
        <v>879</v>
      </c>
      <c r="D2" s="1470">
        <f ca="1">C40+J29+L46</f>
        <v>278993</v>
      </c>
      <c r="E2" s="1387" t="s">
        <v>880</v>
      </c>
      <c r="F2" s="1388"/>
      <c r="G2" s="2704"/>
      <c r="H2" s="2693"/>
      <c r="I2" s="2693"/>
      <c r="J2" s="2693"/>
      <c r="K2" s="2694"/>
      <c r="L2" s="2693"/>
      <c r="M2" s="2693"/>
    </row>
    <row r="3" spans="1:37" ht="18" customHeight="1" thickBot="1">
      <c r="A3" s="1389" t="s">
        <v>881</v>
      </c>
      <c r="B3" s="1390">
        <f ca="1">IF(ISERROR(D2/F43),0,ROUND(D2/F43,0))</f>
        <v>4036</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17302</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17280</v>
      </c>
      <c r="D6" s="155" t="s">
        <v>2103</v>
      </c>
      <c r="E6" s="302" t="s">
        <v>696</v>
      </c>
      <c r="F6" s="303">
        <f ca="1">INDIRECT("'数据-取费表'!u"&amp;$G$1)</f>
        <v>1600</v>
      </c>
      <c r="G6" s="1383"/>
      <c r="H6" s="1068" t="s">
        <v>398</v>
      </c>
      <c r="I6" s="3661" t="s">
        <v>694</v>
      </c>
      <c r="J6" s="301">
        <f ca="1">ROUND(M6*M8*M7*(1-M9),0)</f>
        <v>0</v>
      </c>
      <c r="K6" s="1375" t="s">
        <v>2104</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1</v>
      </c>
      <c r="G7" s="1383"/>
      <c r="H7" s="304"/>
      <c r="I7" s="3662"/>
      <c r="J7" s="306"/>
      <c r="K7" s="307"/>
      <c r="L7" s="302" t="s">
        <v>697</v>
      </c>
      <c r="M7" s="303">
        <f ca="1">F7</f>
        <v>1</v>
      </c>
    </row>
    <row r="8" spans="1:37" ht="18" customHeight="1">
      <c r="A8" s="304"/>
      <c r="B8" s="3662"/>
      <c r="C8" s="306"/>
      <c r="D8" s="307"/>
      <c r="E8" s="302" t="s">
        <v>698</v>
      </c>
      <c r="F8" s="303">
        <f ca="1">INDIRECT("'数据-取费表'!ai"&amp;$G$1)</f>
        <v>12</v>
      </c>
      <c r="G8" s="1383"/>
      <c r="H8" s="304"/>
      <c r="I8" s="3662"/>
      <c r="J8" s="306"/>
      <c r="K8" s="307"/>
      <c r="L8" s="302" t="s">
        <v>698</v>
      </c>
      <c r="M8" s="303">
        <f ca="1">INDIRECT("'数据-取费表'!ai"&amp;$G$1)</f>
        <v>12</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22</v>
      </c>
      <c r="D10" s="1365" t="s">
        <v>2113</v>
      </c>
      <c r="E10" s="313" t="s">
        <v>701</v>
      </c>
      <c r="F10" s="1115" t="s">
        <v>3437</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222167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207360</v>
      </c>
      <c r="D14" s="1344" t="s">
        <v>708</v>
      </c>
      <c r="E14" s="1341"/>
      <c r="F14" s="319"/>
      <c r="G14" s="1383"/>
      <c r="H14" s="982" t="s">
        <v>398</v>
      </c>
      <c r="I14" s="302" t="s">
        <v>709</v>
      </c>
      <c r="J14" s="21">
        <f ca="1">C29</f>
        <v>317382</v>
      </c>
      <c r="K14" s="12"/>
      <c r="L14" s="807"/>
      <c r="M14" s="808"/>
    </row>
    <row r="15" spans="1:37" s="1396" customFormat="1" ht="18" customHeight="1" thickBot="1">
      <c r="A15" s="982" t="s">
        <v>399</v>
      </c>
      <c r="B15" s="302" t="s">
        <v>710</v>
      </c>
      <c r="C15" s="21">
        <f ca="1">ROUND(C14*F15,0)</f>
        <v>6221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10368</v>
      </c>
      <c r="D16" s="302" t="s">
        <v>711</v>
      </c>
      <c r="E16" s="302" t="s">
        <v>712</v>
      </c>
      <c r="F16" s="322">
        <f ca="1">IF(INDIRECT("'数据-取费表'!c"&amp;$G$1)="住宅",'数据-取费表'!B34,0)</f>
        <v>0.05</v>
      </c>
      <c r="G16" s="1383"/>
      <c r="H16" s="1078" t="s">
        <v>393</v>
      </c>
      <c r="I16" s="1079" t="s">
        <v>714</v>
      </c>
      <c r="J16" s="310">
        <f ca="1">ROUND(J17+J22+J23+J24,0)</f>
        <v>3221</v>
      </c>
      <c r="K16" s="1086" t="s">
        <v>715</v>
      </c>
      <c r="L16" s="1087"/>
      <c r="M16" s="1071"/>
    </row>
    <row r="17" spans="1:37" s="1396" customFormat="1" ht="18" customHeight="1">
      <c r="A17" s="982" t="s">
        <v>681</v>
      </c>
      <c r="B17" s="302" t="s">
        <v>716</v>
      </c>
      <c r="C17" s="21">
        <f ca="1">ROUND(F17*(F43+INDIRECT("'数据-取费表'!S"&amp;$G$1)),0)</f>
        <v>13824</v>
      </c>
      <c r="D17" s="302" t="s">
        <v>717</v>
      </c>
      <c r="E17" s="302" t="s">
        <v>718</v>
      </c>
      <c r="F17" s="23">
        <f>'数据-取费表'!B35</f>
        <v>200</v>
      </c>
      <c r="G17" s="1395"/>
      <c r="H17" s="982" t="s">
        <v>398</v>
      </c>
      <c r="I17" s="302" t="s">
        <v>719</v>
      </c>
      <c r="J17" s="2314">
        <f ca="1">ROUND(IF(AND(项目基本情况!B11="自然人",项目基本情况!B10="北京市"),J6*M17/(1+'数据-取费表'!C42),J18+J19+J20),0)</f>
        <v>47</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3110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5.6500000000000002E-2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240883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4818</v>
      </c>
      <c r="D20" s="323" t="s">
        <v>729</v>
      </c>
      <c r="E20" s="302" t="s">
        <v>712</v>
      </c>
      <c r="F20" s="322">
        <f>'数据-取费表'!B37</f>
        <v>0.02</v>
      </c>
      <c r="G20" s="1395"/>
      <c r="H20" s="982" t="s">
        <v>680</v>
      </c>
      <c r="I20" s="155" t="s">
        <v>730</v>
      </c>
      <c r="J20" s="22">
        <f ca="1">ROUND(M20*M21,0)</f>
        <v>47</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4.7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3174</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10197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-3221</v>
      </c>
      <c r="K25" s="1094" t="s">
        <v>753</v>
      </c>
      <c r="L25" s="1095"/>
      <c r="M25" s="1096"/>
    </row>
    <row r="26" spans="1:37" ht="18" customHeight="1">
      <c r="A26" s="982" t="s">
        <v>397</v>
      </c>
      <c r="B26" s="302" t="s">
        <v>754</v>
      </c>
      <c r="C26" s="21">
        <f ca="1">ROUND((C19+C20)*F26,0)</f>
        <v>36855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5.3800000000000001E-2</v>
      </c>
      <c r="D28" s="323" t="s">
        <v>765</v>
      </c>
      <c r="E28" s="302" t="s">
        <v>712</v>
      </c>
      <c r="F28" s="322">
        <f>'数据-取费表'!B41</f>
        <v>5.6500000000000002E-2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317382</v>
      </c>
      <c r="D29" s="1091"/>
      <c r="E29" s="1089"/>
      <c r="F29" s="1092"/>
      <c r="G29" s="1395"/>
      <c r="H29" s="334" t="s">
        <v>396</v>
      </c>
      <c r="I29" s="335" t="s">
        <v>768</v>
      </c>
      <c r="J29" s="336">
        <f ca="1">ROUND(J26/(1+F40)^F41,0)</f>
        <v>0</v>
      </c>
      <c r="K29" s="337" t="s">
        <v>769</v>
      </c>
      <c r="L29" s="338"/>
      <c r="M29" s="339">
        <f ca="1">INDIRECT("'数据-取费表'!k"&amp;$G$1)</f>
        <v>69.12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6521</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2952</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IF(项目基本情况!B11="自然人","——",ROUND(C6*F32/(1+'数据-取费表'!C42),0))</f>
        <v>930</v>
      </c>
      <c r="D32" s="1343" t="s">
        <v>724</v>
      </c>
      <c r="E32" s="302" t="s">
        <v>712</v>
      </c>
      <c r="F32" s="331">
        <f>'数据-取费表'!B41</f>
        <v>5.6500000000000002E-2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1975</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47</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4.7</v>
      </c>
      <c r="G35" s="1383"/>
      <c r="H35" s="2695"/>
      <c r="I35" s="1397"/>
      <c r="J35" s="1398"/>
      <c r="K35" s="2699"/>
      <c r="L35" s="2698"/>
      <c r="M35" s="2698"/>
    </row>
    <row r="36" spans="1:18" ht="18" customHeight="1">
      <c r="A36" s="1101" t="s">
        <v>402</v>
      </c>
      <c r="B36" s="302" t="s">
        <v>738</v>
      </c>
      <c r="C36" s="21">
        <f ca="1">ROUND(C29*F36,0)</f>
        <v>3174</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222</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173</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10781</v>
      </c>
      <c r="D39" s="1094" t="s">
        <v>773</v>
      </c>
      <c r="E39" s="1095"/>
      <c r="F39" s="1096"/>
      <c r="G39" s="1383"/>
      <c r="H39" s="2698"/>
      <c r="I39" s="1397"/>
      <c r="J39" s="1398"/>
      <c r="K39" s="2702"/>
      <c r="L39" s="2698"/>
      <c r="M39" s="2698"/>
    </row>
    <row r="40" spans="1:18" ht="18" customHeight="1">
      <c r="A40" s="299" t="s">
        <v>395</v>
      </c>
      <c r="B40" s="300" t="s">
        <v>774</v>
      </c>
      <c r="C40" s="301">
        <f ca="1">ROUND(C39*(1-((1+F42)/(1+F40))^F41)/(F40-F42),0)</f>
        <v>278993</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70</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4036</v>
      </c>
      <c r="D43" s="337" t="s">
        <v>777</v>
      </c>
      <c r="E43" s="338" t="s">
        <v>778</v>
      </c>
      <c r="F43" s="339">
        <f ca="1">INDIRECT("'数据-取费表'!k"&amp;$G$1)</f>
        <v>69.12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3356</v>
      </c>
      <c r="B45" s="1399"/>
      <c r="C45" s="1471">
        <f ca="1">ROUND((C68-C40)/10000,4)</f>
        <v>-34.011800000000001</v>
      </c>
      <c r="D45" s="3430" t="s">
        <v>3357</v>
      </c>
      <c r="E45" s="1399"/>
      <c r="F45" s="1399"/>
      <c r="O45" s="1402" t="s">
        <v>808</v>
      </c>
      <c r="P45" s="1460"/>
      <c r="Q45" s="1460"/>
      <c r="R45" s="1460"/>
    </row>
    <row r="46" spans="1:18" s="1383" customFormat="1" ht="13.5" thickBot="1">
      <c r="A46" s="1403" t="s">
        <v>809</v>
      </c>
      <c r="C46" s="1404">
        <f ca="1">ROUND(C45,0)</f>
        <v>-34</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3438</v>
      </c>
      <c r="K47" s="1415" t="s">
        <v>816</v>
      </c>
      <c r="L47" s="1416">
        <f ca="1">INDIRECT("'数据-取费表'!d"&amp;$G$1)</f>
        <v>70</v>
      </c>
      <c r="M47" s="1379" t="str">
        <f>IF(ISNUMBER(FIND("住宅",C1)),"住宅","非住宅")</f>
        <v>住宅</v>
      </c>
      <c r="O47" s="1417" t="s">
        <v>403</v>
      </c>
      <c r="P47" s="1418" t="s">
        <v>817</v>
      </c>
      <c r="Q47" s="1419">
        <f ca="1">C40+J29</f>
        <v>278993</v>
      </c>
      <c r="R47" s="1419" t="s">
        <v>818</v>
      </c>
    </row>
    <row r="48" spans="1:18" s="1383" customFormat="1" ht="28.5" thickBot="1">
      <c r="A48" s="1109" t="s">
        <v>438</v>
      </c>
      <c r="B48" s="300" t="s">
        <v>692</v>
      </c>
      <c r="C48" s="1358">
        <f ca="1">C49+C53+C55</f>
        <v>0</v>
      </c>
      <c r="D48" s="1111"/>
      <c r="E48" s="1112"/>
      <c r="F48" s="962"/>
      <c r="G48" s="722"/>
      <c r="H48" s="723"/>
      <c r="I48" s="1420" t="s">
        <v>819</v>
      </c>
      <c r="J48" s="1421" t="s">
        <v>3439</v>
      </c>
      <c r="K48" s="1422" t="s">
        <v>820</v>
      </c>
      <c r="L48" s="1423">
        <f ca="1">INDIRECT("'数据-取费表'!f"&amp;$G$1)</f>
        <v>70</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1998</v>
      </c>
      <c r="K49" s="1422" t="s">
        <v>824</v>
      </c>
      <c r="L49" s="1426"/>
      <c r="O49" s="1427" t="s">
        <v>405</v>
      </c>
      <c r="P49" s="1418" t="s">
        <v>825</v>
      </c>
      <c r="Q49" s="1419">
        <f ca="1">C29</f>
        <v>317382</v>
      </c>
      <c r="R49" s="1419" t="s">
        <v>818</v>
      </c>
    </row>
    <row r="50" spans="1:18" s="1383" customFormat="1" ht="13.5" thickBot="1">
      <c r="A50" s="976"/>
      <c r="B50" s="979"/>
      <c r="C50" s="980"/>
      <c r="D50" s="953"/>
      <c r="E50" s="1055" t="s">
        <v>697</v>
      </c>
      <c r="F50" s="1056">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35</v>
      </c>
      <c r="K51" s="1433" t="s">
        <v>830</v>
      </c>
      <c r="L51" s="1434">
        <f ca="1">ROUND(-PV(INDIRECT("'数据-取费表'!h"&amp;$G$1),J51,(C39-C13*C76),0),0)</f>
        <v>-78116</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70</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70</v>
      </c>
      <c r="K53" s="3659" t="s">
        <v>837</v>
      </c>
      <c r="L53" s="3660"/>
      <c r="O53" s="1417" t="s">
        <v>409</v>
      </c>
      <c r="P53" s="1418" t="s">
        <v>838</v>
      </c>
      <c r="Q53" s="1419">
        <f ca="1">Q47+Q48</f>
        <v>278993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222167</v>
      </c>
      <c r="D56" s="1446"/>
      <c r="E56" s="1447"/>
      <c r="F56" s="1439"/>
      <c r="I56" s="1448" t="s">
        <v>842</v>
      </c>
      <c r="J56" s="1449" t="s">
        <v>3381</v>
      </c>
      <c r="K56" s="1420" t="s">
        <v>843</v>
      </c>
      <c r="L56" s="1423">
        <f ca="1">IF(L48&lt;J51,"——",L48-J51)</f>
        <v>35</v>
      </c>
      <c r="O56" s="1417" t="s">
        <v>403</v>
      </c>
      <c r="P56" s="1418" t="s">
        <v>817</v>
      </c>
      <c r="Q56" s="1419">
        <f ca="1">C40+J29</f>
        <v>278993</v>
      </c>
      <c r="R56" s="1419" t="s">
        <v>818</v>
      </c>
    </row>
    <row r="57" spans="1:18" s="1383" customFormat="1" ht="24.75" thickBot="1">
      <c r="A57" s="1450"/>
      <c r="B57" s="950" t="s">
        <v>767</v>
      </c>
      <c r="C57" s="238">
        <f ca="1">C29</f>
        <v>317382</v>
      </c>
      <c r="D57" s="1451"/>
      <c r="E57" s="1452"/>
      <c r="F57" s="1453"/>
      <c r="I57" s="1454" t="s">
        <v>844</v>
      </c>
      <c r="J57" s="1455" t="str">
        <f ca="1">IF(OR(M47="住宅",J51&lt;L48,J56="是"),"——",J51-L48)</f>
        <v>——</v>
      </c>
      <c r="K57" s="1420" t="s">
        <v>892</v>
      </c>
      <c r="L57" s="1423">
        <f ca="1">IF(L48&lt;J51,"——",IF(L55="比较法",L49,IF(L55="基准地价",L50,L51)))</f>
        <v>-78116</v>
      </c>
      <c r="O57" s="1417" t="s">
        <v>404</v>
      </c>
      <c r="P57" s="1418" t="s">
        <v>893</v>
      </c>
      <c r="Q57" s="1419">
        <f ca="1">L60</f>
        <v>0</v>
      </c>
      <c r="R57" s="1419" t="s">
        <v>894</v>
      </c>
    </row>
    <row r="58" spans="1:18" s="1383" customFormat="1" ht="24.75" thickBot="1">
      <c r="A58" s="315" t="s">
        <v>393</v>
      </c>
      <c r="B58" s="958" t="s">
        <v>714</v>
      </c>
      <c r="C58" s="316">
        <f ca="1">ROUND(C59+C64+C65+C66,0)</f>
        <v>3443</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47</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5.6500000000000002E-2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47</v>
      </c>
      <c r="D62" s="965" t="s">
        <v>786</v>
      </c>
      <c r="E62" s="950" t="s">
        <v>787</v>
      </c>
      <c r="F62" s="325">
        <f t="shared" si="0"/>
        <v>10</v>
      </c>
      <c r="I62" s="1461" t="s">
        <v>858</v>
      </c>
      <c r="J62" s="1462" t="s">
        <v>859</v>
      </c>
      <c r="K62" s="1462" t="s">
        <v>860</v>
      </c>
      <c r="L62" s="1462" t="s">
        <v>861</v>
      </c>
      <c r="M62" s="1463" t="s">
        <v>862</v>
      </c>
      <c r="O62" s="1417" t="s">
        <v>409</v>
      </c>
      <c r="P62" s="1418" t="s">
        <v>863</v>
      </c>
      <c r="Q62" s="1419">
        <f ca="1">Q56+Q57</f>
        <v>278993</v>
      </c>
      <c r="R62" s="1419" t="s">
        <v>410</v>
      </c>
    </row>
    <row r="63" spans="1:18" s="1383" customFormat="1" ht="13.5" thickBot="1">
      <c r="A63" s="326"/>
      <c r="B63" s="956"/>
      <c r="C63" s="26"/>
      <c r="D63" s="966"/>
      <c r="E63" s="950" t="s">
        <v>788</v>
      </c>
      <c r="F63" s="303">
        <f t="shared" ca="1" si="0"/>
        <v>4.7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3174</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222</v>
      </c>
      <c r="D65" s="964" t="s">
        <v>743</v>
      </c>
      <c r="E65" s="950" t="s">
        <v>744</v>
      </c>
      <c r="F65" s="330">
        <f t="shared" ca="1" si="0"/>
        <v>1E-3</v>
      </c>
      <c r="I65" s="1461" t="s">
        <v>867</v>
      </c>
      <c r="J65" s="1462">
        <v>40</v>
      </c>
      <c r="K65" s="1462">
        <v>30</v>
      </c>
      <c r="L65" s="1462">
        <v>50</v>
      </c>
      <c r="M65" s="1464">
        <v>0.02</v>
      </c>
      <c r="O65" s="1417" t="s">
        <v>403</v>
      </c>
      <c r="P65" s="1418" t="s">
        <v>868</v>
      </c>
      <c r="Q65" s="1419">
        <f ca="1">C40+J29</f>
        <v>278993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-3443</v>
      </c>
      <c r="D67" s="963" t="s">
        <v>753</v>
      </c>
      <c r="E67" s="968"/>
      <c r="F67" s="969"/>
      <c r="O67" s="1427" t="s">
        <v>405</v>
      </c>
      <c r="P67" s="1418" t="s">
        <v>850</v>
      </c>
      <c r="Q67" s="1465">
        <f ca="1">L51</f>
        <v>-78116</v>
      </c>
      <c r="R67" s="1419" t="s">
        <v>870</v>
      </c>
    </row>
    <row r="68" spans="1:18" s="1383" customFormat="1" ht="16.5" thickBot="1">
      <c r="A68" s="947" t="s">
        <v>395</v>
      </c>
      <c r="B68" s="948" t="s">
        <v>774</v>
      </c>
      <c r="C68" s="301">
        <f ca="1">ROUND(C67*(1-((1+F70)/(1+F68))^F69)/(F68-F70),0)</f>
        <v>-61125</v>
      </c>
      <c r="D68" s="965" t="s">
        <v>758</v>
      </c>
      <c r="E68" s="950" t="s">
        <v>759</v>
      </c>
      <c r="F68" s="312">
        <f ca="1">F40</f>
        <v>5.5E-2</v>
      </c>
      <c r="O68" s="1427" t="s">
        <v>406</v>
      </c>
      <c r="P68" s="1466" t="s">
        <v>871</v>
      </c>
      <c r="Q68" s="1419">
        <f ca="1">ROUND(Q69-Q70*Q71,0)</f>
        <v>-4771</v>
      </c>
      <c r="R68" s="1419" t="s">
        <v>414</v>
      </c>
    </row>
    <row r="69" spans="1:18" s="1383" customFormat="1" ht="13.5" thickBot="1">
      <c r="A69" s="951"/>
      <c r="B69" s="952"/>
      <c r="C69" s="306"/>
      <c r="D69" s="970" t="s">
        <v>762</v>
      </c>
      <c r="E69" s="950" t="s">
        <v>763</v>
      </c>
      <c r="F69" s="333">
        <f ca="1">F41</f>
        <v>70</v>
      </c>
      <c r="O69" s="1427" t="s">
        <v>411</v>
      </c>
      <c r="P69" s="1466" t="s">
        <v>872</v>
      </c>
      <c r="Q69" s="1419">
        <f ca="1">C39</f>
        <v>10781</v>
      </c>
      <c r="R69" s="1419" t="s">
        <v>818</v>
      </c>
    </row>
    <row r="70" spans="1:18" s="1383" customFormat="1" ht="13.5" thickBot="1">
      <c r="A70" s="954"/>
      <c r="B70" s="955"/>
      <c r="C70" s="310"/>
      <c r="D70" s="966"/>
      <c r="E70" s="950" t="s">
        <v>766</v>
      </c>
      <c r="F70" s="1053"/>
      <c r="O70" s="1427" t="s">
        <v>412</v>
      </c>
      <c r="P70" s="1466" t="s">
        <v>873</v>
      </c>
      <c r="Q70" s="1419">
        <f ca="1">C13</f>
        <v>222167</v>
      </c>
      <c r="R70" s="1419" t="s">
        <v>818</v>
      </c>
    </row>
    <row r="71" spans="1:18" s="1383" customFormat="1" ht="13.5" thickBot="1">
      <c r="A71" s="971" t="s">
        <v>396</v>
      </c>
      <c r="B71" s="972" t="s">
        <v>776</v>
      </c>
      <c r="C71" s="336">
        <f ca="1">ROUND(C68/F71,0)</f>
        <v>-884</v>
      </c>
      <c r="D71" s="973" t="s">
        <v>777</v>
      </c>
      <c r="E71" s="974" t="s">
        <v>778</v>
      </c>
      <c r="F71" s="339">
        <f ca="1">F43</f>
        <v>69.12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15552</v>
      </c>
      <c r="D75" s="1383"/>
      <c r="E75" s="1383"/>
      <c r="F75" s="1383"/>
      <c r="K75" s="1401"/>
      <c r="L75" s="1383"/>
      <c r="O75" s="1417" t="s">
        <v>409</v>
      </c>
      <c r="P75" s="1418" t="s">
        <v>838</v>
      </c>
      <c r="Q75" s="1419">
        <f ca="1">Q65+Q66</f>
        <v>278993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-0.44300000000000006</v>
      </c>
    </row>
    <row r="80" spans="1:18">
      <c r="B80" s="340" t="s">
        <v>800</v>
      </c>
      <c r="C80" s="274">
        <f ca="1">ROUND(C75/C39,3)</f>
        <v>1.4430000000000001</v>
      </c>
    </row>
    <row r="81" spans="2:3">
      <c r="B81" s="270" t="s">
        <v>801</v>
      </c>
      <c r="C81" s="238"/>
    </row>
    <row r="82" spans="2:3">
      <c r="B82" s="273" t="s">
        <v>802</v>
      </c>
      <c r="C82" s="275">
        <f ca="1">1-C83</f>
        <v>0.20399999999999996</v>
      </c>
    </row>
    <row r="83" spans="2:3">
      <c r="B83" s="273" t="s">
        <v>803</v>
      </c>
      <c r="C83" s="274">
        <f ca="1">ROUND(C13/C40,3)</f>
        <v>0.79600000000000004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21" workbookViewId="0">
      <selection activeCell="I149" sqref="I149"/>
    </sheetView>
  </sheetViews>
  <sheetFormatPr defaultRowHeight="13.5"/>
  <sheetData>
    <row r="146" spans="2:8">
      <c r="C146" s="3448" t="s">
        <v>3415</v>
      </c>
      <c r="D146">
        <v>70</v>
      </c>
      <c r="E146">
        <v>15715</v>
      </c>
      <c r="F146" s="3448" t="s">
        <v>3416</v>
      </c>
      <c r="G146" s="3448" t="s">
        <v>3398</v>
      </c>
      <c r="H146" s="3448" t="s">
        <v>3399</v>
      </c>
    </row>
    <row r="147" spans="2:8">
      <c r="C147" t="str">
        <f>C146</f>
        <v>友爱南里</v>
      </c>
      <c r="D147">
        <v>71.83</v>
      </c>
      <c r="E147">
        <v>16011</v>
      </c>
      <c r="F147" s="3448" t="s">
        <v>3417</v>
      </c>
      <c r="G147" s="3448" t="s">
        <v>3418</v>
      </c>
      <c r="H147" s="3448" t="s">
        <v>3420</v>
      </c>
    </row>
    <row r="148" spans="2:8">
      <c r="C148" t="str">
        <f>C146</f>
        <v>友爱南里</v>
      </c>
      <c r="D148">
        <v>82.65</v>
      </c>
      <c r="E148">
        <v>15729</v>
      </c>
      <c r="F148" s="3448" t="s">
        <v>3380</v>
      </c>
      <c r="G148" s="3448" t="s">
        <v>3419</v>
      </c>
      <c r="H148" s="3448" t="s">
        <v>3399</v>
      </c>
    </row>
    <row r="155" spans="2:8">
      <c r="B155">
        <v>1</v>
      </c>
      <c r="C155" s="3448"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6"/>
      <c r="B3" s="3486"/>
      <c r="C3" s="3486"/>
      <c r="D3" s="854" t="s">
        <v>925</v>
      </c>
      <c r="E3" s="854" t="s">
        <v>931</v>
      </c>
      <c r="F3" s="854" t="s">
        <v>925</v>
      </c>
      <c r="G3" s="854" t="s">
        <v>926</v>
      </c>
      <c r="H3" s="854" t="s">
        <v>925</v>
      </c>
      <c r="I3" s="854" t="s">
        <v>926</v>
      </c>
    </row>
    <row r="4" spans="1:9" ht="15">
      <c r="A4" s="1504" t="str">
        <f>项目基本情况!S2</f>
        <v>房地产</v>
      </c>
      <c r="B4" s="854">
        <f>项目基本情况!C17</f>
        <v>69.12</v>
      </c>
      <c r="C4" s="854">
        <f>项目基本情况!C18</f>
        <v>4.7</v>
      </c>
      <c r="D4" s="854" t="e">
        <f ca="1">结果表!D118</f>
        <v>#REF!</v>
      </c>
      <c r="E4" s="854" t="e">
        <f ca="1">结果表!E118</f>
        <v>#REF!</v>
      </c>
      <c r="F4" s="854" t="e">
        <f ca="1">结果表!F118</f>
        <v>#REF!</v>
      </c>
      <c r="G4" s="854" t="e">
        <f ca="1">结果表!G118</f>
        <v>#REF!</v>
      </c>
      <c r="H4" s="854">
        <f ca="1">结果表!H118</f>
        <v>106</v>
      </c>
      <c r="I4" s="854">
        <f ca="1">结果表!I118</f>
        <v>15344</v>
      </c>
    </row>
    <row r="5" spans="1:9" ht="30" customHeight="1">
      <c r="A5" s="3486" t="s">
        <v>927</v>
      </c>
      <c r="B5" s="3486"/>
      <c r="C5" s="3486"/>
      <c r="D5" s="3486" t="e">
        <f ca="1">结果表!D119</f>
        <v>#REF!</v>
      </c>
      <c r="E5" s="3486"/>
      <c r="F5" s="3486" t="e">
        <f ca="1">结果表!F119</f>
        <v>#REF!</v>
      </c>
      <c r="G5" s="3486"/>
      <c r="H5" s="3486" t="str">
        <f ca="1">结果表!H119</f>
        <v>壹佰零陆万元整</v>
      </c>
      <c r="I5" s="3486"/>
    </row>
    <row r="6" spans="1:9" ht="15.75">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
      </c>
      <c r="B8" s="3487"/>
      <c r="C8" s="3487"/>
      <c r="D8" s="3487">
        <f ca="1">结果表!D122</f>
        <v>106</v>
      </c>
      <c r="E8" s="3487"/>
      <c r="F8" s="3487"/>
      <c r="G8" s="3487"/>
      <c r="H8" s="3487"/>
      <c r="I8" s="3487"/>
    </row>
    <row r="9" spans="1:9" ht="15">
      <c r="A9" s="3486" t="s">
        <v>927</v>
      </c>
      <c r="B9" s="3486"/>
      <c r="C9" s="3486"/>
      <c r="D9" s="3486" t="str">
        <f ca="1">结果表!D123</f>
        <v>壹佰零陆万元整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44965</v>
      </c>
      <c r="C2" s="2338" t="s">
        <v>2137</v>
      </c>
      <c r="D2" s="2338"/>
      <c r="E2" s="2338"/>
      <c r="F2" s="2334"/>
      <c r="G2" s="2334"/>
      <c r="H2" s="2334"/>
    </row>
    <row r="3" spans="1:8" ht="24" customHeight="1">
      <c r="A3" s="2339" t="s">
        <v>2138</v>
      </c>
      <c r="B3" s="2340" t="s">
        <v>2139</v>
      </c>
      <c r="C3" s="2340" t="s">
        <v>2140</v>
      </c>
      <c r="D3" s="2341" t="s">
        <v>2141</v>
      </c>
      <c r="E3" s="2342" t="s">
        <v>2142</v>
      </c>
      <c r="F3" s="1303" t="s">
        <v>2143</v>
      </c>
      <c r="G3" s="2340" t="s">
        <v>2140</v>
      </c>
      <c r="H3" s="2341" t="s">
        <v>2144</v>
      </c>
    </row>
    <row r="4" spans="1:8" ht="24" customHeight="1">
      <c r="A4" s="1303" t="s">
        <v>2145</v>
      </c>
      <c r="B4" s="1303">
        <f ca="1">IF(C4&lt;B2,"已过期",1119970066)</f>
        <v>1119970066</v>
      </c>
      <c r="C4" s="2343">
        <v>45937</v>
      </c>
      <c r="D4" s="2344" t="str">
        <f ca="1">A4&amp;"（注册号："&amp;B4&amp;"）"</f>
        <v>梁津（注册号：1119970066）</v>
      </c>
      <c r="E4" s="2345" t="s">
        <v>2145</v>
      </c>
      <c r="F4" s="1303">
        <f ca="1">IF(G4&lt;B2,"已过期",96010014)</f>
        <v>96010014</v>
      </c>
      <c r="G4" s="2346">
        <v>47118</v>
      </c>
      <c r="H4" s="2347" t="str">
        <f ca="1">E4&amp;"（注册号："&amp;F4&amp;"）"</f>
        <v>梁津（注册号：96010014）</v>
      </c>
    </row>
    <row r="5" spans="1:8" ht="24" customHeight="1">
      <c r="A5" s="1303" t="s">
        <v>2146</v>
      </c>
      <c r="B5" s="1303">
        <f ca="1">IF(C5&lt;B2,"已过期",1119970111)</f>
        <v>1119970111</v>
      </c>
      <c r="C5" s="2343">
        <v>45937</v>
      </c>
      <c r="D5" s="2344" t="str">
        <f t="shared" ref="D5:D15" ca="1" si="0">A5&amp;"（注册号："&amp;B5&amp;"）"</f>
        <v>叶凌（注册号：1119970111）</v>
      </c>
      <c r="E5" s="2345" t="s">
        <v>2146</v>
      </c>
      <c r="F5" s="1303">
        <f ca="1">IF(G5&lt;B2,"已过期",94010078)</f>
        <v>94010078</v>
      </c>
      <c r="G5" s="2346">
        <v>46387</v>
      </c>
      <c r="H5" s="2347" t="str">
        <f t="shared" ref="H5:H16" ca="1" si="1">E5&amp;"（注册号："&amp;F5&amp;"）"</f>
        <v>叶凌（注册号：94010078）</v>
      </c>
    </row>
    <row r="6" spans="1:8" ht="24" customHeight="1">
      <c r="A6" s="1303" t="s">
        <v>2147</v>
      </c>
      <c r="B6" s="1303">
        <f ca="1">IF(C6&lt;B2,"已过期",1120050019)</f>
        <v>1120050019</v>
      </c>
      <c r="C6" s="2343">
        <v>45410</v>
      </c>
      <c r="D6" s="2344" t="str">
        <f t="shared" ca="1" si="0"/>
        <v>王鹏（注册号：1120050019）</v>
      </c>
      <c r="E6" s="2345" t="s">
        <v>2147</v>
      </c>
      <c r="F6" s="1303">
        <f ca="1">IF(G6&lt;B2,"已过期",2002110030)</f>
        <v>2002110030</v>
      </c>
      <c r="G6" s="2346">
        <v>46387</v>
      </c>
      <c r="H6" s="2347" t="str">
        <f t="shared" ca="1" si="1"/>
        <v>王鹏（注册号：2002110030）</v>
      </c>
    </row>
    <row r="7" spans="1:8" ht="24" customHeight="1">
      <c r="A7" s="1303" t="s">
        <v>2148</v>
      </c>
      <c r="B7" s="1303">
        <f ca="1">IF(C7&lt;B2,"已过期",1120000080)</f>
        <v>1120000080</v>
      </c>
      <c r="C7" s="2343">
        <v>45937</v>
      </c>
      <c r="D7" s="2344" t="str">
        <f t="shared" ca="1" si="0"/>
        <v>欧红伟（注册号：1120000080）</v>
      </c>
      <c r="E7" s="2345" t="s">
        <v>2148</v>
      </c>
      <c r="F7" s="1303">
        <f ca="1">IF(G7&lt;B2,"已过期",2000110082)</f>
        <v>2000110082</v>
      </c>
      <c r="G7" s="2346">
        <v>46387</v>
      </c>
      <c r="H7" s="2347" t="str">
        <f t="shared" ca="1" si="1"/>
        <v>欧红伟（注册号：2000110082）</v>
      </c>
    </row>
    <row r="8" spans="1:8" ht="24" customHeight="1">
      <c r="A8" s="1303" t="s">
        <v>2149</v>
      </c>
      <c r="B8" s="1303">
        <f ca="1">IF(C8&lt;B2,"已过期",1419970001)</f>
        <v>1419970001</v>
      </c>
      <c r="C8" s="2343">
        <v>45937</v>
      </c>
      <c r="D8" s="2344" t="str">
        <f t="shared" ca="1" si="0"/>
        <v>吴薇（注册号：1419970001）</v>
      </c>
      <c r="E8" s="2345" t="s">
        <v>2149</v>
      </c>
      <c r="F8" s="1303">
        <f ca="1">IF(G8&lt;B2,"已过期",2002110125)</f>
        <v>2002110125</v>
      </c>
      <c r="G8" s="2346">
        <v>47118</v>
      </c>
      <c r="H8" s="2347" t="str">
        <f t="shared" ca="1" si="1"/>
        <v>吴薇（注册号：2002110125）</v>
      </c>
    </row>
    <row r="9" spans="1:8" ht="24" customHeight="1">
      <c r="A9" s="1303" t="s">
        <v>2150</v>
      </c>
      <c r="B9" s="1303">
        <f ca="1">IF(C9&lt;B2,"已过期",1120060040)</f>
        <v>1120060040</v>
      </c>
      <c r="C9" s="2348">
        <v>45592</v>
      </c>
      <c r="D9" s="2344" t="str">
        <f t="shared" ca="1" si="0"/>
        <v>陈颖（注册号：1120060040）</v>
      </c>
      <c r="E9" s="2345" t="s">
        <v>2150</v>
      </c>
      <c r="F9" s="1303">
        <f ca="1">IF(G9&lt;B2,"已过期",2004110096)</f>
        <v>2004110096</v>
      </c>
      <c r="G9" s="2346">
        <v>47118</v>
      </c>
      <c r="H9" s="2347" t="str">
        <f t="shared" ca="1" si="1"/>
        <v>陈颖（注册号：2004110096）</v>
      </c>
    </row>
    <row r="10" spans="1:8" ht="24" customHeight="1">
      <c r="A10" s="1303" t="s">
        <v>2151</v>
      </c>
      <c r="B10" s="1303">
        <f ca="1">IF(C10&lt;B2,"已过期",1120100036)</f>
        <v>1120100036</v>
      </c>
      <c r="C10" s="2348">
        <v>45752</v>
      </c>
      <c r="D10" s="2344" t="str">
        <f t="shared" ca="1" si="0"/>
        <v>崔锴（注册号：1120100036）</v>
      </c>
      <c r="E10" s="2345" t="s">
        <v>2151</v>
      </c>
      <c r="F10" s="1303">
        <f ca="1">IF(G10&lt;B2,"已过期",2010110070)</f>
        <v>2010110070</v>
      </c>
      <c r="G10" s="2346">
        <v>47907</v>
      </c>
      <c r="H10" s="2347" t="str">
        <f t="shared" ca="1" si="1"/>
        <v>崔锴（注册号：2010110070）</v>
      </c>
    </row>
    <row r="11" spans="1:8" ht="24" customHeight="1">
      <c r="A11" s="1303" t="s">
        <v>2152</v>
      </c>
      <c r="B11" s="1303">
        <f ca="1">IF(C11&lt;B2,"已过期",1120070131)</f>
        <v>1120070131</v>
      </c>
      <c r="C11" s="2343">
        <v>45937</v>
      </c>
      <c r="D11" s="2344" t="str">
        <f t="shared" ca="1" si="0"/>
        <v>郑燚（注册号：1120070131）</v>
      </c>
      <c r="E11" s="2345" t="s">
        <v>2152</v>
      </c>
      <c r="F11" s="1303">
        <f ca="1">IF(G11&lt;B2,"已过期",2014110011)</f>
        <v>2014110011</v>
      </c>
      <c r="G11" s="2346">
        <v>49302</v>
      </c>
      <c r="H11" s="2347" t="str">
        <f t="shared" ca="1" si="1"/>
        <v>郑燚（注册号：2014110011）</v>
      </c>
    </row>
    <row r="12" spans="1:8" ht="24" customHeight="1">
      <c r="A12" s="1303" t="s">
        <v>2153</v>
      </c>
      <c r="B12" s="1303">
        <f ca="1">IF(C12&lt;B2,"已过期",1120040230)</f>
        <v>1120040230</v>
      </c>
      <c r="C12" s="2348">
        <v>45937</v>
      </c>
      <c r="D12" s="2344" t="str">
        <f t="shared" ca="1" si="0"/>
        <v>苏海（注册号：1120040230）</v>
      </c>
      <c r="E12" s="2345" t="s">
        <v>2153</v>
      </c>
      <c r="F12" s="1303">
        <f ca="1">IF(G12&lt;B2,"已过期",98030020)</f>
        <v>98030020</v>
      </c>
      <c r="G12" s="2346">
        <v>47118</v>
      </c>
      <c r="H12" s="2347" t="str">
        <f t="shared" ca="1" si="1"/>
        <v>苏海（注册号：98030020）</v>
      </c>
    </row>
    <row r="13" spans="1:8" ht="24" customHeight="1">
      <c r="A13" s="1303" t="s">
        <v>2154</v>
      </c>
      <c r="B13" s="1303">
        <f ca="1">IF(C13&lt;B2,"已过期",1120020033)</f>
        <v>1120020033</v>
      </c>
      <c r="C13" s="2343">
        <v>45375</v>
      </c>
      <c r="D13" s="2344" t="str">
        <f t="shared" ca="1" si="0"/>
        <v>刘敬东（注册号：1120020033）</v>
      </c>
      <c r="E13" s="2345" t="s">
        <v>2154</v>
      </c>
      <c r="F13" s="1303">
        <f ca="1">IF(G13&lt;B2,"已过期",2000110137)</f>
        <v>2000110137</v>
      </c>
      <c r="G13" s="2346">
        <v>46387</v>
      </c>
      <c r="H13" s="2347" t="str">
        <f t="shared" ca="1" si="1"/>
        <v>刘敬东（注册号：2000110137）</v>
      </c>
    </row>
    <row r="14" spans="1:8" ht="24" customHeight="1">
      <c r="A14" s="1303" t="s">
        <v>2155</v>
      </c>
      <c r="B14" s="1303">
        <f ca="1">IF(C14&lt;B2,"已过期",1119980106)</f>
        <v>1119980106</v>
      </c>
      <c r="C14" s="2348">
        <v>44969</v>
      </c>
      <c r="D14" s="2344" t="str">
        <f t="shared" ca="1" si="0"/>
        <v>刘俊财（注册号：1119980106）</v>
      </c>
      <c r="E14" s="2345" t="s">
        <v>2155</v>
      </c>
      <c r="F14" s="1303">
        <f ca="1">IF(G14&lt;B2,"已过期",96010063)</f>
        <v>96010063</v>
      </c>
      <c r="G14" s="2346">
        <v>47483</v>
      </c>
      <c r="H14" s="2347" t="str">
        <f t="shared" ca="1" si="1"/>
        <v>刘俊财（注册号：96010063）</v>
      </c>
    </row>
    <row r="15" spans="1:8" ht="24" customHeight="1">
      <c r="A15" s="1303" t="s">
        <v>2437</v>
      </c>
      <c r="B15" s="1303">
        <v>1120210056</v>
      </c>
      <c r="C15" s="2348">
        <v>45410</v>
      </c>
      <c r="D15" s="2344" t="str">
        <f t="shared" si="0"/>
        <v>宁小鳗（注册号：1120210056）</v>
      </c>
      <c r="E15" s="2345" t="s">
        <v>2156</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41"/>
      <c r="E18" s="3512" t="s">
        <v>2159</v>
      </c>
      <c r="F18" s="3511"/>
      <c r="G18" s="351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2023-02-08T14:48:51Z</dcterms:modified>
</cp:coreProperties>
</file>