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北京市朝阳区新东路8号院5号楼4至5层509\测算\"/>
    </mc:Choice>
  </mc:AlternateContent>
  <bookViews>
    <workbookView xWindow="1500" yWindow="0" windowWidth="16590" windowHeight="1290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1" l="1"/>
  <c r="M21" i="1"/>
  <c r="N22" i="1" s="1"/>
  <c r="I8" i="4" l="1"/>
  <c r="G19" i="21" l="1"/>
  <c r="D59" i="21"/>
  <c r="I47" i="21" l="1"/>
  <c r="G47" i="21"/>
  <c r="E47" i="21"/>
  <c r="I44" i="21"/>
  <c r="E44" i="21"/>
  <c r="I28" i="21" l="1"/>
  <c r="G28" i="21"/>
  <c r="E28" i="21"/>
  <c r="I33" i="21" l="1"/>
  <c r="G33" i="21"/>
  <c r="E33" i="21"/>
  <c r="E91" i="21"/>
  <c r="I23" i="21"/>
  <c r="G23" i="21"/>
  <c r="I19" i="21"/>
  <c r="I17" i="21"/>
  <c r="G17" i="21"/>
  <c r="I15" i="21"/>
  <c r="G15" i="21"/>
  <c r="V58" i="21"/>
  <c r="W58" i="21"/>
  <c r="X58" i="21" s="1"/>
  <c r="Y58" i="21" s="1"/>
  <c r="Z58" i="21" s="1"/>
  <c r="AA58" i="21" s="1"/>
  <c r="AB58" i="21" s="1"/>
  <c r="F59" i="21"/>
  <c r="G59" i="21" s="1"/>
  <c r="I59" i="21" s="1"/>
  <c r="J59" i="21" s="1"/>
  <c r="E59" i="21"/>
  <c r="I7" i="21"/>
  <c r="G7" i="21"/>
  <c r="E7" i="21"/>
  <c r="H59" i="21" l="1"/>
  <c r="L59" i="21"/>
  <c r="M59" i="21" s="1"/>
  <c r="K59" i="21"/>
  <c r="B21" i="1" l="1"/>
  <c r="M25" i="81"/>
  <c r="K41" i="81"/>
  <c r="K39" i="81"/>
  <c r="K33" i="81"/>
  <c r="K34" i="81"/>
  <c r="K35" i="81"/>
  <c r="K36" i="81"/>
  <c r="K37" i="81"/>
  <c r="K38" i="81"/>
  <c r="K30" i="81"/>
  <c r="K31" i="81"/>
  <c r="K32" i="81"/>
  <c r="K26" i="81"/>
  <c r="K27" i="81" s="1"/>
  <c r="K25" i="81"/>
  <c r="I7" i="4" l="1"/>
  <c r="C13" i="4" s="1"/>
  <c r="D3" i="4"/>
  <c r="N59" i="21" l="1"/>
  <c r="O59" i="21" s="1"/>
  <c r="P59" i="21" s="1"/>
  <c r="R59" i="21" l="1"/>
  <c r="S59" i="21" s="1"/>
  <c r="T59" i="21" s="1"/>
  <c r="U59" i="21" s="1"/>
  <c r="V59" i="21" s="1"/>
  <c r="Q59" i="21"/>
  <c r="D14" i="9"/>
  <c r="W59" i="21" l="1"/>
  <c r="X59" i="21"/>
  <c r="Y59" i="21" s="1"/>
  <c r="F19" i="6"/>
  <c r="G5" i="21"/>
  <c r="E5" i="21"/>
  <c r="I5" i="21" s="1"/>
  <c r="Z59" i="21" l="1"/>
  <c r="AA59" i="21"/>
  <c r="AB59" i="21" s="1"/>
  <c r="D33" i="43"/>
  <c r="B14" i="74"/>
  <c r="Y6" i="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B79" i="43"/>
  <c r="C18" i="20"/>
  <c r="B94" i="43" s="1"/>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F37" i="21"/>
  <c r="AA37" i="21" s="1"/>
  <c r="AB14" i="21"/>
  <c r="AB46" i="21"/>
  <c r="AB31" i="21"/>
  <c r="U31" i="21"/>
  <c r="S35" i="21"/>
  <c r="J37" i="21"/>
  <c r="W37" i="21" s="1"/>
  <c r="H15" i="21"/>
  <c r="U15" i="21" s="1"/>
  <c r="J17" i="21"/>
  <c r="AC17" i="21" s="1"/>
  <c r="AC14" i="21"/>
  <c r="W30" i="21"/>
  <c r="S46" i="21"/>
  <c r="H45" i="21"/>
  <c r="U45" i="21"/>
  <c r="F29" i="21"/>
  <c r="S29" i="21"/>
  <c r="F13" i="21"/>
  <c r="AA13" i="21" s="1"/>
  <c r="H9" i="21"/>
  <c r="U9" i="21" s="1"/>
  <c r="J9" i="21"/>
  <c r="J32" i="21"/>
  <c r="W32" i="21" s="1"/>
  <c r="AA31" i="21"/>
  <c r="U17" i="21"/>
  <c r="W29" i="21"/>
  <c r="AA9" i="21"/>
  <c r="K141" i="21"/>
  <c r="K144" i="21"/>
  <c r="K143" i="21"/>
  <c r="AA30" i="21"/>
  <c r="W13" i="21"/>
  <c r="AC45" i="21"/>
  <c r="F10" i="21"/>
  <c r="AA10" i="21" s="1"/>
  <c r="K145" i="21"/>
  <c r="AA29" i="21"/>
  <c r="W31" i="21"/>
  <c r="S17" i="21"/>
  <c r="AB29" i="21"/>
  <c r="AC34" i="21"/>
  <c r="W12" i="21"/>
  <c r="AB36" i="21"/>
  <c r="W30" i="40"/>
  <c r="C19" i="39"/>
  <c r="C15" i="40"/>
  <c r="C17" i="40"/>
  <c r="C23" i="40"/>
  <c r="C21" i="40"/>
  <c r="U30" i="40"/>
  <c r="B56"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M8" i="15"/>
  <c r="M26" i="67"/>
  <c r="F3" i="73"/>
  <c r="J15" i="15"/>
  <c r="L47" i="15"/>
  <c r="F43" i="15"/>
  <c r="F5" i="73"/>
  <c r="AO13" i="1"/>
  <c r="M8" i="67"/>
  <c r="F7" i="67"/>
  <c r="M9" i="67"/>
  <c r="F9" i="15"/>
  <c r="M22" i="67"/>
  <c r="F38" i="15"/>
  <c r="F26" i="15"/>
  <c r="F16" i="67"/>
  <c r="B11" i="76"/>
  <c r="F43" i="67"/>
  <c r="F16" i="15"/>
  <c r="F40" i="15"/>
  <c r="F9" i="67"/>
  <c r="L48" i="15"/>
  <c r="F6" i="67"/>
  <c r="F20" i="31"/>
  <c r="C76" i="15"/>
  <c r="F42" i="15"/>
  <c r="M23" i="67"/>
  <c r="F36" i="15"/>
  <c r="B13" i="76"/>
  <c r="F7" i="73"/>
  <c r="M28" i="15"/>
  <c r="F37" i="15"/>
  <c r="F13" i="15"/>
  <c r="B7" i="76"/>
  <c r="F7" i="15"/>
  <c r="B9" i="76"/>
  <c r="M29" i="67"/>
  <c r="M28" i="67"/>
  <c r="F6" i="15"/>
  <c r="M6" i="67"/>
  <c r="E13" i="76"/>
  <c r="E10" i="76"/>
  <c r="E12" i="76"/>
  <c r="D35" i="9"/>
  <c r="M24" i="67"/>
  <c r="F13" i="67"/>
  <c r="E8" i="76"/>
  <c r="M26" i="15"/>
  <c r="F40" i="67"/>
  <c r="E9" i="76"/>
  <c r="L48" i="67"/>
  <c r="E11" i="76"/>
  <c r="D34" i="9"/>
  <c r="F36" i="67"/>
  <c r="F4" i="73"/>
  <c r="F42" i="67"/>
  <c r="B10" i="76"/>
  <c r="M29" i="15"/>
  <c r="M9" i="15"/>
  <c r="E7" i="76"/>
  <c r="F26" i="67"/>
  <c r="E2" i="69"/>
  <c r="L47" i="67"/>
  <c r="B8" i="76"/>
  <c r="M22" i="15"/>
  <c r="J15" i="67"/>
  <c r="F37" i="67"/>
  <c r="C76" i="67"/>
  <c r="M23" i="15"/>
  <c r="F38" i="67"/>
  <c r="M24" i="15"/>
  <c r="E2" i="68"/>
  <c r="F6" i="73"/>
  <c r="M6" i="15"/>
  <c r="F8" i="67"/>
  <c r="F8" i="15"/>
  <c r="B12" i="76"/>
  <c r="C27" i="39" l="1"/>
  <c r="D22" i="15"/>
  <c r="E1" i="73"/>
  <c r="H89" i="21"/>
  <c r="I89" i="21" s="1"/>
  <c r="J89" i="21" s="1"/>
  <c r="K89" i="21" s="1"/>
  <c r="L89" i="21" s="1"/>
  <c r="M89" i="21" s="1"/>
  <c r="F26" i="21"/>
  <c r="AB44" i="21"/>
  <c r="U28" i="21"/>
  <c r="AC28" i="21"/>
  <c r="H27" i="21"/>
  <c r="AB27" i="21" s="1"/>
  <c r="F32" i="21"/>
  <c r="AA32" i="21" s="1"/>
  <c r="H32" i="21"/>
  <c r="AB32" i="21" s="1"/>
  <c r="W25" i="21"/>
  <c r="AB25" i="21"/>
  <c r="AA25" i="21"/>
  <c r="J26" i="21"/>
  <c r="W26" i="21" s="1"/>
  <c r="H26" i="21"/>
  <c r="AC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D4" i="73"/>
  <c r="D6" i="73"/>
  <c r="D3" i="73"/>
  <c r="D7" i="73"/>
  <c r="D5" i="73"/>
  <c r="C16" i="15"/>
  <c r="S26" i="21" l="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M27" i="15"/>
  <c r="F41" i="15"/>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G38" i="43" l="1"/>
  <c r="I38" i="43" s="1"/>
  <c r="E41" i="43"/>
  <c r="H25" i="6"/>
  <c r="R25" i="6" s="1"/>
  <c r="R12" i="1" s="1"/>
  <c r="E37" i="43"/>
  <c r="E33" i="43"/>
  <c r="C34" i="43"/>
  <c r="E34" i="43" s="1"/>
  <c r="C31"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B2" i="76" l="1"/>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67"/>
  <c r="F35" i="67"/>
  <c r="M21" i="15"/>
  <c r="F35" i="15"/>
  <c r="R58" i="21" l="1"/>
  <c r="U37" i="21"/>
  <c r="AB37" i="2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S58" i="21" l="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F7" i="21"/>
  <c r="L57" i="67"/>
  <c r="L60" i="67" s="1"/>
  <c r="L46" i="67" s="1"/>
  <c r="Q67" i="67"/>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2" i="36"/>
  <c r="D2" i="37"/>
  <c r="D2" i="35"/>
  <c r="D2" i="34"/>
  <c r="L51" i="15"/>
  <c r="S7" i="21" l="1"/>
  <c r="AA7" i="21"/>
  <c r="R48" i="21" s="1"/>
  <c r="H7" i="21"/>
  <c r="J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10" i="1"/>
  <c r="AO6" i="1"/>
  <c r="AO8" i="1"/>
  <c r="AO11" i="1"/>
  <c r="C20" i="9"/>
  <c r="AO9" i="1"/>
  <c r="AC7" i="21" l="1"/>
  <c r="V48" i="21" s="1"/>
  <c r="I48" i="21" s="1"/>
  <c r="W7" i="21"/>
  <c r="E48" i="21"/>
  <c r="U7" i="21"/>
  <c r="AB7" i="21"/>
  <c r="T48" i="21" s="1"/>
  <c r="G48" i="21"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53" i="21" l="1"/>
  <c r="H53" i="21" s="1"/>
  <c r="G52" i="21"/>
  <c r="H52" i="21" s="1"/>
  <c r="R49" i="21"/>
  <c r="E52" i="21"/>
  <c r="F52" i="21" s="1"/>
  <c r="E53" i="21"/>
  <c r="F53" i="21" s="1"/>
  <c r="I52" i="21"/>
  <c r="J52" i="21" s="1"/>
  <c r="I53" i="21"/>
  <c r="J53" i="21"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9" i="21" l="1"/>
  <c r="C48" i="21"/>
  <c r="D7" i="71"/>
  <c r="C6" i="71"/>
  <c r="C42" i="40"/>
  <c r="C43" i="40"/>
  <c r="E47" i="40"/>
  <c r="F47" i="40" s="1"/>
  <c r="E46" i="40"/>
  <c r="F46" i="40" s="1"/>
  <c r="I47" i="40"/>
  <c r="J47" i="40" s="1"/>
  <c r="B2" i="21" l="1"/>
  <c r="B3" i="2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D103" i="9" l="1"/>
  <c r="G20" i="9"/>
  <c r="D102" i="9"/>
  <c r="D21" i="9"/>
  <c r="D22" i="9"/>
  <c r="G19" i="9"/>
  <c r="G21" i="9" s="1"/>
  <c r="B6" i="74"/>
  <c r="D6" i="74" s="1"/>
  <c r="E14" i="74" l="1"/>
  <c r="D14" i="74" s="1"/>
  <c r="C32" i="9"/>
  <c r="C35" i="9" s="1"/>
  <c r="C34" i="9" s="1"/>
  <c r="B5" i="74" l="1"/>
  <c r="G24" i="9"/>
  <c r="F14" i="74"/>
  <c r="D5" i="74" l="1"/>
  <c r="D52" i="9"/>
  <c r="D53" i="9"/>
  <c r="C104" i="9"/>
  <c r="H4" i="52"/>
  <c r="N58" i="9"/>
  <c r="P57" i="9"/>
  <c r="C105" i="9"/>
  <c r="I4" i="52"/>
  <c r="D8" i="52"/>
  <c r="B20" i="72"/>
  <c r="M55" i="9"/>
  <c r="B21" i="72"/>
  <c r="B48" i="72"/>
  <c r="C78" i="9"/>
  <c r="C73" i="9"/>
  <c r="B32" i="72"/>
  <c r="D59" i="9"/>
  <c r="N60" i="9"/>
  <c r="N59" i="9"/>
  <c r="N61" i="9"/>
  <c r="B47" i="72"/>
  <c r="M48" i="9"/>
  <c r="D5" i="53"/>
  <c r="D6" i="53"/>
  <c r="B22" i="72"/>
  <c r="C93" i="9"/>
  <c r="C86" i="9"/>
  <c r="C81" i="9"/>
  <c r="D4" i="52"/>
  <c r="E4" i="52"/>
  <c r="M54" i="9"/>
  <c r="E97" i="9"/>
  <c r="C6" i="74"/>
  <c r="B52" i="72"/>
  <c r="G4" i="52"/>
  <c r="D122" i="9"/>
  <c r="D123" i="9"/>
  <c r="D9" i="52"/>
  <c r="E118" i="9"/>
  <c r="D118" i="9"/>
  <c r="D119" i="9"/>
  <c r="D5" i="52"/>
  <c r="B49" i="72"/>
  <c r="C72" i="9"/>
  <c r="C79" i="9"/>
  <c r="C80" i="9"/>
  <c r="E80" i="9"/>
  <c r="E81" i="9"/>
  <c r="H108" i="9"/>
  <c r="D15" i="53"/>
  <c r="B31" i="72"/>
  <c r="C68" i="9"/>
  <c r="D54" i="9"/>
  <c r="F119" i="9"/>
  <c r="F5" i="52"/>
  <c r="B53" i="72"/>
  <c r="H119" i="9"/>
  <c r="H5" i="52"/>
  <c r="N57" i="9"/>
  <c r="C5" i="74"/>
  <c r="H102" i="9"/>
  <c r="D7" i="53"/>
  <c r="B30" i="72"/>
  <c r="H107" i="9"/>
  <c r="D13" i="53"/>
  <c r="D14" i="53"/>
  <c r="G118" i="9"/>
  <c r="F118" i="9"/>
  <c r="F4" i="52"/>
  <c r="B51" i="72"/>
  <c r="D55" i="9"/>
  <c r="M53" i="9"/>
  <c r="C97" i="9"/>
  <c r="D58" i="9"/>
  <c r="D56" i="9"/>
  <c r="C85" i="9"/>
  <c r="C95" i="9"/>
  <c r="C96" i="9"/>
  <c r="E96"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<sst xmlns="http://schemas.openxmlformats.org/spreadsheetml/2006/main" count="7980" uniqueCount="3494">
  <si>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</si>
  <si>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</si>
  <si>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</si>
  <si>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</si>
  <si>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</si>
  <si>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</si>
  <si>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</si>
  <si>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</si>
  <si>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</si>
  <si>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</si>
  <si>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</si>
  <si>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</si>
  <si>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</si>
  <si>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</si>
  <si>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</si>
  <si>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</si>
  <si>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</si>
  <si>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</si>
  <si>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</si>
  <si>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</si>
  <si>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</si>
  <si>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</si>
  <si>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</si>
  <si>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</si>
  <si>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</si>
  <si>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</si>
  <si>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</si>
  <si>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</si>
  <si>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</si>
  <si>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</si>
  <si>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</si>
  <si>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</si>
  <si>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</si>
  <si>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</si>
  <si>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</si>
  <si>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</si>
  <si>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</si>
  <si>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</si>
  <si>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</si>
  <si>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</si>
  <si>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</si>
  <si>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</si>
  <si>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</si>
  <si>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</si>
  <si>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</si>
  <si>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</si>
  <si>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</si>
  <si>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</si>
  <si>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</si>
  <si>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</si>
  <si>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</si>
  <si>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</si>
  <si>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</si>
  <si>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</si>
  <si>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</si>
  <si>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</si>
  <si>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</si>
  <si>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</si>
  <si>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</si>
  <si>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</si>
  <si>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</si>
  <si>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</si>
  <si>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</si>
  <si>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</si>
  <si>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</si>
  <si>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</si>
  <si>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</si>
  <si>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</si>
  <si>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</si>
  <si>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</si>
  <si>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</si>
  <si>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</si>
  <si>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</si>
  <si>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</si>
  <si>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</si>
  <si>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</si>
  <si>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</si>
  <si>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</si>
  <si>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</si>
  <si>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</si>
  <si>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</si>
  <si>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</si>
  <si>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</si>
  <si>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</si>
  <si>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</si>
  <si>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</si>
  <si>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</si>
  <si>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</si>
  <si>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</si>
  <si>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</si>
  <si>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</si>
  <si>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</si>
  <si>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</si>
  <si>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</si>
  <si>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</si>
  <si>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</si>
  <si>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</si>
  <si>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</si>
  <si>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</si>
  <si>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</si>
  <si>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</si>
  <si>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</si>
  <si>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</si>
  <si>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</si>
  <si>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</si>
  <si>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</si>
  <si>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</si>
  <si>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</si>
  <si>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</si>
  <si>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</si>
  <si>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</si>
  <si>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</si>
  <si>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</si>
  <si>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</si>
  <si>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</si>
  <si>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</si>
  <si>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</si>
  <si>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</si>
  <si>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</si>
  <si>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</si>
  <si>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</si>
  <si>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</si>
  <si>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</si>
  <si>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</si>
  <si>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</si>
  <si>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</si>
  <si>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</si>
  <si>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</si>
  <si>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</si>
  <si>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</si>
  <si>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</si>
  <si>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</si>
  <si>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</si>
  <si>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</si>
  <si>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</si>
  <si>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</si>
  <si>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</si>
  <si>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</si>
  <si>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</si>
  <si>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</si>
  <si>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</si>
  <si>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</si>
  <si>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</si>
  <si>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</si>
  <si>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</si>
  <si>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</si>
  <si>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</si>
  <si>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</si>
  <si>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</si>
  <si>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</si>
  <si>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</si>
  <si>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</si>
  <si>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</si>
  <si>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</si>
  <si>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</si>
  <si>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</si>
  <si>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</si>
  <si>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</si>
  <si>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</si>
  <si>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</si>
  <si>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</si>
  <si>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</si>
  <si>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</si>
  <si>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</si>
  <si>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</si>
  <si>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</si>
  <si>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</si>
  <si>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</si>
  <si>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</si>
  <si>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</si>
  <si>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</si>
  <si>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</si>
  <si>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</si>
  <si>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</si>
  <si>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</si>
  <si>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</si>
  <si>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</si>
  <si>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</si>
  <si>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</si>
  <si>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</si>
  <si>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</si>
  <si>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</si>
  <si>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</si>
  <si>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</si>
  <si>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</si>
  <si>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</si>
  <si>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</si>
  <si>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</si>
  <si>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</si>
  <si>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</si>
  <si>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</si>
  <si>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</si>
  <si>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</si>
  <si>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</si>
  <si>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</si>
  <si>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</si>
  <si>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</si>
  <si>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</si>
  <si>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</si>
  <si>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</si>
  <si>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</si>
  <si>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</si>
  <si>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</si>
  <si>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</si>
  <si>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</si>
  <si>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</si>
  <si>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</si>
  <si>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</si>
  <si>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</si>
  <si>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</si>
  <si>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</si>
  <si>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</si>
  <si>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</si>
  <si>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</si>
  <si>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</si>
  <si>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</si>
  <si>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</si>
  <si>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</si>
  <si>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</si>
  <si>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</si>
  <si>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</si>
  <si>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</si>
  <si>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</si>
  <si>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</si>
  <si>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</si>
  <si>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</si>
  <si>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</si>
  <si>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</si>
  <si>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</si>
  <si>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</si>
  <si>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</si>
  <si>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</si>
  <si>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</si>
  <si>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</si>
  <si>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</si>
  <si>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</si>
  <si>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</si>
  <si>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</si>
  <si>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</si>
  <si>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</si>
  <si>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</si>
  <si>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</si>
  <si>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</si>
  <si>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</si>
  <si>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</si>
  <si>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</si>
  <si>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</si>
  <si>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</si>
  <si>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</si>
  <si>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</si>
  <si>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</si>
  <si>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</si>
  <si>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</si>
  <si>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</si>
  <si>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</si>
  <si>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</si>
  <si>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</si>
  <si>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</si>
  <si>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</si>
  <si>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</si>
  <si>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</si>
  <si>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</si>
  <si>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</si>
  <si>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</si>
  <si>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</si>
  <si>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</si>
  <si>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</si>
  <si>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</si>
  <si>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</si>
  <si>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</si>
  <si>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</si>
  <si>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</si>
  <si>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</si>
  <si>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</si>
  <si>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</si>
  <si>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</si>
  <si>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</si>
  <si>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</si>
  <si>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</si>
  <si>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</si>
  <si>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</si>
  <si>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</si>
  <si>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</si>
  <si>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</si>
  <si>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</si>
  <si>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</si>
  <si>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</si>
  <si>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</si>
  <si>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</si>
  <si>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</si>
  <si>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</si>
  <si>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</si>
  <si>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</si>
  <si>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</si>
  <si>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</si>
  <si>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</si>
  <si>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</si>
  <si>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</si>
  <si>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</si>
  <si>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</si>
  <si>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</si>
  <si>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</si>
  <si>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</si>
  <si>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</si>
  <si>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</si>
  <si>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</si>
  <si>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</si>
  <si>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</si>
  <si>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</si>
  <si>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</si>
  <si>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</si>
  <si>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</si>
  <si>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</si>
  <si>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</si>
  <si>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</si>
  <si>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</si>
  <si>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</si>
  <si>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</si>
  <si>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</si>
  <si>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</si>
  <si>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</si>
  <si>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</si>
  <si>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</si>
  <si>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</si>
  <si>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</si>
  <si>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</si>
  <si>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</si>
  <si>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</si>
  <si>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</si>
  <si>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</si>
  <si>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</si>
  <si>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</si>
  <si>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</si>
  <si>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</si>
  <si>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</si>
  <si>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</si>
  <si>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</si>
  <si>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</si>
  <si>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</si>
  <si>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</si>
  <si>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</si>
  <si>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</si>
  <si>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</si>
  <si>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</si>
  <si>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</si>
  <si>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</si>
  <si>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</si>
  <si>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</si>
  <si>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</si>
  <si>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</si>
  <si>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</si>
  <si>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</si>
  <si>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</si>
  <si>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</si>
  <si>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</si>
  <si>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</si>
  <si>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</si>
  <si>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</si>
  <si>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</si>
  <si>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</si>
  <si>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</si>
  <si>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</si>
  <si>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</si>
  <si>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</si>
  <si>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</si>
  <si>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</si>
  <si>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</si>
  <si>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</si>
  <si>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</si>
  <si>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</si>
  <si>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</si>
  <si>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</si>
  <si>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</si>
  <si>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</si>
  <si>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</si>
  <si>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</si>
  <si>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</si>
  <si>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</si>
  <si>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</si>
  <si>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</si>
  <si>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</si>
  <si>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</si>
  <si>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</si>
  <si>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</si>
  <si>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</si>
  <si>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</si>
  <si>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</si>
  <si>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</si>
  <si>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</si>
  <si>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</si>
  <si>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</si>
  <si>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</si>
  <si>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</si>
  <si>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</si>
  <si>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</si>
  <si>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</si>
  <si>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</si>
  <si>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</si>
  <si>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</si>
  <si>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</si>
  <si>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</si>
  <si>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</si>
  <si>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</si>
  <si>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</si>
  <si>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</si>
  <si>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</si>
  <si>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</si>
  <si>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</si>
  <si>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</si>
  <si>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</si>
  <si>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</si>
  <si>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</si>
  <si>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</si>
  <si>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</si>
  <si>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</si>
  <si>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</si>
  <si>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</si>
  <si>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</si>
  <si>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</si>
  <si>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</si>
  <si>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</si>
  <si>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</si>
  <si>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</si>
  <si>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</si>
  <si>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</si>
  <si>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</si>
  <si>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</si>
  <si>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</si>
  <si>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</si>
  <si>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</si>
  <si>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</si>
  <si>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</si>
  <si>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</si>
  <si>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</si>
  <si>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</si>
  <si>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</si>
  <si>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</si>
  <si>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</si>
  <si>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</si>
  <si>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</si>
  <si>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</si>
  <si>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</si>
  <si>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</si>
  <si>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</si>
  <si>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</si>
  <si>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</si>
  <si>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</si>
  <si>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</si>
  <si>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</si>
  <si>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</si>
  <si>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</si>
  <si>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</si>
  <si>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</si>
  <si>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</si>
  <si>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</si>
  <si>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</si>
  <si>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</si>
  <si>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</si>
  <si>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</si>
  <si>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</si>
  <si>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</si>
  <si>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</si>
  <si>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</si>
  <si>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</si>
  <si>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</si>
  <si>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</si>
  <si>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</si>
  <si>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</si>
  <si>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</si>
  <si>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</si>
  <si>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</si>
  <si>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</si>
  <si>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</si>
  <si>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</si>
  <si>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</si>
  <si>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</si>
  <si>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</si>
  <si>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</si>
  <si>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</si>
  <si>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</si>
  <si>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</si>
  <si>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</si>
  <si>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</si>
  <si>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</si>
  <si>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</si>
  <si>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</si>
  <si>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</si>
  <si>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</si>
  <si>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</si>
  <si>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</si>
  <si>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</si>
  <si>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</si>
  <si>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</si>
  <si>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</si>
  <si>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</si>
  <si>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</si>
  <si>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</si>
  <si>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</si>
  <si>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</si>
  <si>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</si>
  <si>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</si>
  <si>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</si>
  <si>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</si>
  <si>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</si>
  <si>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</si>
  <si>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</si>
  <si>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</si>
  <si>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</si>
  <si>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</si>
  <si>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</si>
  <si>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</si>
  <si>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</si>
  <si>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</si>
  <si>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</si>
  <si>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</si>
  <si>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</si>
  <si>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</si>
  <si>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</si>
  <si>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</si>
  <si>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</si>
  <si>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</si>
  <si>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</si>
  <si>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</si>
  <si>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</si>
  <si>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</si>
  <si>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</si>
  <si>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</si>
  <si>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</si>
  <si>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</si>
  <si>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</si>
  <si>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</si>
  <si>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</si>
  <si>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</si>
  <si>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</si>
  <si>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</si>
  <si>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</si>
  <si>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</si>
  <si>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</si>
  <si>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</si>
  <si>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</si>
  <si>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</si>
  <si>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</si>
  <si>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</si>
  <si>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</si>
  <si>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</si>
  <si>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</si>
  <si>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</si>
  <si>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</si>
  <si>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</si>
  <si>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</si>
  <si>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</si>
  <si>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</si>
  <si>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</si>
  <si>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</si>
  <si>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</si>
  <si>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</si>
  <si>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</si>
  <si>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</si>
  <si>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</si>
  <si>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</si>
  <si>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</si>
  <si>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</si>
  <si>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</si>
  <si>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</si>
  <si>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</si>
  <si>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</si>
  <si>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</si>
  <si>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</si>
  <si>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</si>
  <si>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</si>
  <si>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</si>
  <si>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</si>
  <si>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</si>
  <si>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</si>
  <si>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</si>
  <si>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</si>
  <si>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</si>
  <si>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</si>
  <si>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</si>
  <si>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</si>
  <si>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</si>
  <si>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</si>
  <si>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</si>
  <si>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</si>
  <si>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</si>
  <si>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</si>
  <si>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</si>
  <si>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</si>
  <si>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</si>
  <si>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</si>
  <si>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</si>
  <si>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</si>
  <si>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</si>
  <si>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</si>
  <si>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</si>
  <si>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</si>
  <si>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</si>
  <si>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</si>
  <si>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</si>
  <si>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</si>
  <si>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</si>
  <si>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</si>
  <si>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</si>
  <si>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</si>
  <si>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</si>
  <si>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</si>
  <si>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</si>
  <si>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</si>
  <si>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</si>
  <si>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</si>
  <si>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</si>
  <si>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</si>
  <si>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</si>
  <si>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</si>
  <si>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</si>
  <si>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</si>
  <si>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</si>
  <si>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</si>
  <si>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</si>
  <si>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</si>
  <si>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</si>
  <si>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</si>
  <si>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</si>
  <si>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</si>
  <si>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</si>
  <si>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</si>
  <si>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</si>
  <si>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</si>
  <si>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</si>
  <si>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</si>
  <si>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</si>
  <si>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</si>
  <si>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</si>
  <si>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</si>
  <si>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</si>
  <si>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</si>
  <si>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</si>
  <si>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</si>
  <si>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</si>
  <si>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</si>
  <si>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</si>
  <si>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</si>
  <si>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</si>
  <si>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</si>
  <si>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</si>
  <si>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</si>
  <si>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</si>
  <si>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</si>
  <si>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</si>
  <si>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</si>
  <si>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</si>
  <si>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</si>
  <si>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</si>
  <si>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</si>
  <si>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</si>
  <si>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</si>
  <si>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</si>
  <si>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</si>
  <si>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</si>
  <si>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</si>
  <si>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</si>
  <si>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</si>
  <si>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</si>
  <si>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</si>
  <si>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</si>
  <si>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</si>
  <si>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</si>
  <si>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</si>
  <si>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</si>
  <si>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</si>
  <si>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</si>
  <si>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</si>
  <si>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</si>
  <si>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</si>
  <si>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</si>
  <si>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</si>
  <si>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</si>
  <si>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</si>
  <si>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</si>
  <si>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</si>
  <si>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</si>
  <si>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</si>
  <si>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</si>
  <si>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</si>
  <si>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</si>
  <si>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</si>
  <si>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</si>
  <si>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</si>
  <si>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</si>
  <si>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</si>
  <si>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</si>
  <si>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</si>
  <si>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</si>
  <si>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</si>
  <si>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</si>
  <si>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</si>
  <si>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</si>
  <si>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</si>
  <si>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</si>
  <si>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</si>
  <si>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</si>
  <si>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</si>
  <si>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</si>
  <si>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</si>
  <si>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</si>
  <si>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</si>
  <si>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</si>
  <si>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</si>
  <si>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</si>
  <si>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</si>
  <si>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</si>
  <si>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</si>
  <si>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</si>
  <si>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</si>
  <si>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</si>
  <si>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</si>
  <si>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</si>
  <si>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</si>
  <si>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</si>
  <si>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</si>
  <si>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</si>
  <si>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</si>
  <si>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</si>
  <si>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</si>
  <si>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</si>
  <si>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</si>
  <si>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</si>
  <si>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</si>
  <si>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</si>
  <si>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</si>
  <si>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</si>
  <si>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</si>
  <si>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</si>
  <si>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</si>
  <si>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</si>
  <si>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</si>
  <si>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</si>
  <si>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</si>
  <si>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</si>
  <si>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</si>
  <si>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</si>
  <si>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</si>
  <si>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</si>
  <si>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</si>
  <si>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</si>
  <si>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</si>
  <si>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</si>
  <si>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</si>
  <si>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</si>
  <si>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</si>
  <si>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</si>
  <si>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</si>
  <si>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</si>
  <si>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</si>
  <si>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</si>
  <si>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</si>
  <si>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</si>
  <si>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</si>
  <si>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</si>
  <si>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</si>
  <si>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</si>
  <si>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</si>
  <si>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</si>
  <si>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</si>
  <si>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</si>
  <si>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</si>
  <si>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</si>
  <si>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</si>
  <si>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</si>
  <si>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</si>
  <si>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</si>
  <si>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</si>
  <si>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</si>
  <si>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</si>
  <si>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</si>
  <si>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</si>
  <si>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</si>
  <si>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</si>
  <si>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</si>
  <si>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</si>
  <si>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</si>
  <si>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</si>
  <si>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</si>
  <si>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</si>
  <si>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</si>
  <si>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</si>
  <si>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</si>
  <si>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</si>
  <si>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</si>
  <si>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</si>
  <si>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</si>
  <si>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</si>
  <si>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</si>
  <si>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</si>
  <si>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</si>
  <si>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</si>
  <si>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</si>
  <si>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</si>
  <si>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</si>
  <si>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</si>
  <si>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</si>
  <si>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</si>
  <si>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</si>
  <si>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</si>
  <si>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</si>
  <si>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</si>
  <si>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</si>
  <si>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</si>
  <si>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</si>
  <si>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</si>
  <si>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</si>
  <si>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</si>
  <si>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</si>
  <si>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</si>
  <si>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</si>
  <si>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</si>
  <si>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</si>
  <si>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</si>
  <si>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</si>
  <si>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</si>
  <si>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</si>
  <si>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</si>
  <si>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</si>
  <si>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</si>
  <si>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</si>
  <si>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</si>
  <si>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</si>
  <si>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</si>
  <si>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</si>
  <si>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</si>
  <si>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</si>
  <si>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</si>
  <si>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</si>
  <si>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</si>
  <si>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</si>
  <si>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</si>
  <si>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</si>
  <si>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</si>
  <si>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</si>
  <si>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</si>
  <si>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</si>
  <si>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</si>
  <si>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</si>
  <si>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</si>
  <si>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</si>
  <si>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</si>
  <si>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</si>
  <si>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</si>
  <si>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</si>
  <si>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</si>
  <si>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</si>
  <si>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</si>
  <si>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</si>
  <si>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</si>
  <si>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</si>
  <si>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</si>
  <si>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</si>
  <si>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</si>
  <si>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</si>
  <si>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</si>
  <si>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</si>
  <si>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</si>
  <si>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</si>
  <si>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</si>
  <si>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</si>
  <si>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</si>
  <si>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</si>
  <si>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</si>
  <si>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</si>
  <si>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</si>
  <si>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</si>
  <si>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</si>
  <si>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</si>
  <si>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</si>
  <si>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</si>
  <si>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</si>
  <si>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</si>
  <si>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</si>
  <si>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</si>
  <si>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</si>
  <si>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</si>
  <si>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</si>
  <si>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</si>
  <si>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</si>
  <si>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</si>
  <si>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</si>
  <si>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</si>
  <si>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</si>
  <si>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</si>
  <si>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</si>
  <si>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</si>
  <si>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</si>
  <si>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</si>
  <si>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</si>
  <si>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</si>
  <si>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</si>
  <si>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</si>
  <si>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</si>
  <si>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</si>
  <si>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</si>
  <si>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</si>
  <si>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</si>
  <si>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</si>
  <si>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</si>
  <si>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</si>
  <si>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</si>
  <si>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</si>
  <si>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</si>
  <si>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</si>
  <si>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</si>
  <si>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</si>
  <si>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</si>
  <si>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</si>
  <si>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</si>
  <si>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</si>
  <si>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</si>
  <si>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</si>
  <si>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</si>
  <si>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</si>
  <si>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</si>
  <si>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</si>
  <si>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</si>
  <si>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</si>
  <si>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</si>
  <si>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</si>
  <si>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</si>
  <si>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</si>
  <si>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</si>
  <si>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</si>
  <si>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</si>
  <si>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</si>
  <si>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</si>
  <si>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</si>
  <si>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</si>
  <si>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</si>
  <si>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</si>
  <si>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</si>
  <si>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</si>
  <si>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</si>
  <si>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</si>
  <si>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</si>
  <si>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</si>
  <si>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</si>
  <si>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</si>
  <si>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</si>
  <si>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</si>
  <si>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</si>
  <si>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</si>
  <si>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</si>
  <si>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</si>
  <si>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</si>
  <si>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</si>
  <si>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</si>
  <si>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</si>
  <si>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</si>
  <si>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</si>
  <si>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</si>
  <si>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</si>
  <si>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</si>
  <si>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</si>
  <si>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</si>
  <si>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</si>
  <si>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</si>
  <si>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</si>
  <si>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</si>
  <si>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</si>
  <si>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</si>
  <si>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</si>
  <si>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</si>
  <si>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</si>
  <si>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</si>
  <si>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</si>
  <si>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</si>
  <si>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</si>
  <si>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</si>
  <si>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</si>
  <si>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</si>
  <si>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</si>
  <si>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</si>
  <si>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</si>
  <si>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</si>
  <si>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</si>
  <si>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</si>
  <si>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</si>
  <si>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</si>
  <si>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</si>
  <si>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</si>
  <si>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</si>
  <si>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</si>
  <si>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</si>
  <si>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</si>
  <si>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</si>
  <si>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</si>
  <si>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</si>
  <si>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</si>
  <si>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</si>
  <si>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</si>
  <si>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</si>
  <si>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</si>
  <si>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</si>
  <si>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</si>
  <si>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</si>
  <si>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</si>
  <si>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</si>
  <si>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</si>
  <si>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</si>
  <si>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</si>
  <si>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</si>
  <si>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</si>
  <si>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</si>
  <si>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</si>
  <si>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</si>
  <si>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</si>
  <si>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</si>
  <si>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</si>
  <si>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</si>
  <si>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</si>
  <si>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</si>
  <si>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</si>
  <si>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</si>
  <si>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</si>
  <si>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</si>
  <si>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</si>
  <si>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</si>
  <si>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</si>
  <si>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</si>
  <si>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</si>
  <si>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</si>
  <si>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</si>
  <si>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</si>
  <si>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</si>
  <si>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</si>
  <si>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</si>
  <si>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</si>
  <si>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</si>
  <si>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</si>
  <si>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</si>
  <si>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</si>
  <si>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</si>
  <si>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</si>
  <si>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</si>
  <si>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</si>
  <si>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</si>
  <si>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</si>
  <si>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</si>
  <si>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</si>
  <si>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</si>
  <si>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</si>
  <si>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</si>
  <si>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</si>
  <si>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</si>
  <si>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</si>
  <si>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</si>
  <si>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</si>
  <si>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</si>
  <si>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</si>
  <si>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</si>
  <si>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</si>
  <si>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</si>
  <si>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</si>
  <si>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</si>
  <si>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</si>
  <si>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</si>
  <si>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</si>
  <si>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</si>
  <si>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</si>
  <si>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</si>
  <si>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</si>
  <si>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</si>
  <si>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</si>
  <si>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</si>
  <si>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</si>
  <si>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</si>
  <si>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</si>
  <si>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</si>
  <si>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</si>
  <si>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</si>
  <si>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</si>
  <si>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</si>
  <si>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</si>
  <si>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</si>
  <si>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</si>
  <si>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</si>
  <si>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</si>
  <si>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</si>
  <si>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</si>
  <si>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</si>
  <si>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</si>
  <si>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</si>
  <si>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</si>
  <si>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</si>
  <si>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</si>
  <si>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</si>
  <si>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</si>
  <si>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</si>
  <si>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</si>
  <si>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</si>
  <si>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</si>
  <si>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</si>
  <si>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</si>
  <si>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</si>
  <si>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</si>
  <si>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</si>
  <si>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</si>
  <si>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</si>
  <si>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</si>
  <si>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</si>
  <si>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</si>
  <si>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</si>
  <si>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</si>
  <si>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</si>
  <si>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</si>
  <si>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</si>
  <si>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</si>
  <si>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</si>
  <si>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</si>
  <si>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</si>
  <si>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</si>
  <si>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</si>
  <si>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</si>
  <si>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</si>
  <si>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</si>
  <si>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</si>
  <si>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</si>
  <si>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</si>
  <si>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</si>
  <si>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</si>
  <si>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</si>
  <si>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</si>
  <si>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</si>
  <si>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</si>
  <si>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</si>
  <si>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</si>
  <si>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</si>
  <si>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</si>
  <si>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</si>
  <si>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</si>
  <si>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</si>
  <si>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</si>
  <si>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</si>
  <si>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</si>
  <si>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</si>
  <si>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</si>
  <si>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</si>
  <si>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</si>
  <si>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</si>
  <si>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</si>
  <si>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</si>
  <si>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</si>
  <si>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</si>
  <si>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</si>
  <si>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</si>
  <si>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</si>
  <si>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</si>
  <si>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</si>
  <si>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</si>
  <si>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</si>
  <si>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</si>
  <si>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</si>
  <si>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</si>
  <si>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</si>
  <si>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</si>
  <si>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</si>
  <si>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</si>
  <si>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</si>
  <si>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</si>
  <si>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</si>
  <si>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</si>
  <si>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</si>
  <si>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</si>
  <si>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</si>
  <si>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</si>
  <si>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</si>
  <si>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</si>
  <si>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</si>
  <si>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</si>
  <si>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</si>
  <si>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</si>
  <si>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</si>
  <si>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</si>
  <si>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</si>
  <si>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</si>
  <si>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</si>
  <si>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</si>
  <si>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</si>
  <si>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</si>
  <si>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</si>
  <si>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</si>
  <si>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</si>
  <si>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</si>
  <si>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</si>
  <si>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</si>
  <si>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</si>
  <si>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</si>
  <si>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</si>
  <si>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</si>
  <si>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</si>
  <si>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</si>
  <si>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</si>
  <si>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</si>
  <si>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</si>
  <si>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</si>
  <si>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</si>
  <si>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</si>
  <si>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</si>
  <si>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</si>
  <si>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</si>
  <si>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</si>
  <si>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</si>
  <si>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</si>
  <si>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</si>
  <si>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</si>
  <si>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</si>
  <si>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</si>
  <si>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</si>
  <si>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</si>
  <si>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</si>
  <si>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</si>
  <si>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</si>
  <si>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</si>
  <si>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</si>
  <si>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</si>
  <si>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</si>
  <si>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</si>
  <si>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</si>
  <si>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</si>
  <si>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</si>
  <si>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</si>
  <si>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</si>
  <si>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</si>
  <si>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</si>
  <si>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</si>
  <si>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</si>
  <si>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</si>
  <si>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</si>
  <si>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</si>
  <si>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</si>
  <si>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</si>
  <si>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</si>
  <si>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</si>
  <si>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</si>
  <si>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</si>
  <si>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</si>
  <si>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</si>
  <si>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</si>
  <si>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</si>
  <si>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</si>
  <si>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</si>
  <si>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</si>
  <si>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</si>
  <si>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</si>
  <si>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</si>
  <si>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</si>
  <si>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</si>
  <si>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</si>
  <si>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</si>
  <si>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</si>
  <si>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</si>
  <si>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</si>
  <si>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</si>
  <si>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</si>
  <si>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</si>
  <si>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</si>
  <si>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</si>
  <si>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</si>
  <si>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</si>
  <si>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</si>
  <si>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</si>
  <si>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</si>
  <si>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</si>
  <si>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</si>
  <si>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</si>
  <si>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</si>
  <si>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</si>
  <si>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</si>
  <si>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</si>
  <si>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</si>
  <si>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</si>
  <si>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</si>
  <si>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</si>
  <si>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</si>
  <si>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</si>
  <si>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</si>
  <si>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</si>
  <si>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</si>
  <si>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</si>
  <si>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</si>
  <si>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</si>
  <si>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</si>
  <si>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</si>
  <si>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</si>
  <si>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</si>
  <si>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</si>
  <si>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</si>
  <si>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</si>
  <si>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</si>
  <si>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</si>
  <si>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</si>
  <si>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</si>
  <si>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</si>
  <si>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</si>
  <si>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</si>
  <si>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</si>
  <si>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</si>
  <si>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</si>
  <si>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</si>
  <si>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</si>
  <si>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</si>
  <si>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</si>
  <si>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</si>
  <si>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</si>
  <si>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</si>
  <si>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</si>
  <si>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</si>
  <si>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</si>
  <si>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</si>
  <si>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</si>
  <si>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</si>
  <si>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</si>
  <si>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</si>
  <si>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</si>
  <si>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</si>
  <si>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</si>
  <si>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</si>
  <si>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</si>
  <si>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</si>
  <si>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</si>
  <si>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</si>
  <si>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</si>
  <si>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</si>
  <si>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</si>
  <si>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</si>
  <si>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</si>
  <si>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</si>
  <si>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</si>
  <si>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</si>
  <si>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</si>
  <si>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</si>
  <si>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</si>
  <si>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</si>
  <si>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</si>
  <si>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</si>
  <si>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</si>
  <si>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</si>
  <si>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</si>
  <si>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</si>
  <si>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</si>
  <si>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</si>
  <si>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</si>
  <si>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</si>
  <si>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</si>
  <si>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</si>
  <si>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</si>
  <si>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</si>
  <si>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</si>
  <si>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</si>
  <si>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</si>
  <si>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</si>
  <si>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</si>
  <si>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</si>
  <si>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</si>
  <si>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</si>
  <si>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</si>
  <si>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</si>
  <si>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</si>
  <si>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</si>
  <si>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</si>
  <si>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</si>
  <si>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</si>
  <si>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</si>
  <si>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</si>
  <si>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</si>
  <si>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</si>
  <si>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</si>
  <si>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</si>
  <si>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</si>
  <si>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</si>
  <si>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</si>
  <si>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</si>
  <si>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</si>
  <si>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</si>
  <si>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</si>
  <si>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</si>
  <si>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</si>
  <si>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</si>
  <si>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</si>
  <si>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</si>
  <si>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</si>
  <si>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</si>
  <si>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</si>
  <si>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</si>
  <si>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</si>
  <si>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</si>
  <si>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</si>
  <si>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</si>
  <si>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</si>
  <si>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</si>
  <si>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</si>
  <si>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</si>
  <si>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</si>
  <si>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</si>
  <si>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</si>
  <si>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</si>
  <si>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</si>
  <si>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</si>
  <si>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</si>
  <si>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</si>
  <si>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</si>
  <si>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</si>
  <si>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</si>
  <si>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</si>
  <si>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</si>
  <si>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</si>
  <si>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</si>
  <si>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</si>
  <si>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</si>
  <si>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</si>
  <si>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</si>
  <si>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</si>
  <si>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</si>
  <si>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</si>
  <si>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</si>
  <si>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</si>
  <si>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</si>
  <si>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</si>
  <si>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</si>
  <si>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</si>
  <si>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</si>
  <si>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</si>
  <si>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</si>
  <si>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</si>
  <si>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</si>
  <si>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</si>
  <si>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</si>
  <si>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</si>
  <si>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</si>
  <si>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</si>
  <si>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</si>
  <si>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</si>
  <si>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</si>
  <si>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</si>
  <si>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</si>
  <si>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</si>
  <si>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</si>
  <si>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</si>
  <si>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</si>
  <si>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</si>
  <si>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</si>
  <si>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</si>
  <si>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</si>
  <si>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</si>
  <si>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</si>
  <si>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</si>
  <si>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</si>
  <si>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</si>
  <si>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</si>
  <si>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</si>
  <si>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</si>
  <si>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</si>
  <si>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</si>
  <si>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</si>
  <si>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</si>
  <si>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</si>
  <si>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</si>
  <si>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</si>
  <si>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</si>
  <si>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</si>
  <si>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</si>
  <si>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</si>
  <si>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</si>
  <si>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</si>
  <si>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</si>
  <si>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</si>
  <si>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</si>
  <si>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</si>
  <si>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</si>
  <si>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</si>
  <si>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</si>
  <si>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</si>
  <si>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</si>
  <si>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</si>
  <si>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</si>
  <si>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</si>
  <si>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</si>
  <si>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</si>
  <si>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</si>
  <si>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</si>
  <si>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</si>
  <si>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</si>
  <si>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</si>
  <si>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</si>
  <si>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</si>
  <si>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</si>
  <si>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</si>
  <si>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</si>
  <si>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</si>
  <si>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</si>
  <si>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</si>
  <si>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</si>
  <si>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</si>
  <si>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</si>
  <si>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</si>
  <si>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</si>
  <si>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</si>
  <si>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</si>
  <si>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</si>
  <si>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</si>
  <si>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</si>
  <si>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</si>
  <si>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</si>
  <si>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</si>
  <si>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</si>
  <si>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</si>
  <si>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</si>
  <si>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</si>
  <si>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</si>
  <si>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</si>
  <si>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</si>
  <si>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</si>
  <si>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</si>
  <si>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</si>
  <si>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</si>
  <si>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</si>
  <si>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</si>
  <si>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</si>
  <si>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</si>
  <si>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</si>
  <si>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</si>
  <si>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</si>
  <si>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</si>
  <si>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</si>
  <si>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</si>
  <si>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</si>
  <si>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</si>
  <si>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</si>
  <si>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</si>
  <si>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</si>
  <si>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</si>
  <si>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</si>
  <si>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</si>
  <si>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</si>
  <si>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</si>
  <si>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</si>
  <si>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</si>
  <si>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</si>
  <si>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</si>
  <si>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</si>
  <si>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</si>
  <si>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</si>
  <si>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</si>
  <si>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</si>
  <si>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</si>
  <si>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</si>
  <si>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</si>
  <si>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</si>
  <si>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</si>
  <si>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</si>
  <si>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</si>
  <si>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</si>
  <si>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</si>
  <si>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</si>
  <si>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</si>
  <si>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</si>
  <si>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</si>
  <si>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</si>
  <si>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</si>
  <si>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</si>
  <si>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</si>
  <si>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</si>
  <si>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</si>
  <si>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</si>
  <si>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</si>
  <si>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</si>
  <si>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</si>
  <si>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</si>
  <si>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</si>
  <si>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</si>
  <si>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</si>
  <si>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</si>
  <si>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</si>
  <si>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</si>
  <si>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</si>
  <si>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</si>
  <si>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</si>
  <si>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</si>
  <si>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</si>
  <si>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</si>
  <si>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</si>
  <si>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</si>
  <si>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</si>
  <si>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</si>
  <si>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</si>
  <si>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</si>
  <si>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</si>
  <si>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</si>
  <si>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</si>
  <si>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</si>
  <si>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</si>
  <si>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</si>
  <si>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</si>
  <si>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</si>
  <si>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</si>
  <si>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</si>
  <si>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</si>
  <si>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</si>
  <si>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</si>
  <si>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</si>
  <si>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</si>
  <si>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</si>
  <si>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</si>
  <si>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</si>
  <si>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</si>
  <si>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</si>
  <si>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</si>
  <si>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</si>
  <si>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</si>
  <si>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</si>
  <si>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</si>
  <si>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</si>
  <si>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</si>
  <si>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</si>
  <si>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</si>
  <si>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</si>
  <si>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</si>
  <si>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</si>
  <si>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</si>
  <si>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</si>
  <si>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</si>
  <si>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</si>
  <si>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</si>
  <si>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</si>
  <si>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</si>
  <si>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</si>
  <si>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</si>
  <si>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</si>
  <si>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</si>
  <si>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</si>
  <si>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</si>
  <si>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</si>
  <si>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</si>
  <si>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</si>
  <si>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</si>
  <si>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</si>
  <si>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</si>
  <si>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</si>
  <si>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</si>
  <si>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</si>
  <si>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</si>
  <si>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</si>
  <si>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</si>
  <si>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</si>
  <si>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</si>
  <si>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</si>
  <si>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</si>
  <si>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</si>
  <si>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</si>
  <si>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</si>
  <si>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</si>
  <si>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</si>
  <si>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</si>
  <si>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</si>
  <si>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</si>
  <si>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</si>
  <si>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</si>
  <si>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</si>
  <si>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</si>
  <si>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</si>
  <si>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</si>
  <si>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</si>
  <si>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</si>
  <si>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</si>
  <si>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</si>
  <si>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</si>
  <si>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</si>
  <si>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</si>
  <si>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</si>
  <si>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</si>
  <si>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</si>
  <si>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</si>
  <si>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</si>
  <si>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</si>
  <si>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</si>
  <si>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</si>
  <si>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</si>
  <si>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</si>
  <si>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</si>
  <si>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</si>
  <si>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</si>
  <si>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</si>
  <si>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</si>
  <si>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</si>
  <si>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</si>
  <si>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</si>
  <si>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</si>
  <si>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</si>
  <si>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</si>
  <si>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</si>
  <si>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</si>
  <si>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</si>
  <si>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</si>
  <si>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</si>
  <si>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</si>
  <si>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</si>
  <si>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</si>
  <si>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</si>
  <si>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</si>
  <si>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</si>
  <si>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</si>
  <si>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</si>
  <si>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</si>
  <si>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</si>
  <si>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</si>
  <si>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</si>
  <si>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</si>
  <si>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</si>
  <si>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</si>
  <si>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</si>
  <si>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</si>
  <si>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</si>
  <si>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</si>
  <si>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</si>
  <si>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</si>
  <si>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</si>
  <si>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</si>
  <si>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</si>
  <si>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</si>
  <si>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</si>
  <si>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</si>
  <si>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</si>
  <si>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</si>
  <si>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</si>
  <si>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</si>
  <si>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</si>
  <si>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</si>
  <si>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</si>
  <si>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</si>
  <si>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</si>
  <si>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</si>
  <si>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</si>
  <si>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</si>
  <si>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</si>
  <si>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</si>
  <si>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</si>
  <si>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</si>
  <si>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</si>
  <si>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</si>
  <si>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</si>
  <si>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</si>
  <si>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</si>
  <si>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</si>
  <si>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</si>
  <si>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</si>
  <si>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</si>
  <si>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</si>
  <si>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</si>
  <si>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</si>
  <si>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</si>
  <si>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</si>
  <si>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</si>
  <si>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</si>
  <si>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</si>
  <si>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</si>
  <si>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</si>
  <si>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</si>
  <si>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</si>
  <si>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</si>
  <si>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</si>
  <si>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</si>
  <si>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</si>
  <si>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</si>
  <si>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</si>
  <si>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</si>
  <si>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</si>
  <si>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</si>
  <si>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</si>
  <si>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</si>
  <si>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</si>
  <si>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</si>
  <si>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</si>
  <si>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</si>
  <si>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</si>
  <si>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</si>
  <si>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</si>
  <si>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</si>
  <si>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</si>
  <si>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</si>
  <si>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</si>
  <si>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</si>
  <si>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</si>
  <si>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</si>
  <si>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</si>
  <si>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</si>
  <si>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</si>
  <si>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</si>
  <si>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</si>
  <si>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</si>
  <si>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</si>
  <si>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</si>
  <si>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</si>
  <si>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</si>
  <si>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</si>
  <si>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</si>
  <si>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</si>
  <si>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</si>
  <si>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</si>
  <si>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</si>
  <si>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</si>
  <si>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</si>
  <si>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</si>
  <si>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</si>
  <si>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</si>
  <si>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</si>
  <si>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</si>
  <si>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</si>
  <si>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</si>
  <si>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</si>
  <si>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</si>
  <si>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</si>
  <si>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</si>
  <si>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</si>
  <si>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</si>
  <si>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</si>
  <si>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</si>
  <si>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</si>
  <si>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</si>
  <si>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</si>
  <si>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</si>
  <si>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</si>
  <si>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</si>
  <si>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</si>
  <si>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</si>
  <si>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</si>
  <si>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</si>
  <si>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</si>
  <si>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</si>
  <si>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</si>
  <si>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</si>
  <si>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</si>
  <si>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</si>
  <si>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</si>
  <si>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</si>
  <si>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</si>
  <si>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</si>
  <si>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</si>
  <si>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</si>
  <si>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</si>
  <si>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</si>
  <si>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</si>
  <si>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</si>
  <si>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</si>
  <si>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</si>
  <si>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</si>
  <si>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</si>
  <si>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</si>
  <si>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</si>
  <si>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</si>
  <si>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</si>
  <si>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</si>
  <si>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</si>
  <si>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</si>
  <si>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</si>
  <si>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</si>
  <si>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</si>
  <si>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</si>
  <si>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</si>
  <si>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</si>
  <si>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</si>
  <si>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</si>
  <si>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</si>
  <si>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</si>
  <si>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</si>
  <si>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</si>
  <si>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</si>
  <si>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</si>
  <si>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</si>
  <si>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</si>
  <si>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</si>
  <si>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</si>
  <si>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</si>
  <si>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</si>
  <si>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</si>
  <si>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</si>
  <si>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</si>
  <si>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</si>
  <si>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</si>
  <si>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</si>
  <si>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</si>
  <si>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</si>
  <si>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</si>
  <si>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</si>
  <si>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</si>
  <si>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</si>
  <si>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</si>
  <si>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</si>
  <si>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</si>
  <si>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</si>
  <si>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</si>
  <si>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</si>
  <si>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</si>
  <si>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</si>
  <si>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</si>
  <si>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</si>
  <si>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</si>
  <si>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</si>
  <si>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</si>
  <si>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</si>
  <si>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</si>
  <si>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</si>
  <si>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</si>
  <si>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</si>
  <si>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</si>
  <si>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</si>
  <si>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</si>
  <si>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</si>
  <si>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</si>
  <si>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</si>
  <si>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</si>
  <si>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</si>
  <si>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</si>
  <si>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</si>
  <si>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</si>
  <si>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</si>
  <si>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</si>
  <si>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</si>
  <si>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</si>
  <si>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</si>
  <si>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</si>
  <si>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</si>
  <si>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</si>
  <si>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</si>
  <si>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</si>
  <si>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</si>
  <si>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</si>
  <si>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</si>
  <si>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</si>
  <si>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</si>
  <si>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</si>
  <si>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</si>
  <si>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</si>
  <si>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</si>
  <si>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</si>
  <si>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</si>
  <si>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</si>
  <si>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</si>
  <si>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</si>
  <si>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</si>
  <si>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</si>
  <si>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</si>
  <si>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</si>
  <si>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</si>
  <si>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</si>
  <si>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</si>
  <si>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</si>
  <si>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</si>
  <si>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</si>
  <si>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</si>
  <si>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</si>
  <si>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</si>
  <si>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</si>
  <si>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</si>
  <si>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</si>
  <si>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</si>
  <si>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</si>
  <si>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</si>
  <si>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</si>
  <si>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</si>
  <si>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</si>
  <si>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</si>
  <si>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</si>
  <si>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</si>
  <si>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</si>
  <si>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</si>
  <si>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</si>
  <si>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</si>
  <si>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</si>
  <si>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</si>
  <si>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</si>
  <si>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</si>
  <si>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</si>
  <si>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</si>
  <si>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</si>
  <si>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</si>
  <si>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</si>
  <si>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</si>
  <si>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</si>
  <si>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</si>
  <si>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</si>
  <si>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</si>
  <si>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</si>
  <si>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</si>
  <si>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</si>
  <si>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</si>
  <si>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</si>
  <si>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</si>
  <si>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</si>
  <si>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</si>
  <si>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</si>
  <si>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</si>
  <si>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</si>
  <si>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</si>
  <si>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</si>
  <si>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</si>
  <si>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</si>
  <si>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</si>
  <si>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</si>
  <si>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</si>
  <si>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</si>
  <si>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</si>
  <si>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</si>
  <si>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</si>
  <si>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</si>
  <si>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</si>
  <si>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</si>
  <si>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</si>
  <si>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</si>
  <si>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</si>
  <si>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</si>
  <si>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</si>
  <si>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</si>
  <si>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</si>
  <si>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</si>
  <si>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</si>
  <si>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</si>
  <si>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</si>
  <si>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</si>
  <si>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</si>
  <si>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</si>
  <si>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</si>
  <si>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</si>
  <si>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</si>
  <si>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</si>
  <si>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</si>
  <si>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</si>
  <si>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</si>
  <si>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</si>
  <si>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</si>
  <si>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</si>
  <si>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</si>
  <si>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</si>
  <si>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</si>
  <si>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</si>
  <si>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</si>
  <si>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</si>
  <si>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</si>
  <si>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</si>
  <si>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</si>
  <si>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</si>
  <si>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</si>
  <si>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</si>
  <si>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</si>
  <si>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</si>
  <si>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</si>
  <si>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</si>
  <si>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</si>
  <si>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</si>
  <si>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</si>
  <si>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</si>
  <si>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</si>
  <si>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</si>
  <si>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</si>
  <si>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</si>
  <si>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</si>
  <si>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</si>
  <si>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</si>
  <si>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</si>
  <si>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</si>
  <si>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</si>
  <si>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</si>
  <si>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</si>
  <si>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</si>
  <si>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</si>
  <si>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</si>
  <si>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</si>
  <si>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</si>
  <si>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</si>
  <si>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</si>
  <si>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</si>
  <si>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</si>
  <si>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</si>
  <si>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</si>
  <si>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</si>
  <si>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</si>
  <si>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</si>
  <si>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</si>
  <si>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</si>
  <si>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</si>
  <si>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</si>
  <si>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</si>
  <si>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</si>
  <si>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</si>
  <si>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</si>
  <si>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</si>
  <si>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</si>
  <si>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</si>
  <si>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</si>
  <si>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</si>
  <si>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</si>
  <si>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</si>
  <si>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</si>
  <si>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</si>
  <si>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</si>
  <si>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</si>
  <si>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</si>
  <si>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</si>
  <si>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</si>
  <si>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</si>
  <si>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</si>
  <si>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</si>
  <si>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</si>
  <si>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</si>
  <si>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</si>
  <si>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</si>
  <si>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</si>
  <si>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</si>
  <si>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</si>
  <si>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</si>
  <si>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</si>
  <si>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</si>
  <si>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</si>
  <si>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</si>
  <si>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</si>
  <si>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</si>
  <si>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</si>
  <si>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</si>
  <si>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</si>
  <si>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</si>
  <si>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</si>
  <si>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</si>
  <si>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</si>
  <si>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</si>
  <si>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</si>
  <si>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</si>
  <si>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</si>
  <si>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</si>
  <si>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</si>
  <si>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</si>
  <si>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</si>
  <si>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</si>
  <si>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</si>
  <si>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</si>
  <si>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</si>
  <si>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</si>
  <si>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</si>
  <si>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</si>
  <si>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</si>
  <si>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</si>
  <si>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</si>
  <si>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</si>
  <si>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</si>
  <si>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</si>
  <si>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</si>
  <si>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</si>
  <si>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</si>
  <si>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</si>
  <si>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</si>
  <si>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</si>
  <si>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</si>
  <si>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</si>
  <si>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</si>
  <si>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</si>
  <si>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</si>
  <si>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</si>
  <si>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</si>
  <si>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</si>
  <si>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</si>
  <si>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</si>
  <si>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</si>
  <si>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</si>
  <si>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</si>
  <si>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</si>
  <si>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</si>
  <si>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</si>
  <si>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</si>
  <si>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</si>
  <si>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</si>
  <si>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</si>
  <si>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</si>
  <si>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</si>
  <si>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</si>
  <si>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</si>
  <si>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</si>
  <si>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</si>
  <si>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</si>
  <si>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</si>
  <si>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</si>
  <si>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</si>
  <si>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</si>
  <si>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</si>
  <si>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</si>
  <si>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</si>
  <si>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</si>
  <si>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</si>
  <si>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</si>
  <si>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</si>
  <si>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</si>
  <si>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</si>
  <si>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</si>
  <si>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</si>
  <si>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</si>
  <si>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</si>
  <si>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</si>
  <si>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</si>
  <si>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</si>
  <si>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</si>
  <si>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</si>
  <si>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</si>
  <si>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</si>
  <si>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</si>
  <si>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</si>
  <si>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</si>
  <si>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</si>
  <si>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</si>
  <si>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</si>
  <si>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</si>
  <si>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</si>
  <si>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</si>
  <si>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</si>
  <si>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</si>
  <si>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</si>
  <si>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</si>
  <si>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</si>
  <si>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</si>
  <si>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</si>
  <si>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</si>
  <si>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</si>
  <si>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</si>
  <si>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</si>
  <si>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</si>
  <si>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</si>
  <si>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</si>
  <si>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</si>
  <si>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</si>
  <si>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</si>
  <si>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</si>
  <si>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</si>
  <si>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</si>
  <si>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</si>
  <si>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</si>
  <si>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</si>
  <si>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</si>
  <si>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</si>
  <si>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</si>
  <si>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</si>
  <si>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</si>
  <si>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</si>
  <si>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</si>
  <si>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</si>
  <si>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</si>
  <si>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</si>
  <si>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</si>
  <si>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</si>
  <si>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</si>
  <si>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</si>
  <si>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</si>
  <si>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</si>
  <si>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</si>
  <si>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</si>
  <si>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</si>
  <si>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</si>
  <si>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</si>
  <si>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</si>
  <si>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</si>
  <si>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</si>
  <si>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</si>
  <si>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</si>
  <si>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</si>
  <si>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</si>
  <si>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</si>
  <si>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</si>
  <si>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</si>
  <si>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</si>
  <si>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</si>
  <si>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</si>
  <si>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</si>
  <si>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</si>
  <si>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</si>
  <si>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</si>
  <si>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</si>
  <si>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</si>
  <si>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</si>
  <si>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</si>
  <si>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</si>
  <si>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</si>
  <si>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</si>
  <si>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</si>
  <si>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</si>
  <si>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</si>
  <si>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</si>
  <si>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</si>
  <si>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</si>
  <si>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</si>
  <si>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</si>
  <si>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</si>
  <si>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</si>
  <si>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</si>
  <si>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</si>
  <si>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</si>
  <si>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</si>
  <si>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</si>
  <si>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</si>
  <si>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</si>
  <si>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</si>
  <si>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</si>
  <si>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</si>
  <si>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</si>
  <si>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</si>
  <si>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</si>
  <si>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</si>
  <si>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</si>
  <si>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</si>
  <si>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</si>
  <si>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</si>
  <si>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</si>
  <si>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</si>
  <si>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</si>
  <si>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</si>
  <si>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</si>
  <si>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</si>
  <si>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</si>
  <si>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</si>
  <si>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</si>
  <si>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</si>
  <si>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</si>
  <si>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</si>
  <si>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</si>
  <si>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</si>
  <si>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</si>
  <si>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</si>
  <si>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</si>
  <si>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</si>
  <si>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</si>
  <si>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</si>
  <si>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</si>
  <si>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</si>
  <si>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</si>
  <si>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</si>
  <si>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</si>
  <si>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</si>
  <si>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</si>
  <si>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</si>
  <si>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</si>
  <si>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</si>
  <si>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</si>
  <si>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</si>
  <si>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</si>
  <si>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</si>
  <si>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</si>
  <si>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</si>
  <si>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</si>
  <si>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</si>
  <si>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</si>
  <si>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</si>
  <si>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</si>
  <si>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</si>
  <si>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</si>
  <si>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</si>
  <si>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</si>
  <si>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</si>
  <si>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</si>
  <si>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</si>
  <si>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</si>
  <si>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</si>
  <si>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</si>
  <si>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</si>
  <si>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</si>
  <si>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</si>
  <si>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</si>
  <si>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</si>
  <si>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</si>
  <si>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</si>
  <si>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</si>
  <si>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</si>
  <si>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</si>
  <si>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</si>
  <si>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</si>
  <si>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</si>
  <si>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</si>
  <si>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</si>
  <si>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</si>
  <si>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</si>
  <si>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</si>
  <si>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</si>
  <si>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</si>
  <si>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</si>
  <si>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</si>
  <si>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</si>
  <si>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</si>
  <si>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</si>
  <si>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</si>
  <si>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</si>
  <si>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</si>
  <si>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</si>
  <si>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</si>
  <si>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</si>
  <si>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</si>
  <si>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</si>
  <si>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</si>
  <si>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</si>
  <si>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</si>
  <si>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</si>
  <si>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</si>
  <si>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</si>
  <si>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</si>
  <si>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</si>
  <si>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</si>
  <si>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</si>
  <si>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</si>
  <si>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</si>
  <si>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</si>
  <si>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</si>
  <si>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</si>
  <si>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</si>
  <si>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</si>
  <si>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</si>
  <si>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</si>
  <si>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</si>
  <si>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</si>
  <si>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</si>
  <si>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</si>
  <si>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</si>
  <si>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</si>
  <si>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</si>
  <si>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</si>
  <si>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</si>
  <si>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</si>
  <si>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</si>
  <si>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</si>
  <si>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</si>
  <si>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</si>
  <si>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</si>
  <si>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</si>
  <si>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</si>
  <si>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</si>
  <si>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</si>
  <si>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</si>
  <si>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</si>
  <si>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</si>
  <si>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</si>
  <si>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</si>
  <si>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</si>
  <si>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</si>
  <si>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</si>
  <si>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</si>
  <si>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</si>
  <si>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</si>
  <si>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</si>
  <si>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</si>
  <si>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</si>
  <si>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</si>
  <si>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</si>
  <si>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</si>
  <si>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</si>
  <si>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</si>
  <si>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</si>
  <si>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</si>
  <si>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</si>
  <si>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</si>
  <si>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</si>
  <si>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</si>
  <si>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</si>
  <si>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</si>
  <si>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</si>
  <si>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</si>
  <si>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</si>
  <si>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</si>
  <si>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</si>
  <si>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</si>
  <si>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</si>
  <si>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</si>
  <si>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</si>
  <si>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</si>
  <si>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</si>
  <si>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</si>
  <si>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</si>
  <si>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</si>
  <si>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</si>
  <si>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</si>
  <si>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</si>
  <si>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</si>
  <si>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</si>
  <si>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</si>
  <si>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</si>
  <si>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</si>
  <si>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</si>
  <si>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</si>
  <si>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</si>
  <si>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</si>
  <si>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</si>
  <si>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</si>
  <si>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</si>
  <si>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</si>
  <si>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</si>
  <si>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</si>
  <si>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</si>
  <si>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</si>
  <si>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</si>
  <si>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</si>
  <si>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</si>
  <si>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</si>
  <si>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</si>
  <si>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</si>
  <si>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</si>
  <si>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</si>
  <si>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</si>
  <si>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</si>
  <si>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</si>
  <si>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</si>
  <si>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</si>
  <si>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</si>
  <si>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</si>
  <si>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</si>
  <si>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</si>
  <si>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</si>
  <si>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</si>
  <si>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</si>
  <si>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</si>
  <si>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</si>
  <si>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</si>
  <si>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</si>
  <si>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</si>
  <si>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</si>
  <si>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</si>
  <si>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</si>
  <si>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</si>
  <si>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</si>
  <si>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</si>
  <si>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</si>
  <si>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</si>
  <si>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</si>
  <si>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</si>
  <si>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</si>
  <si>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</si>
  <si>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</si>
  <si>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</si>
  <si>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</si>
  <si>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</si>
  <si>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</si>
  <si>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</si>
  <si>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</si>
  <si>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</si>
  <si>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</si>
  <si>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</si>
  <si>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</si>
  <si>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</si>
  <si>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</si>
  <si>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</si>
  <si>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</si>
  <si>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</si>
  <si>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</si>
  <si>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</si>
  <si>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</si>
  <si>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</si>
  <si>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</si>
  <si>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</si>
  <si>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</si>
  <si>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</si>
  <si>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</si>
  <si>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</si>
  <si>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</si>
  <si>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</si>
  <si>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</si>
  <si>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</si>
  <si>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</si>
  <si>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</si>
  <si>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</si>
  <si>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</si>
  <si>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</si>
  <si>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</si>
  <si>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</si>
  <si>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</si>
  <si>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</si>
  <si>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</si>
  <si>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</si>
  <si>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</si>
  <si>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</si>
  <si>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</si>
  <si>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</si>
  <si>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</si>
  <si>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</si>
  <si>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</si>
  <si>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</si>
  <si>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</si>
  <si>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</si>
  <si>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</si>
  <si>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</si>
  <si>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</si>
  <si>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</si>
  <si>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</si>
  <si>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</si>
  <si>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</si>
  <si>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</si>
  <si>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</si>
  <si>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</si>
  <si>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</si>
  <si>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</si>
  <si>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</si>
  <si>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</si>
  <si>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</si>
  <si>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</si>
  <si>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</si>
  <si>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</si>
  <si>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</si>
  <si>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</si>
  <si>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</si>
  <si>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</si>
  <si>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</si>
  <si>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</si>
  <si>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</si>
  <si>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</si>
  <si>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</si>
  <si>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</si>
  <si>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</si>
  <si>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</si>
  <si>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</si>
  <si>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</si>
  <si>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</si>
  <si>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</si>
  <si>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</si>
  <si>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</si>
  <si>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</si>
  <si>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</si>
  <si>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</si>
  <si>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</si>
  <si>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</si>
  <si>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</si>
  <si>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</si>
  <si>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</si>
  <si>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</si>
  <si>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</si>
  <si>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</si>
  <si>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</si>
  <si>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</si>
  <si>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</si>
  <si>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</si>
  <si>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</si>
  <si>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</si>
  <si>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</si>
  <si>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</si>
  <si>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</si>
  <si>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</si>
  <si>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</si>
  <si>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</si>
  <si>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</si>
  <si>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</si>
  <si>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</si>
  <si>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</si>
  <si>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</si>
  <si>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</si>
  <si>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</si>
  <si>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</si>
  <si>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</si>
  <si>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</si>
  <si>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</si>
  <si>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</si>
  <si>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</si>
  <si>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</si>
  <si>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</si>
  <si>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</si>
  <si>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</si>
  <si>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</si>
  <si>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</si>
  <si>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</si>
  <si>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</si>
  <si>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</si>
  <si>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</si>
  <si>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</si>
  <si>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</si>
  <si>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</si>
  <si>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</si>
  <si>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</si>
  <si>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</si>
  <si>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</si>
  <si>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</si>
  <si>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</si>
  <si>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</si>
  <si>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</si>
  <si>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</si>
  <si>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</si>
  <si>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</si>
  <si>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</si>
  <si>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</si>
  <si>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</si>
  <si>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</si>
  <si>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</si>
  <si>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</si>
  <si>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</si>
  <si>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</si>
  <si>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</si>
  <si>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</si>
  <si>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</si>
  <si>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</si>
  <si>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</si>
  <si>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</si>
  <si>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</si>
  <si>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</si>
  <si>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</si>
  <si>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</si>
  <si>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</si>
  <si>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</si>
  <si>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</si>
  <si>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</si>
  <si>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</si>
  <si>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</si>
  <si>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</si>
  <si>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</si>
  <si>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</si>
  <si>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</si>
  <si>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</si>
  <si>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</si>
  <si>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</si>
  <si>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</si>
  <si>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</si>
  <si>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</si>
  <si>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</si>
  <si>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</si>
  <si>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</si>
  <si>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</si>
  <si>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</si>
  <si>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</si>
  <si>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</si>
  <si>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</si>
  <si>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</si>
  <si>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</si>
  <si>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</si>
  <si>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</si>
  <si>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</si>
  <si>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</si>
  <si>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</si>
  <si>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</si>
  <si>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</si>
  <si>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</si>
  <si>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</si>
  <si>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</si>
  <si>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</si>
  <si>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</si>
  <si>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</si>
  <si>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</si>
  <si>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</si>
  <si>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</si>
  <si>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</si>
  <si>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</si>
  <si>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</si>
  <si>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</si>
  <si>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</si>
  <si>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</si>
  <si>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</si>
  <si>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</si>
  <si>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</si>
  <si>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</si>
  <si>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</si>
  <si>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</si>
  <si>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</si>
  <si>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</si>
  <si>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</si>
  <si>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</si>
  <si>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</si>
  <si>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</si>
  <si>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</si>
  <si>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</si>
  <si>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</si>
  <si>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</si>
  <si>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</si>
  <si>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</si>
  <si>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</si>
  <si>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</si>
  <si>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</si>
  <si>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</si>
  <si>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</si>
  <si>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</si>
  <si>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</si>
  <si>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</si>
  <si>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</si>
  <si>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</si>
  <si>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</si>
  <si>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</si>
  <si>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</si>
  <si>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</si>
  <si>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</si>
  <si>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</si>
  <si>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</si>
  <si>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</si>
  <si>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</si>
  <si>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</si>
  <si>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</si>
  <si>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</si>
  <si>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</si>
  <si>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</si>
  <si>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</si>
  <si>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</si>
  <si>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</si>
  <si>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</si>
  <si>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</si>
  <si>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</si>
  <si>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</si>
  <si>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</si>
  <si>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</si>
  <si>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</si>
  <si>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</si>
  <si>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</si>
  <si>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</si>
  <si>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</si>
  <si>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</si>
  <si>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</si>
  <si>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</si>
  <si>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</si>
  <si>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</si>
  <si>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</si>
  <si>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</si>
  <si>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</si>
  <si>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</si>
  <si>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</si>
  <si>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</si>
  <si>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</si>
  <si>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</si>
  <si>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</si>
  <si>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</si>
  <si>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</si>
  <si>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</si>
  <si>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</si>
  <si>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</si>
  <si>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</si>
  <si>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</si>
  <si>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</si>
  <si>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</si>
  <si>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</si>
  <si>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</si>
  <si>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</si>
  <si>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</si>
  <si>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</si>
  <si>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</si>
  <si>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</si>
  <si>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</si>
  <si>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</si>
  <si>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</si>
  <si>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</si>
  <si>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</si>
  <si>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</si>
  <si>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</si>
  <si>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</si>
  <si>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</si>
  <si>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</si>
  <si>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</si>
  <si>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</si>
  <si>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</si>
  <si>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</si>
  <si>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</si>
  <si>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</si>
  <si>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</si>
  <si>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</si>
  <si>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</si>
  <si>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</si>
  <si>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</si>
  <si>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</si>
  <si>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</si>
  <si>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</si>
  <si>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</si>
  <si>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</si>
  <si>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</si>
  <si>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</si>
  <si>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</si>
  <si>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</si>
  <si>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</si>
  <si>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</si>
  <si>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</si>
  <si>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</si>
  <si>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</si>
  <si>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</si>
  <si>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</si>
  <si>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</si>
  <si>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</si>
  <si>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</si>
  <si>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</si>
  <si>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</si>
  <si>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</si>
  <si>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</si>
  <si>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</si>
  <si>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</si>
  <si>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</si>
  <si>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</si>
  <si>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</si>
  <si>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</si>
  <si>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</si>
  <si>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</si>
  <si>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</si>
  <si>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</si>
  <si>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</si>
  <si>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</si>
  <si>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</si>
  <si>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</si>
  <si>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</si>
  <si>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</si>
  <si>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</si>
  <si>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</si>
  <si>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</si>
  <si>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</si>
  <si>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</si>
  <si>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</si>
  <si>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</si>
  <si>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</si>
  <si>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</si>
  <si>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</si>
  <si>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</si>
  <si>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</si>
  <si>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</si>
  <si>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</si>
  <si>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</si>
  <si>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</si>
  <si>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</si>
  <si>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</si>
  <si>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</si>
  <si>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</si>
  <si>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</si>
  <si>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</si>
  <si>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</si>
  <si>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</si>
  <si>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</si>
  <si>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</si>
  <si>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</si>
  <si>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</si>
  <si>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</si>
  <si>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</si>
  <si>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</si>
  <si>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</si>
  <si>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</si>
  <si>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</si>
  <si>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</si>
  <si>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</si>
  <si>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</si>
  <si>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</si>
  <si>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</si>
  <si>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</si>
  <si>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</si>
  <si>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</si>
  <si>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</si>
  <si>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</si>
  <si>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</si>
  <si>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</si>
  <si>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</si>
  <si>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</si>
  <si>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</si>
  <si>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</si>
  <si>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</si>
  <si>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</si>
  <si>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</si>
  <si>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</si>
  <si>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</si>
  <si>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</si>
  <si>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</si>
  <si>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</si>
  <si>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</si>
  <si>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</si>
  <si>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</si>
  <si>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</si>
  <si>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</si>
  <si>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</si>
  <si>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</si>
  <si>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</si>
  <si>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</si>
  <si>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</si>
  <si>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</si>
  <si>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</si>
  <si>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</si>
  <si>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</si>
  <si>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</si>
  <si>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</si>
  <si>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</si>
  <si>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</si>
  <si>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</si>
  <si>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</si>
  <si>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</si>
  <si>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</si>
  <si>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</si>
  <si>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</si>
  <si>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</si>
  <si>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</si>
  <si>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</si>
  <si>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</si>
  <si>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</si>
  <si>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</si>
  <si>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</si>
  <si>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</si>
  <si>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</si>
  <si>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</si>
  <si>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</si>
  <si>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</si>
  <si>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</si>
  <si>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</si>
  <si>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</si>
  <si>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</si>
  <si>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</si>
  <si>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</si>
  <si>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</si>
  <si>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</si>
  <si>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</si>
  <si>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</si>
  <si>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</si>
  <si>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</si>
  <si>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</si>
  <si>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</si>
  <si>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</si>
  <si>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</si>
  <si>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</si>
  <si>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</si>
  <si>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</si>
  <si>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</si>
  <si>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</si>
  <si>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</si>
  <si>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</si>
  <si>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</si>
  <si>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</si>
  <si>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</si>
  <si>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</si>
  <si>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</si>
  <si>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</si>
  <si>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</si>
  <si>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</si>
  <si>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</si>
  <si>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</si>
  <si>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</si>
  <si>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</si>
  <si>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</si>
  <si>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</si>
  <si>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</si>
  <si>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</si>
  <si>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</si>
  <si>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</si>
  <si>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</si>
  <si>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</si>
  <si>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</si>
  <si>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</si>
  <si>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</si>
  <si>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</si>
  <si>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</si>
  <si>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</si>
  <si>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</si>
  <si>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</si>
  <si>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</si>
  <si>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</si>
  <si>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</si>
  <si>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</si>
  <si>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</si>
  <si>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</si>
  <si>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</si>
  <si>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</si>
  <si>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</si>
  <si>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</si>
  <si>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</si>
  <si>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</si>
  <si>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</si>
  <si>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</si>
  <si>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</si>
  <si>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</si>
  <si>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</si>
  <si>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</si>
  <si>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</si>
  <si>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</si>
  <si>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</si>
  <si>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</si>
  <si>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</si>
  <si>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</si>
  <si>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</si>
  <si>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</si>
  <si>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</si>
  <si>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</si>
  <si>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</si>
  <si>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</si>
  <si>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</si>
  <si>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</si>
  <si>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</si>
  <si>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</si>
  <si>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</si>
  <si>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</si>
  <si>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</si>
  <si>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</si>
  <si>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</si>
  <si>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</si>
  <si>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</si>
  <si>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</si>
  <si>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</si>
  <si>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</si>
  <si>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</si>
  <si>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</si>
  <si>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</si>
  <si>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</si>
  <si>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</si>
  <si>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</si>
  <si>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</si>
  <si>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</si>
  <si>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</si>
  <si>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</si>
  <si>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</si>
  <si>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</si>
  <si>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</si>
  <si>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</si>
  <si>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</si>
  <si>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</si>
  <si>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</si>
  <si>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</si>
  <si>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</si>
  <si>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</si>
  <si>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</si>
  <si>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</si>
  <si>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</si>
  <si>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</si>
  <si>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</si>
  <si>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</si>
  <si>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</si>
  <si>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</si>
  <si>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</si>
  <si>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</si>
  <si>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</si>
  <si>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</si>
  <si>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</si>
  <si>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</si>
  <si>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</si>
  <si>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</si>
  <si>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</si>
  <si>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</si>
  <si>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</si>
  <si>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</si>
  <si>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</si>
  <si>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</si>
  <si>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</si>
  <si>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</si>
  <si>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</si>
  <si>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</si>
  <si>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</si>
  <si>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</si>
  <si>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</si>
  <si>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</si>
  <si>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</si>
  <si>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</si>
  <si>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</si>
  <si>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</si>
  <si>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</si>
  <si>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</si>
  <si>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</si>
  <si>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</si>
  <si>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</si>
  <si>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</si>
  <si>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</si>
  <si>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</si>
  <si>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</si>
  <si>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</si>
  <si>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</si>
  <si>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</si>
  <si>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</si>
  <si>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</si>
  <si>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</si>
  <si>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</si>
  <si>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</si>
  <si>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</si>
  <si>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</si>
  <si>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</si>
  <si>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</si>
  <si>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</si>
  <si>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</si>
  <si>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</si>
  <si>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</si>
  <si>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</si>
  <si>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</si>
  <si>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</si>
  <si>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</si>
  <si>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</si>
  <si>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</si>
  <si>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</si>
  <si>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</si>
  <si>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</si>
  <si>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</si>
  <si>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</si>
  <si>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</si>
  <si>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</si>
  <si>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</si>
  <si>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</si>
  <si>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</si>
  <si>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</si>
  <si>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</si>
  <si>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</si>
  <si>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</si>
  <si>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</si>
  <si>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</si>
  <si>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</si>
  <si>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</si>
  <si>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</si>
  <si>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</si>
  <si>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</si>
  <si>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</si>
  <si>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</si>
  <si>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</si>
  <si>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</si>
  <si>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</si>
  <si>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</si>
  <si>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</si>
  <si>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</si>
  <si>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</si>
  <si>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</si>
  <si>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</si>
  <si>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</si>
  <si>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</si>
  <si>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</si>
  <si>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</si>
  <si>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</si>
  <si>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</si>
  <si>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</si>
  <si>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</si>
  <si>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</si>
  <si>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</si>
  <si>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</si>
  <si>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</si>
  <si>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</si>
  <si>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</si>
  <si>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</si>
  <si>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</si>
  <si>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</si>
  <si>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</si>
  <si>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</si>
  <si>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</si>
  <si>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</si>
  <si>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</si>
  <si>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</si>
  <si>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</si>
  <si>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</si>
  <si>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</si>
  <si>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</si>
  <si>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</si>
  <si>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</si>
  <si>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</si>
  <si>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</si>
  <si>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</si>
  <si>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</si>
  <si>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</si>
  <si>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</si>
  <si>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</si>
  <si>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</si>
  <si>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</si>
  <si>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</si>
  <si>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</si>
  <si>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</si>
  <si>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</si>
  <si>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</si>
  <si>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</si>
  <si>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</si>
  <si>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</si>
  <si>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</si>
  <si>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</si>
  <si>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</si>
  <si>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</si>
  <si>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</si>
  <si>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</si>
  <si>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</si>
  <si>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</si>
  <si>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</si>
  <si>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</si>
  <si>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</si>
  <si>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</si>
  <si>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</si>
  <si>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</si>
  <si>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</si>
  <si>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</si>
  <si>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</si>
  <si>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</si>
  <si>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</si>
  <si>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</si>
  <si>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</si>
  <si>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</si>
  <si>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</si>
  <si>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</si>
  <si>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</si>
  <si>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</si>
  <si>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</si>
  <si>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</si>
  <si>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</si>
  <si>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</si>
  <si>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</si>
  <si>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</si>
  <si>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</si>
  <si>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</si>
  <si>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</si>
  <si>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</si>
  <si>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</si>
  <si>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</si>
  <si>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</si>
  <si>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</si>
  <si>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</si>
  <si>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</si>
  <si>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</si>
  <si>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</si>
  <si>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</si>
  <si>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</si>
  <si>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</si>
  <si>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</si>
  <si>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</si>
  <si>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</si>
  <si>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</si>
  <si>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</si>
  <si>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</si>
  <si>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</si>
  <si>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</si>
  <si>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</si>
  <si>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</si>
  <si>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</si>
  <si>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</si>
  <si>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</si>
  <si>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</si>
  <si>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</si>
  <si>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</si>
  <si>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</si>
  <si>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</si>
  <si>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</si>
  <si>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</si>
  <si>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</si>
  <si>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</si>
  <si>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</si>
  <si>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</si>
  <si>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</si>
  <si>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</si>
  <si>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</si>
  <si>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</si>
  <si>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</si>
  <si>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</si>
  <si>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</si>
  <si>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</si>
  <si>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</si>
  <si>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</si>
  <si>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</si>
  <si>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</si>
  <si>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</si>
  <si>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</si>
  <si>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</si>
  <si>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</si>
  <si>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</si>
  <si>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</si>
  <si>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</si>
  <si>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</si>
  <si>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</si>
  <si>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</si>
  <si>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</si>
  <si>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</si>
  <si>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</si>
  <si>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</si>
  <si>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</si>
  <si>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</si>
  <si>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</si>
  <si>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</si>
  <si>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</si>
  <si>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</si>
  <si>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</si>
  <si>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</si>
  <si>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</si>
  <si>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</si>
  <si>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</si>
  <si>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</si>
  <si>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</si>
  <si>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</si>
  <si>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</si>
  <si>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</si>
  <si>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</si>
  <si>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</si>
  <si>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</si>
  <si>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</si>
  <si>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</si>
  <si>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</si>
  <si>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</si>
  <si>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</si>
  <si>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</si>
  <si>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</si>
  <si>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</si>
  <si>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</si>
  <si>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</si>
  <si>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</si>
  <si>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</si>
  <si>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</si>
  <si>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</si>
  <si>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</si>
  <si>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</si>
  <si>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</si>
  <si>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</si>
  <si>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</si>
  <si>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</si>
  <si>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</si>
  <si>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</si>
  <si>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</si>
  <si>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</si>
  <si>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</si>
  <si>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</si>
  <si>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</si>
  <si>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</si>
  <si>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</si>
  <si>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</si>
  <si>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</si>
  <si>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</si>
  <si>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</si>
  <si>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</si>
  <si>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</si>
  <si>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</si>
  <si>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</si>
  <si>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</si>
  <si>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</si>
  <si>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</si>
  <si>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</si>
  <si>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</si>
  <si>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</si>
  <si>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</si>
  <si>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</si>
  <si>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</si>
  <si>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</si>
  <si>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</si>
  <si>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</si>
  <si>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</si>
  <si>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</si>
  <si>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</si>
  <si>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</si>
  <si>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</si>
  <si>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</si>
  <si>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</si>
  <si>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</si>
  <si>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</si>
  <si>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</si>
  <si>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</si>
  <si>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</si>
  <si>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</si>
  <si>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</si>
  <si>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</si>
  <si>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</si>
  <si>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</si>
  <si>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</si>
  <si>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</si>
  <si>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</si>
  <si>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首开铂郡</t>
    <phoneticPr fontId="3" type="noConversion"/>
  </si>
  <si>
    <t>LOFT住宅</t>
  </si>
  <si>
    <t>首开铂郡</t>
    <phoneticPr fontId="134" type="noConversion"/>
  </si>
  <si>
    <t>住宅</t>
    <phoneticPr fontId="134" type="noConversion"/>
  </si>
  <si>
    <t>新东路12号院1号楼8层1单元902</t>
    <phoneticPr fontId="134" type="noConversion"/>
  </si>
  <si>
    <t>平层</t>
    <phoneticPr fontId="134" type="noConversion"/>
  </si>
  <si>
    <t>南</t>
  </si>
  <si>
    <t>南</t>
    <phoneticPr fontId="134" type="noConversion"/>
  </si>
  <si>
    <t>普通装修</t>
    <phoneticPr fontId="134" type="noConversion"/>
  </si>
  <si>
    <t>来源</t>
    <phoneticPr fontId="134" type="noConversion"/>
  </si>
  <si>
    <t>零贷库</t>
    <phoneticPr fontId="134" type="noConversion"/>
  </si>
  <si>
    <t>链家成交</t>
    <phoneticPr fontId="134" type="noConversion"/>
  </si>
  <si>
    <t>跃层</t>
    <phoneticPr fontId="134" type="noConversion"/>
  </si>
  <si>
    <r>
      <t>新东路8号院</t>
    </r>
    <r>
      <rPr>
        <sz val="11"/>
        <color theme="1"/>
        <rFont val="宋体"/>
        <family val="3"/>
        <charset val="134"/>
        <scheme val="minor"/>
      </rPr>
      <t>1号楼8至9层1001</t>
    </r>
    <phoneticPr fontId="134" type="noConversion"/>
  </si>
  <si>
    <t>——</t>
    <phoneticPr fontId="134" type="noConversion"/>
  </si>
  <si>
    <r>
      <t>8、</t>
    </r>
    <r>
      <rPr>
        <sz val="11"/>
        <color theme="1"/>
        <rFont val="宋体"/>
        <family val="3"/>
        <charset val="134"/>
        <scheme val="minor"/>
      </rPr>
      <t>9</t>
    </r>
    <phoneticPr fontId="134" type="noConversion"/>
  </si>
  <si>
    <t>南北</t>
  </si>
  <si>
    <t>南北</t>
    <phoneticPr fontId="134" type="noConversion"/>
  </si>
  <si>
    <t>新东路8号院2号楼1单元1502</t>
    <phoneticPr fontId="134" type="noConversion"/>
  </si>
  <si>
    <t>新东路12号院1号楼1单元1902</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</si>
  <si>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</si>
  <si>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</si>
  <si>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</si>
  <si>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</si>
  <si>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</si>
  <si>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公寓</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</si>
  <si>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</si>
  <si>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</si>
  <si>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</si>
  <si>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</si>
  <si>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50-60</t>
    </r>
    <r>
      <rPr>
        <sz val="11"/>
        <color indexed="8"/>
        <rFont val="宋体"/>
        <family val="3"/>
        <charset val="134"/>
      </rPr>
      <t>（含）</t>
    </r>
  </si>
  <si>
    <t>周边有首开幸福广场、海晟名苑、三里屯北里、幸福二村社区等住宅小区，居住社区成熟度较好。</t>
    <phoneticPr fontId="24" type="noConversion"/>
  </si>
  <si>
    <r>
      <rPr>
        <sz val="11"/>
        <rFont val="宋体"/>
        <family val="3"/>
        <charset val="134"/>
      </rPr>
      <t>周边有</t>
    </r>
    <r>
      <rPr>
        <sz val="11"/>
        <rFont val="Arial"/>
        <family val="2"/>
      </rPr>
      <t>3</t>
    </r>
    <r>
      <rPr>
        <sz val="11"/>
        <rFont val="宋体"/>
        <family val="3"/>
        <charset val="134"/>
      </rPr>
      <t>路、</t>
    </r>
    <r>
      <rPr>
        <sz val="11"/>
        <rFont val="Arial"/>
        <family val="2"/>
      </rPr>
      <t>24</t>
    </r>
    <r>
      <rPr>
        <sz val="11"/>
        <rFont val="宋体"/>
        <family val="3"/>
        <charset val="134"/>
      </rPr>
      <t>路、</t>
    </r>
    <r>
      <rPr>
        <sz val="11"/>
        <rFont val="Arial"/>
        <family val="2"/>
      </rPr>
      <t>110</t>
    </r>
    <r>
      <rPr>
        <sz val="11"/>
        <rFont val="宋体"/>
        <family val="3"/>
        <charset val="134"/>
      </rPr>
      <t>路、</t>
    </r>
    <r>
      <rPr>
        <sz val="11"/>
        <rFont val="Arial"/>
        <family val="2"/>
      </rPr>
      <t>117</t>
    </r>
    <r>
      <rPr>
        <sz val="11"/>
        <rFont val="宋体"/>
        <family val="3"/>
        <charset val="134"/>
      </rPr>
      <t>路、</t>
    </r>
    <r>
      <rPr>
        <sz val="11"/>
        <rFont val="Arial"/>
        <family val="2"/>
      </rPr>
      <t>120</t>
    </r>
    <r>
      <rPr>
        <sz val="11"/>
        <rFont val="宋体"/>
        <family val="3"/>
        <charset val="134"/>
      </rPr>
      <t>路等多条公交线路及地铁</t>
    </r>
    <r>
      <rPr>
        <sz val="11"/>
        <rFont val="Arial"/>
        <family val="2"/>
      </rPr>
      <t>10</t>
    </r>
    <r>
      <rPr>
        <sz val="11"/>
        <rFont val="宋体"/>
        <family val="3"/>
        <charset val="134"/>
      </rPr>
      <t>号线农业展览馆站，综合评价交通便捷度较好</t>
    </r>
    <phoneticPr fontId="24"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</si>
  <si>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24" type="noConversion"/>
  </si>
  <si>
    <t>自然环境：亮马河等自然水系景观；
人文环境：北京工人体育场、全国农业展览馆等人文场所；
综合评价环境状况较好。</t>
    <phoneticPr fontId="40" type="noConversion"/>
  </si>
  <si>
    <t>自然环境：亮马河等自然水系景观；
人文环境：北京工人体育场、全国农业展览馆等人文场所；
综合评价环境状况较好。</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</si>
  <si>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</si>
  <si>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</si>
  <si>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</si>
  <si>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</si>
  <si>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</si>
  <si>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</si>
  <si>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</si>
  <si>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</si>
  <si>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</si>
  <si>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</si>
  <si>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东西</t>
  </si>
  <si>
    <r>
      <t>8</t>
    </r>
    <r>
      <rPr>
        <sz val="11"/>
        <color indexed="8"/>
        <rFont val="宋体"/>
        <family val="3"/>
        <charset val="134"/>
      </rPr>
      <t>、</t>
    </r>
    <r>
      <rPr>
        <sz val="11"/>
        <color indexed="8"/>
        <rFont val="Arial"/>
        <family val="2"/>
      </rPr>
      <t>9/18</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</si>
  <si>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</si>
  <si>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t>4、5/5（顶层）</t>
    <phoneticPr fontId="24" type="noConversion"/>
  </si>
  <si>
    <t>8、9/18（中楼层）</t>
    <phoneticPr fontId="24" type="noConversion"/>
  </si>
  <si>
    <t>16/16（顶层）</t>
    <phoneticPr fontId="24" type="noConversion"/>
  </si>
  <si>
    <r>
      <t>12/18</t>
    </r>
    <r>
      <rPr>
        <sz val="11"/>
        <rFont val="宋体"/>
        <family val="3"/>
        <charset val="134"/>
      </rPr>
      <t>（高楼层）</t>
    </r>
    <phoneticPr fontId="24" type="noConversion"/>
  </si>
  <si>
    <t>12/18（高楼层）</t>
    <phoneticPr fontId="24" type="noConversion"/>
  </si>
  <si>
    <t>板楼</t>
  </si>
  <si>
    <t>板楼</t>
    <phoneticPr fontId="24" type="noConversion"/>
  </si>
  <si>
    <t>塔楼</t>
    <phoneticPr fontId="24" type="noConversion"/>
  </si>
  <si>
    <t>道路级别</t>
    <phoneticPr fontId="24" type="noConversion"/>
  </si>
  <si>
    <t>城市次干道</t>
    <phoneticPr fontId="24" type="noConversion"/>
  </si>
  <si>
    <t>城市主干道</t>
    <phoneticPr fontId="24" type="noConversion"/>
  </si>
  <si>
    <t>单元类型</t>
    <phoneticPr fontId="24" type="noConversion"/>
  </si>
  <si>
    <t>跃层</t>
    <phoneticPr fontId="24" type="noConversion"/>
  </si>
  <si>
    <t>平层</t>
    <phoneticPr fontId="24" type="noConversion"/>
  </si>
  <si>
    <t>周边有3路、24路、110路、117路、120路等多条公交线路及地铁10号线农业展览馆站，综合评价交通便捷度较好</t>
    <phoneticPr fontId="40"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</si>
  <si>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40" type="noConversion"/>
  </si>
  <si>
    <t>周边有首开幸福广场、海晟名苑、三里屯北里、幸福二村社区等住宅小区，居住社区成熟度较好。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</si>
</sst>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0" fontId="0" fillId="0" borderId="0" xfId="0" applyFont="1" applyFill="1" applyAlignment="1">
      <alignment horizontal="center" vertical="center"/>
    </xf>
    <xf numFmtId="14" fontId="0" fillId="0" borderId="0" xfId="0" applyNumberFormat="1" applyFill="1" applyAlignment="1">
      <alignment horizontal="center" vertical="center"/>
    </xf>
    <xf numFmtId="58" fontId="95" fillId="0" borderId="0" xfId="0" applyNumberFormat="1" applyFon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49" fontId="94" fillId="0" borderId="14"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685799</xdr:colOff>
      <xdr:row>2</xdr:row>
      <xdr:rowOff>0</xdr:rowOff>
    </xdr:from>
    <xdr:to>
      <xdr:col>26</xdr:col>
      <xdr:colOff>252478</xdr:colOff>
      <xdr:row>12</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2849224" y="485775"/>
          <a:ext cx="7872479" cy="2390775"/>
        </a:xfrm>
        <a:prstGeom prst="rect">
          <a:avLst/>
        </a:prstGeom>
      </xdr:spPr>
    </xdr:pic>
    <xdr:clientData/>
  </xdr:twoCellAnchor>
  <xdr:twoCellAnchor editAs="oneCell">
    <xdr:from>
      <xdr:col>26</xdr:col>
      <xdr:colOff>295274</xdr:colOff>
      <xdr:row>2</xdr:row>
      <xdr:rowOff>38100</xdr:rowOff>
    </xdr:from>
    <xdr:to>
      <xdr:col>38</xdr:col>
      <xdr:colOff>649459</xdr:colOff>
      <xdr:row>12</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20764499" y="523875"/>
          <a:ext cx="8583785" cy="2400300"/>
        </a:xfrm>
        <a:prstGeom prst="rect">
          <a:avLst/>
        </a:prstGeom>
      </xdr:spPr>
    </xdr:pic>
    <xdr:clientData/>
  </xdr:twoCellAnchor>
  <xdr:twoCellAnchor editAs="oneCell">
    <xdr:from>
      <xdr:col>16</xdr:col>
      <xdr:colOff>0</xdr:colOff>
      <xdr:row>21</xdr:row>
      <xdr:rowOff>0</xdr:rowOff>
    </xdr:from>
    <xdr:to>
      <xdr:col>27</xdr:col>
      <xdr:colOff>418009</xdr:colOff>
      <xdr:row>29</xdr:row>
      <xdr:rowOff>133019</xdr:rowOff>
    </xdr:to>
    <xdr:pic>
      <xdr:nvPicPr>
        <xdr:cNvPr id="6" name="图片 5"/>
        <xdr:cNvPicPr>
          <a:picLocks noChangeAspect="1"/>
        </xdr:cNvPicPr>
      </xdr:nvPicPr>
      <xdr:blipFill>
        <a:blip xmlns:r="http://schemas.openxmlformats.org/officeDocument/2006/relationships" r:embed="rId3"/>
        <a:stretch>
          <a:fillRect/>
        </a:stretch>
      </xdr:blipFill>
      <xdr:spPr>
        <a:xfrm>
          <a:off x="12849225" y="5534025"/>
          <a:ext cx="8723809" cy="2647619"/>
        </a:xfrm>
        <a:prstGeom prst="rect">
          <a:avLst/>
        </a:prstGeom>
      </xdr:spPr>
    </xdr:pic>
    <xdr:clientData/>
  </xdr:twoCellAnchor>
  <xdr:twoCellAnchor editAs="oneCell">
    <xdr:from>
      <xdr:col>28</xdr:col>
      <xdr:colOff>0</xdr:colOff>
      <xdr:row>21</xdr:row>
      <xdr:rowOff>0</xdr:rowOff>
    </xdr:from>
    <xdr:to>
      <xdr:col>39</xdr:col>
      <xdr:colOff>437152</xdr:colOff>
      <xdr:row>28</xdr:row>
      <xdr:rowOff>85439</xdr:rowOff>
    </xdr:to>
    <xdr:pic>
      <xdr:nvPicPr>
        <xdr:cNvPr id="7" name="图片 6"/>
        <xdr:cNvPicPr>
          <a:picLocks noChangeAspect="1"/>
        </xdr:cNvPicPr>
      </xdr:nvPicPr>
      <xdr:blipFill>
        <a:blip xmlns:r="http://schemas.openxmlformats.org/officeDocument/2006/relationships" r:embed="rId4"/>
        <a:stretch>
          <a:fillRect/>
        </a:stretch>
      </xdr:blipFill>
      <xdr:spPr>
        <a:xfrm>
          <a:off x="21840825" y="5534025"/>
          <a:ext cx="7980952" cy="2285714"/>
        </a:xfrm>
        <a:prstGeom prst="rect">
          <a:avLst/>
        </a:prstGeom>
      </xdr:spPr>
    </xdr:pic>
    <xdr:clientData/>
  </xdr:twoCellAnchor>
  <xdr:twoCellAnchor editAs="oneCell">
    <xdr:from>
      <xdr:col>16</xdr:col>
      <xdr:colOff>0</xdr:colOff>
      <xdr:row>13</xdr:row>
      <xdr:rowOff>0</xdr:rowOff>
    </xdr:from>
    <xdr:to>
      <xdr:col>27</xdr:col>
      <xdr:colOff>275152</xdr:colOff>
      <xdr:row>21</xdr:row>
      <xdr:rowOff>47305</xdr:rowOff>
    </xdr:to>
    <xdr:pic>
      <xdr:nvPicPr>
        <xdr:cNvPr id="8" name="图片 7"/>
        <xdr:cNvPicPr>
          <a:picLocks noChangeAspect="1"/>
        </xdr:cNvPicPr>
      </xdr:nvPicPr>
      <xdr:blipFill>
        <a:blip xmlns:r="http://schemas.openxmlformats.org/officeDocument/2006/relationships" r:embed="rId5"/>
        <a:stretch>
          <a:fillRect/>
        </a:stretch>
      </xdr:blipFill>
      <xdr:spPr>
        <a:xfrm>
          <a:off x="12849225" y="3019425"/>
          <a:ext cx="8580952" cy="2561905"/>
        </a:xfrm>
        <a:prstGeom prst="rect">
          <a:avLst/>
        </a:prstGeom>
      </xdr:spPr>
    </xdr:pic>
    <xdr:clientData/>
  </xdr:twoCellAnchor>
  <xdr:twoCellAnchor editAs="oneCell">
    <xdr:from>
      <xdr:col>27</xdr:col>
      <xdr:colOff>485775</xdr:colOff>
      <xdr:row>13</xdr:row>
      <xdr:rowOff>19050</xdr:rowOff>
    </xdr:from>
    <xdr:to>
      <xdr:col>39</xdr:col>
      <xdr:colOff>389508</xdr:colOff>
      <xdr:row>20</xdr:row>
      <xdr:rowOff>94965</xdr:rowOff>
    </xdr:to>
    <xdr:pic>
      <xdr:nvPicPr>
        <xdr:cNvPr id="9" name="图片 8"/>
        <xdr:cNvPicPr>
          <a:picLocks noChangeAspect="1"/>
        </xdr:cNvPicPr>
      </xdr:nvPicPr>
      <xdr:blipFill>
        <a:blip xmlns:r="http://schemas.openxmlformats.org/officeDocument/2006/relationships" r:embed="rId6"/>
        <a:stretch>
          <a:fillRect/>
        </a:stretch>
      </xdr:blipFill>
      <xdr:spPr>
        <a:xfrm>
          <a:off x="21640800" y="3038475"/>
          <a:ext cx="8133333" cy="2276190"/>
        </a:xfrm>
        <a:prstGeom prst="rect">
          <a:avLst/>
        </a:prstGeom>
      </xdr:spPr>
    </xdr:pic>
    <xdr:clientData/>
  </xdr:twoCellAnchor>
  <xdr:twoCellAnchor editAs="oneCell">
    <xdr:from>
      <xdr:col>0</xdr:col>
      <xdr:colOff>514351</xdr:colOff>
      <xdr:row>6</xdr:row>
      <xdr:rowOff>19051</xdr:rowOff>
    </xdr:from>
    <xdr:to>
      <xdr:col>4</xdr:col>
      <xdr:colOff>159823</xdr:colOff>
      <xdr:row>20</xdr:row>
      <xdr:rowOff>257176</xdr:rowOff>
    </xdr:to>
    <xdr:pic>
      <xdr:nvPicPr>
        <xdr:cNvPr id="10" name="图片 9"/>
        <xdr:cNvPicPr>
          <a:picLocks noChangeAspect="1"/>
        </xdr:cNvPicPr>
      </xdr:nvPicPr>
      <xdr:blipFill>
        <a:blip xmlns:r="http://schemas.openxmlformats.org/officeDocument/2006/relationships" r:embed="rId7"/>
        <a:stretch>
          <a:fillRect/>
        </a:stretch>
      </xdr:blipFill>
      <xdr:spPr>
        <a:xfrm>
          <a:off x="514351" y="1457326"/>
          <a:ext cx="4312722" cy="4019550"/>
        </a:xfrm>
        <a:prstGeom prst="rect">
          <a:avLst/>
        </a:prstGeom>
      </xdr:spPr>
    </xdr:pic>
    <xdr:clientData/>
  </xdr:twoCellAnchor>
  <xdr:twoCellAnchor editAs="oneCell">
    <xdr:from>
      <xdr:col>0</xdr:col>
      <xdr:colOff>542926</xdr:colOff>
      <xdr:row>22</xdr:row>
      <xdr:rowOff>0</xdr:rowOff>
    </xdr:from>
    <xdr:to>
      <xdr:col>6</xdr:col>
      <xdr:colOff>351266</xdr:colOff>
      <xdr:row>40</xdr:row>
      <xdr:rowOff>28575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2926" y="5848350"/>
          <a:ext cx="5847190" cy="4543425"/>
        </a:xfrm>
        <a:prstGeom prst="rect">
          <a:avLst/>
        </a:prstGeom>
      </xdr:spPr>
    </xdr:pic>
    <xdr:clientData/>
  </xdr:twoCellAnchor>
  <xdr:twoCellAnchor editAs="oneCell">
    <xdr:from>
      <xdr:col>0</xdr:col>
      <xdr:colOff>571500</xdr:colOff>
      <xdr:row>40</xdr:row>
      <xdr:rowOff>85724</xdr:rowOff>
    </xdr:from>
    <xdr:to>
      <xdr:col>6</xdr:col>
      <xdr:colOff>330977</xdr:colOff>
      <xdr:row>46</xdr:row>
      <xdr:rowOff>19049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71500" y="10448924"/>
          <a:ext cx="5798327" cy="962025"/>
        </a:xfrm>
        <a:prstGeom prst="rect">
          <a:avLst/>
        </a:prstGeom>
      </xdr:spPr>
    </xdr:pic>
    <xdr:clientData/>
  </xdr:twoCellAnchor>
  <xdr:twoCellAnchor editAs="oneCell">
    <xdr:from>
      <xdr:col>0</xdr:col>
      <xdr:colOff>561975</xdr:colOff>
      <xdr:row>46</xdr:row>
      <xdr:rowOff>152400</xdr:rowOff>
    </xdr:from>
    <xdr:to>
      <xdr:col>6</xdr:col>
      <xdr:colOff>233810</xdr:colOff>
      <xdr:row>72</xdr:row>
      <xdr:rowOff>95250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61975" y="11544300"/>
          <a:ext cx="5710685" cy="4400550"/>
        </a:xfrm>
        <a:prstGeom prst="rect">
          <a:avLst/>
        </a:prstGeom>
      </xdr:spPr>
    </xdr:pic>
    <xdr:clientData/>
  </xdr:twoCellAnchor>
  <xdr:twoCellAnchor editAs="oneCell">
    <xdr:from>
      <xdr:col>0</xdr:col>
      <xdr:colOff>600075</xdr:colOff>
      <xdr:row>72</xdr:row>
      <xdr:rowOff>161925</xdr:rowOff>
    </xdr:from>
    <xdr:to>
      <xdr:col>6</xdr:col>
      <xdr:colOff>331504</xdr:colOff>
      <xdr:row>85</xdr:row>
      <xdr:rowOff>123825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00075" y="16011525"/>
          <a:ext cx="5770279" cy="2190750"/>
        </a:xfrm>
        <a:prstGeom prst="rect">
          <a:avLst/>
        </a:prstGeom>
      </xdr:spPr>
    </xdr:pic>
    <xdr:clientData/>
  </xdr:twoCellAnchor>
  <xdr:twoCellAnchor editAs="oneCell">
    <xdr:from>
      <xdr:col>0</xdr:col>
      <xdr:colOff>152400</xdr:colOff>
      <xdr:row>88</xdr:row>
      <xdr:rowOff>38100</xdr:rowOff>
    </xdr:from>
    <xdr:to>
      <xdr:col>11</xdr:col>
      <xdr:colOff>84531</xdr:colOff>
      <xdr:row>103</xdr:row>
      <xdr:rowOff>75874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52400" y="18630900"/>
          <a:ext cx="9552381"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估价对象为北京市房地产，为所有。根据《国有土地使用证》[]，估价对象（分摊）出让国有建设用地使用权面积为0平方米，建筑面积为289.64平方米。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估价对象为北京市房地产,属开发建设的，该项目尚在开发建设中。根据《国有土地使用证》[]，估价对象（分摊）出让国有建设用地使用权面积为0平方米，规划建筑面积为289.64平方米。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2023年10月18日（评估专业人员实地查勘之日）</v>
      </c>
    </row>
    <row r="13" spans="1:2" s="1202" customFormat="1">
      <c r="A13" s="1200" t="s">
        <v>529</v>
      </c>
      <c r="B13" s="1201"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289.64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2578</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2579</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3" t="s">
        <v>385</v>
      </c>
      <c r="C54" s="1550" t="s">
        <v>583</v>
      </c>
    </row>
    <row r="55" spans="1:4">
      <c r="A55" s="3524"/>
      <c r="B55" s="1553" t="s">
        <v>386</v>
      </c>
      <c r="C55" s="1550" t="s">
        <v>584</v>
      </c>
    </row>
    <row r="56" spans="1:4">
      <c r="A56" s="3524"/>
      <c r="B56" s="1553" t="s">
        <v>387</v>
      </c>
      <c r="C56" s="1550" t="s">
        <v>588</v>
      </c>
    </row>
    <row r="57" spans="1:4">
      <c r="A57" s="35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25" t="s">
        <v>2581</v>
      </c>
      <c r="J2" s="3525"/>
      <c r="K2" s="3525"/>
      <c r="L2" s="3525"/>
      <c r="M2" s="3525"/>
      <c r="N2" s="3525"/>
      <c r="O2" s="3525"/>
      <c r="P2" s="3525"/>
      <c r="Q2" s="3525"/>
      <c r="R2" s="3525"/>
    </row>
    <row r="3" spans="1:18">
      <c r="A3" s="3015" t="s">
        <v>2502</v>
      </c>
      <c r="B3" s="3016">
        <f>项目基本情况!D3</f>
        <v>45217</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4" t="str">
        <f>IF(B10="北京市","北京市",C10)&amp;F10&amp;IF(结果表!G1="在建","出让国有建设用地使用权及在建建筑物",IF(结果表!G1="土地","出让国有建设用地使用权",))&amp;B9&amp;"预评估"</f>
        <v>北京市预评估</v>
      </c>
      <c r="C1" s="3535"/>
      <c r="D1" s="3535"/>
      <c r="E1" s="3535"/>
      <c r="F1" s="3535"/>
      <c r="G1" s="3535"/>
      <c r="H1" s="3535"/>
      <c r="I1" s="3536"/>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45217</v>
      </c>
      <c r="C3" s="2370" t="s">
        <v>2171</v>
      </c>
      <c r="D3" s="2369">
        <f>B3</f>
        <v>45217</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1742"/>
      <c r="I6" s="3462">
        <v>40658</v>
      </c>
      <c r="J6" s="2435"/>
      <c r="K6" s="2610" t="str">
        <f>IF(COUNTIF(B6,"*上海银行*"),"上海银行","")</f>
        <v/>
      </c>
      <c r="L6" s="2608"/>
      <c r="M6" s="2608"/>
      <c r="N6" s="2435"/>
      <c r="O6" s="2446"/>
      <c r="P6" s="2435"/>
      <c r="Q6" s="2435"/>
      <c r="R6" s="2435"/>
    </row>
    <row r="7" spans="1:30">
      <c r="A7" s="2379" t="s">
        <v>2175</v>
      </c>
      <c r="B7" s="2383"/>
      <c r="C7" s="2381"/>
      <c r="D7" s="2382"/>
      <c r="E7" s="2657"/>
      <c r="F7" s="2659"/>
      <c r="G7" s="2659"/>
      <c r="H7" s="1742"/>
      <c r="I7" s="3462">
        <f>I6-1.5*365+70*365</f>
        <v>65660.5</v>
      </c>
      <c r="J7" s="2435"/>
      <c r="K7" s="2611"/>
      <c r="L7" s="2608"/>
      <c r="M7" s="2608"/>
      <c r="N7" s="2435"/>
      <c r="O7" s="2446"/>
      <c r="P7" s="2435"/>
      <c r="Q7" s="2435"/>
      <c r="R7" s="2435"/>
    </row>
    <row r="8" spans="1:30">
      <c r="A8" s="2384" t="s">
        <v>2176</v>
      </c>
      <c r="B8" s="2385"/>
      <c r="C8" s="2386"/>
      <c r="D8" s="3537" t="s">
        <v>2177</v>
      </c>
      <c r="E8" s="2387"/>
      <c r="F8" s="2388"/>
      <c r="G8" s="2658"/>
      <c r="H8" s="2658"/>
      <c r="I8" s="2658">
        <f>(I7-B3)/365</f>
        <v>56.009589041095893</v>
      </c>
      <c r="J8" s="2435"/>
      <c r="K8" s="2609"/>
      <c r="L8" s="2608"/>
      <c r="M8" s="2608"/>
      <c r="N8" s="2435"/>
      <c r="O8" s="2446"/>
      <c r="P8" s="2435"/>
      <c r="Q8" s="2435"/>
      <c r="R8" s="2435"/>
    </row>
    <row r="9" spans="1:30" ht="13.5" thickBot="1">
      <c r="A9" s="2389" t="s">
        <v>2178</v>
      </c>
      <c r="B9" s="2390"/>
      <c r="C9" s="2391"/>
      <c r="D9" s="3538"/>
      <c r="E9" s="2390"/>
      <c r="F9" s="2392"/>
      <c r="G9" s="2660"/>
      <c r="H9" s="2660"/>
      <c r="I9" s="2660"/>
      <c r="J9" s="2435"/>
      <c r="K9" s="2611"/>
      <c r="L9" s="2608"/>
      <c r="M9" s="2608"/>
      <c r="N9" s="2435"/>
      <c r="O9" s="2446"/>
      <c r="P9" s="2435"/>
      <c r="Q9" s="2435"/>
      <c r="R9" s="2435"/>
    </row>
    <row r="10" spans="1:30" ht="13.5" thickTop="1">
      <c r="A10" s="2393" t="s">
        <v>2179</v>
      </c>
      <c r="B10" s="2394" t="s">
        <v>3377</v>
      </c>
      <c r="C10" s="2395"/>
      <c r="D10" s="2378"/>
      <c r="E10" s="2396" t="s">
        <v>2180</v>
      </c>
      <c r="F10" s="2661"/>
      <c r="G10" s="2662"/>
      <c r="H10" s="2663"/>
      <c r="I10" s="2664"/>
      <c r="J10" s="2435"/>
      <c r="K10" s="2611"/>
      <c r="L10" s="2608"/>
      <c r="M10" s="2608"/>
      <c r="N10" s="2435"/>
      <c r="O10" s="2446"/>
      <c r="P10" s="2435"/>
      <c r="Q10" s="2435"/>
      <c r="R10" s="2435"/>
    </row>
    <row r="11" spans="1:30">
      <c r="A11" s="2397" t="s">
        <v>2181</v>
      </c>
      <c r="B11" s="2398" t="s">
        <v>3376</v>
      </c>
      <c r="C11" s="2399"/>
      <c r="D11" s="2400"/>
      <c r="E11" s="2366"/>
      <c r="F11" s="2366"/>
      <c r="G11" s="2366"/>
      <c r="H11" s="2366"/>
      <c r="I11" s="2366"/>
      <c r="J11" s="3056"/>
      <c r="K11" s="3055"/>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3335</v>
      </c>
      <c r="B13" s="2403" t="s">
        <v>2190</v>
      </c>
      <c r="C13" s="856">
        <f>I7</f>
        <v>65660.5</v>
      </c>
      <c r="D13" s="856"/>
      <c r="E13" s="856"/>
      <c r="F13" s="856"/>
      <c r="G13" s="856"/>
      <c r="H13" s="856"/>
      <c r="I13" s="856"/>
      <c r="J13" s="3057"/>
      <c r="K13" s="2608"/>
      <c r="L13" s="2608"/>
      <c r="M13" s="2435"/>
      <c r="N13" s="2446"/>
      <c r="O13" s="2435"/>
      <c r="P13" s="2435"/>
      <c r="Q13" s="2435"/>
      <c r="AD13" s="1744"/>
    </row>
    <row r="14" spans="1:30">
      <c r="A14" s="1081"/>
      <c r="B14" s="2403" t="s">
        <v>2191</v>
      </c>
      <c r="C14" s="2404">
        <v>70</v>
      </c>
      <c r="D14" s="2404"/>
      <c r="E14" s="2404"/>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56</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44"/>
      <c r="C16" s="3545"/>
      <c r="D16" s="3546"/>
      <c r="E16" s="2409" t="s">
        <v>2194</v>
      </c>
      <c r="F16" s="3547"/>
      <c r="G16" s="3548"/>
      <c r="H16" s="3548"/>
      <c r="I16" s="3549"/>
      <c r="J16" s="2435"/>
      <c r="K16" s="2612"/>
      <c r="L16" s="2447"/>
      <c r="M16" s="2447"/>
      <c r="N16" s="2504"/>
      <c r="O16" s="2447"/>
      <c r="P16" s="2504"/>
      <c r="Q16" s="2435"/>
      <c r="R16" s="2435"/>
    </row>
    <row r="17" spans="1:28">
      <c r="A17" s="313" t="s">
        <v>2195</v>
      </c>
      <c r="B17" s="302" t="s">
        <v>2196</v>
      </c>
      <c r="C17" s="8">
        <f>'数据-汇总表'!E3</f>
        <v>289.64</v>
      </c>
      <c r="D17" s="2318" t="s">
        <v>2197</v>
      </c>
      <c r="E17" s="3550" t="s">
        <v>2198</v>
      </c>
      <c r="F17" s="3551"/>
      <c r="G17" s="3551"/>
      <c r="H17" s="3551"/>
      <c r="I17" s="3552"/>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53" t="s">
        <v>2202</v>
      </c>
      <c r="F18" s="3554"/>
      <c r="G18" s="3554"/>
      <c r="H18" s="3554"/>
      <c r="I18" s="3555"/>
      <c r="J18" s="2435"/>
      <c r="K18" s="2613"/>
      <c r="L18" s="2447"/>
      <c r="M18" s="2447"/>
      <c r="N18" s="2504"/>
      <c r="O18" s="2447"/>
      <c r="P18" s="2504"/>
      <c r="Q18" s="2435"/>
      <c r="R18" s="2435"/>
      <c r="S18" s="2435"/>
      <c r="T18" s="2435"/>
      <c r="U18" s="2435"/>
      <c r="V18" s="2435"/>
    </row>
    <row r="19" spans="1:28" ht="37.5" thickTop="1" thickBot="1">
      <c r="A19" s="327" t="s">
        <v>1055</v>
      </c>
      <c r="B19" s="307" t="s">
        <v>2203</v>
      </c>
      <c r="C19" s="1562" t="s">
        <v>3389</v>
      </c>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40" t="s">
        <v>2206</v>
      </c>
      <c r="C20" s="3541"/>
      <c r="D20" s="3542" t="s">
        <v>2207</v>
      </c>
      <c r="E20" s="3543"/>
      <c r="F20" s="2642" t="s">
        <v>1056</v>
      </c>
      <c r="G20" s="2659"/>
      <c r="H20" s="2659"/>
      <c r="I20" s="2659"/>
      <c r="J20" s="2435"/>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27"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27"/>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27"/>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28"/>
      <c r="B30" s="302" t="s">
        <v>2218</v>
      </c>
      <c r="C30" s="3529"/>
      <c r="D30" s="3530"/>
      <c r="E30" s="2659"/>
      <c r="F30" s="2659"/>
      <c r="G30" s="2659"/>
      <c r="H30" s="2659"/>
      <c r="I30" s="2659"/>
      <c r="J30" s="2435"/>
      <c r="K30" s="2611"/>
      <c r="L30" s="2608"/>
      <c r="M30" s="2608"/>
      <c r="N30" s="2435"/>
      <c r="O30" s="2446"/>
      <c r="P30" s="2435"/>
      <c r="Q30" s="2435"/>
      <c r="R30" s="2435"/>
      <c r="S30" s="2435"/>
      <c r="T30" s="2435"/>
      <c r="U30" s="2435"/>
      <c r="V30" s="2435"/>
    </row>
    <row r="31" spans="1:28">
      <c r="A31" s="3531"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32"/>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32"/>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26" t="s">
        <v>2228</v>
      </c>
      <c r="T34" s="2424" t="str">
        <f>NUMBERSTRING(7-K34,1)&amp;"通"</f>
        <v>七通</v>
      </c>
      <c r="U34" s="2435"/>
      <c r="V34" s="2435"/>
    </row>
    <row r="35" spans="1:30">
      <c r="A35" s="2425"/>
      <c r="B35" s="3533" t="s">
        <v>2229</v>
      </c>
      <c r="C35" s="3533"/>
      <c r="D35" s="3533"/>
      <c r="E35" s="3533"/>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289.64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289.64</v>
      </c>
      <c r="H5" s="13">
        <f t="shared" ref="H5:AT5" si="0">SUM(H13:H656)</f>
        <v>289.64</v>
      </c>
      <c r="I5" s="13">
        <f t="shared" si="0"/>
        <v>289.64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289.64</v>
      </c>
      <c r="BA5" s="15">
        <f t="shared" si="1"/>
        <v>289.64</v>
      </c>
      <c r="BB5" s="15">
        <f t="shared" si="1"/>
        <v>289.64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3378</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3429</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3389</v>
      </c>
      <c r="E13" s="13">
        <f>IF($C$3="是",ROUND($A$3*G13/$B$3,2),ROUND($A$3*(G13-AT13)/$B$3,2))</f>
        <v>0</v>
      </c>
      <c r="F13" s="29"/>
      <c r="G13" s="30">
        <f>H13+AC13+AT13</f>
        <v>289.64</v>
      </c>
      <c r="H13" s="17">
        <f>SUMIF(I$12:AB$12,"总值",I13:AB13)</f>
        <v>289.64</v>
      </c>
      <c r="I13" s="1625">
        <v>289.64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289.64</v>
      </c>
      <c r="BA13" s="13">
        <f>SUM(BB13:BK13)</f>
        <v>289.64</v>
      </c>
      <c r="BB13" s="13">
        <f>IF($D13="是",I13-J13,0)</f>
        <v>289.64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8" t="s">
        <v>1108</v>
      </c>
      <c r="F2" s="2654"/>
      <c r="G2" s="2645"/>
      <c r="H2" s="2646"/>
      <c r="I2" s="2321" t="s">
        <v>1132</v>
      </c>
      <c r="J2" s="2654"/>
      <c r="K2" s="2654"/>
      <c r="L2" s="2654"/>
      <c r="M2" s="2654"/>
      <c r="N2" s="2656"/>
      <c r="O2" s="2654"/>
      <c r="P2" s="2654"/>
    </row>
    <row r="3" spans="1:16" ht="15.75" thickBot="1">
      <c r="A3" s="3566" t="s">
        <v>1105</v>
      </c>
      <c r="B3" s="3566"/>
      <c r="C3" s="3566"/>
      <c r="D3" s="43">
        <f>'数据-基础表'!AY6</f>
        <v>0</v>
      </c>
      <c r="E3" s="43">
        <f>'数据-基础表'!AZ5</f>
        <v>289.64</v>
      </c>
      <c r="F3" s="2654"/>
      <c r="G3" s="1145"/>
      <c r="H3" s="1026" t="s">
        <v>1106</v>
      </c>
      <c r="I3" s="855" t="e">
        <f>ROUND('数据-基础表'!B3/'数据-基础表'!A3,2)</f>
        <v>#DIV/0!</v>
      </c>
      <c r="J3" s="2654"/>
      <c r="K3" s="2654"/>
      <c r="L3" s="2654"/>
      <c r="M3" s="2654"/>
      <c r="N3" s="2656"/>
      <c r="O3" s="2654"/>
      <c r="P3" s="2654"/>
    </row>
    <row r="4" spans="1:16" ht="15">
      <c r="A4" s="3567"/>
      <c r="B4" s="3568"/>
      <c r="C4" s="3569"/>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70" t="s">
        <v>1110</v>
      </c>
      <c r="C5" s="3570"/>
      <c r="D5" s="45">
        <f>ROUND($D$3*E5/$E$3,2)</f>
        <v>0</v>
      </c>
      <c r="E5" s="46">
        <f>SUMIF('数据-基础表'!$11:$11,"住宅",'数据-基础表'!$5:$5)</f>
        <v>289.64</v>
      </c>
      <c r="F5" s="2654"/>
      <c r="G5" s="1145"/>
      <c r="H5" s="1026" t="s">
        <v>1106</v>
      </c>
      <c r="I5" s="855" t="e">
        <f>ROUND(E31/D31,2)</f>
        <v>#DIV/0!</v>
      </c>
      <c r="J5" s="2654"/>
      <c r="K5" s="2654"/>
      <c r="L5" s="2654"/>
      <c r="M5" s="2654"/>
      <c r="N5" s="2654"/>
      <c r="O5" s="2654"/>
      <c r="P5" s="2654"/>
    </row>
    <row r="6" spans="1:16" ht="15" thickBot="1">
      <c r="A6" s="1643"/>
      <c r="B6" s="3570" t="s">
        <v>1111</v>
      </c>
      <c r="C6" s="3570"/>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62"/>
      <c r="B7" s="3563"/>
      <c r="C7" s="3564"/>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289.64</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289.64</v>
      </c>
      <c r="F16" s="2654"/>
      <c r="G16" s="2655"/>
      <c r="H16" s="1647" t="s">
        <v>1135</v>
      </c>
      <c r="I16" s="1648"/>
      <c r="J16" s="1139"/>
      <c r="K16" s="3559" t="s">
        <v>1135</v>
      </c>
      <c r="L16" s="3560"/>
      <c r="M16" s="3560"/>
      <c r="N16" s="3560"/>
      <c r="O16" s="3560"/>
      <c r="P16" s="3561"/>
    </row>
    <row r="17" spans="1:19" ht="15">
      <c r="A17" s="1649" t="s">
        <v>1136</v>
      </c>
      <c r="B17" s="1650" t="s">
        <v>1137</v>
      </c>
      <c r="C17" s="1651" t="s">
        <v>1138</v>
      </c>
      <c r="D17" s="1652" t="s">
        <v>1126</v>
      </c>
      <c r="E17" s="1653" t="s">
        <v>1127</v>
      </c>
      <c r="F17" s="1654"/>
      <c r="G17" s="1655"/>
      <c r="H17" s="1656" t="s">
        <v>1139</v>
      </c>
      <c r="I17" s="1657" t="s">
        <v>1124</v>
      </c>
      <c r="J17" s="1139"/>
      <c r="K17" s="3556" t="s">
        <v>1140</v>
      </c>
      <c r="L17" s="3557"/>
      <c r="M17" s="3558"/>
      <c r="N17" s="3556" t="s">
        <v>1141</v>
      </c>
      <c r="O17" s="3557"/>
      <c r="P17" s="355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3391</v>
      </c>
      <c r="D19" s="45">
        <f>ROUND($D$3*E19/$E$3,2)</f>
        <v>0</v>
      </c>
      <c r="E19" s="53">
        <f t="shared" ref="E19:E26" si="1">SUM(F19:G19)</f>
        <v>289.64</v>
      </c>
      <c r="F19" s="2790">
        <f>'数据-基础表'!I13</f>
        <v>289.64</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289.64</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289.64</v>
      </c>
      <c r="F27" s="1140">
        <f>IF(SUM(F19:F26)=E8,SUM(F19:F26),"地上面积有误")</f>
        <v>289.64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289.64</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289.64</v>
      </c>
      <c r="F31" s="677">
        <f>F27+F30</f>
        <v>289.64</v>
      </c>
      <c r="G31" s="678">
        <f>G27+G30</f>
        <v>0</v>
      </c>
      <c r="H31" s="2654"/>
      <c r="I31" s="2654"/>
      <c r="J31" s="2654"/>
      <c r="K31" s="2654"/>
      <c r="L31" s="2654"/>
      <c r="M31" s="2654"/>
      <c r="N31" s="2654"/>
      <c r="O31" s="2654"/>
      <c r="P31" s="2654"/>
    </row>
    <row r="32" spans="1:19">
      <c r="A32" s="1642"/>
      <c r="B32" s="1642" t="s">
        <v>1159</v>
      </c>
      <c r="C32" s="1642"/>
      <c r="D32" s="1642"/>
      <c r="E32" s="1053">
        <f>SUMIF(C19:C26,"*住宅*",E19:E26)</f>
        <v>289.64</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3378</v>
      </c>
      <c r="D6" s="858">
        <f>SUMIF(项目基本情况!C$12:I$12,C6,项目基本情况!C$14:I$14)</f>
        <v>70</v>
      </c>
      <c r="E6" s="857">
        <f>IF(B6="","",SUMIF(项目基本情况!C$12:I$12,C6,项目基本情况!C$13:I$13))</f>
        <v>65660.5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v>0.05</v>
      </c>
      <c r="K6" s="1030">
        <f>SUMIF('数据-汇总表'!C$19:C$33,A6,'数据-汇总表'!E$19:E$33)</f>
        <v>289.64</v>
      </c>
      <c r="L6" s="733">
        <v>3500</v>
      </c>
      <c r="M6" s="67">
        <f t="shared" ref="M6:M14" si="0">ROUND(K6*L6/10000,0)</f>
        <v>101</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37500</v>
      </c>
      <c r="V6" s="70">
        <v>0.03</v>
      </c>
      <c r="W6" s="70">
        <v>0.05</v>
      </c>
      <c r="X6" s="1040"/>
      <c r="Y6" s="71">
        <f>N6</f>
        <v>0.85</v>
      </c>
      <c r="Z6" s="72"/>
      <c r="AA6" s="66"/>
      <c r="AB6" s="66"/>
      <c r="AC6" s="1040"/>
      <c r="AD6" s="73"/>
      <c r="AE6" s="1041">
        <f ca="1">IF(AN6="",0,SUMIF(INDIRECT("'"&amp;AN6&amp;"'"&amp;"!E:E"),$AE$5,INDIRECT("'"&amp;AN6&amp;"'"&amp;"!F:F")))</f>
        <v>56</v>
      </c>
      <c r="AF6" s="1347"/>
      <c r="AG6" s="138">
        <f>IF(AF6="",0,AE6-AF6)</f>
        <v>0</v>
      </c>
      <c r="AH6" s="74">
        <v>1</v>
      </c>
      <c r="AI6" s="76">
        <v>12</v>
      </c>
      <c r="AJ6" s="77"/>
      <c r="AK6" s="78">
        <v>1.4999999999999999E-2</v>
      </c>
      <c r="AL6" s="79">
        <v>1.5E-3</v>
      </c>
      <c r="AM6" s="80">
        <v>0.01</v>
      </c>
      <c r="AN6" s="1714" t="s">
        <v>3398</v>
      </c>
      <c r="AO6" s="52">
        <f ca="1">SUMIF(INDIRECT("'"&amp;AN6&amp;"'"&amp;"!A:A"),"总价",INDIRECT("'"&amp;AN6&amp;"'"&amp;"!B:B"))</f>
        <v>1430.0693000000001</v>
      </c>
      <c r="AP6" s="1715">
        <f>IF(C6="住宅",K6*L6,0)</f>
        <v>1013740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0.95899999999999996</v>
      </c>
      <c r="H16" s="90">
        <f>ROUND(SUMPRODUCT(H6:H13,K6:K13)/SUMPRODUCT((H6:H13&gt;0)*(K6:K13)),3)</f>
        <v>4.4999999999999998E-2</v>
      </c>
      <c r="I16" s="91"/>
      <c r="J16" s="91"/>
      <c r="K16" s="92">
        <f>SUM(K6:K15)</f>
        <v>289.64</v>
      </c>
      <c r="L16" s="93">
        <f>ROUND(M16*10000/SUM(K6:K14),0)</f>
        <v>3487</v>
      </c>
      <c r="M16" s="93">
        <f>SUM(M6:M14)</f>
        <v>101</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4"/>
      <c r="M19" s="3462">
        <v>40658</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1.5</v>
      </c>
      <c r="C20" s="2795" t="s">
        <v>2301</v>
      </c>
      <c r="D20" s="2671"/>
      <c r="E20" s="2668"/>
      <c r="F20" s="2668"/>
      <c r="G20" s="2668"/>
      <c r="H20" s="2668"/>
      <c r="I20" s="2668"/>
      <c r="J20" s="2668"/>
      <c r="K20" s="2667"/>
      <c r="L20" s="2667"/>
      <c r="M20" s="3463">
        <f>(项目基本情况!B3-M19)/365</f>
        <v>12.490410958904109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1.5</v>
      </c>
      <c r="C21" s="2668"/>
      <c r="D21" s="2671"/>
      <c r="E21" s="2668"/>
      <c r="F21" s="2668"/>
      <c r="G21" s="2668"/>
      <c r="H21" s="2668"/>
      <c r="I21" s="2668"/>
      <c r="J21" s="2668"/>
      <c r="K21" s="2667"/>
      <c r="L21" s="2667"/>
      <c r="M21" s="3464">
        <f>1-(M20)/60</f>
        <v>0.79182648401826483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1.5</v>
      </c>
      <c r="C22" s="2668"/>
      <c r="D22" s="2671"/>
      <c r="E22" s="2668"/>
      <c r="F22" s="2668"/>
      <c r="G22" s="2668"/>
      <c r="H22" s="2668"/>
      <c r="I22" s="2668"/>
      <c r="J22" s="2668"/>
      <c r="K22" s="2667"/>
      <c r="L22" s="2667"/>
      <c r="M22" s="3465">
        <v>0.9</v>
      </c>
      <c r="N22" s="3446">
        <f>ROUND(AVERAGE(M21:M22),3)</f>
        <v>0.84599999999999997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46342</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3393</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t="s">
        <v>184</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71" t="s">
        <v>2284</v>
      </c>
      <c r="B1" s="3572"/>
      <c r="C1" s="3572"/>
      <c r="D1" s="3572"/>
      <c r="E1" s="3572"/>
      <c r="F1" s="3572"/>
      <c r="G1" s="357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473" t="s">
        <v>3493</v>
      </c>
      <c r="D3" s="2460"/>
      <c r="E3" s="2438" t="s">
        <v>2282</v>
      </c>
      <c r="F3" s="2461" t="s">
        <v>2253</v>
      </c>
      <c r="G3" s="2462" t="s">
        <v>2283</v>
      </c>
      <c r="H3" s="799"/>
      <c r="I3" s="799"/>
      <c r="J3" s="799"/>
      <c r="K3" s="799"/>
      <c r="L3" s="799"/>
      <c r="M3" s="799"/>
      <c r="N3" s="799"/>
      <c r="O3" s="799"/>
      <c r="P3" s="799"/>
      <c r="Q3" s="799"/>
      <c r="R3" s="799"/>
    </row>
    <row r="4" spans="1:29" ht="36.75">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c r="A5" s="2438"/>
      <c r="B5" s="323" t="s">
        <v>2258</v>
      </c>
      <c r="C5" s="2463" t="s">
        <v>2259</v>
      </c>
      <c r="D5" s="2460"/>
      <c r="E5" s="2464"/>
      <c r="F5" s="323" t="s">
        <v>2260</v>
      </c>
      <c r="G5" s="2465" t="s">
        <v>2261</v>
      </c>
      <c r="H5" s="799"/>
      <c r="I5" s="799"/>
      <c r="J5" s="799"/>
      <c r="K5" s="799"/>
      <c r="L5" s="799"/>
      <c r="M5" s="799"/>
      <c r="N5" s="799"/>
      <c r="O5" s="799"/>
      <c r="P5" s="799"/>
      <c r="Q5" s="799"/>
      <c r="R5" s="799"/>
    </row>
    <row r="6" spans="1:29" ht="48">
      <c r="A6" s="2438"/>
      <c r="B6" s="323" t="s">
        <v>2262</v>
      </c>
      <c r="C6" s="3474" t="s">
        <v>3491</v>
      </c>
      <c r="D6" s="2460"/>
      <c r="E6" s="2464"/>
      <c r="F6" s="323" t="s">
        <v>2263</v>
      </c>
      <c r="G6" s="2465" t="s">
        <v>2264</v>
      </c>
      <c r="H6" s="799"/>
      <c r="I6" s="799"/>
      <c r="J6" s="799"/>
      <c r="K6" s="799"/>
      <c r="L6" s="799"/>
      <c r="M6" s="799"/>
      <c r="N6" s="799"/>
      <c r="O6" s="799"/>
      <c r="P6" s="799"/>
      <c r="Q6" s="799"/>
      <c r="R6" s="799"/>
    </row>
    <row r="7" spans="1:29" ht="156.75" thickBot="1">
      <c r="A7" s="2438"/>
      <c r="B7" s="323" t="s">
        <v>2260</v>
      </c>
      <c r="C7" s="3474" t="s">
        <v>3492</v>
      </c>
      <c r="D7" s="2466"/>
      <c r="E7" s="2467"/>
      <c r="F7" s="2468" t="s">
        <v>2265</v>
      </c>
      <c r="G7" s="2469" t="s">
        <v>2266</v>
      </c>
      <c r="H7" s="799"/>
      <c r="I7" s="799"/>
      <c r="J7" s="799"/>
      <c r="K7" s="799"/>
      <c r="L7" s="799"/>
      <c r="M7" s="799"/>
      <c r="N7" s="799"/>
      <c r="O7" s="799"/>
      <c r="P7" s="799"/>
      <c r="Q7" s="799"/>
      <c r="R7" s="799"/>
    </row>
    <row r="8" spans="1:29">
      <c r="A8" s="2438"/>
      <c r="B8" s="323" t="s">
        <v>2263</v>
      </c>
      <c r="C8" s="2465" t="s">
        <v>2264</v>
      </c>
      <c r="D8" s="2466"/>
      <c r="E8" s="2466"/>
      <c r="F8" s="2470"/>
      <c r="G8" s="2470"/>
      <c r="H8" s="799"/>
      <c r="I8" s="799"/>
      <c r="J8" s="799"/>
      <c r="K8" s="799"/>
      <c r="L8" s="799"/>
      <c r="M8" s="799"/>
      <c r="N8" s="799"/>
      <c r="O8" s="799"/>
      <c r="P8" s="799"/>
      <c r="Q8" s="799"/>
      <c r="R8" s="799"/>
    </row>
    <row r="9" spans="1:29" ht="60">
      <c r="A9" s="2438"/>
      <c r="B9" s="323" t="s">
        <v>2267</v>
      </c>
      <c r="C9" s="3477" t="s">
        <v>3462</v>
      </c>
      <c r="D9" s="2460"/>
      <c r="E9" s="2466"/>
      <c r="F9" s="2470"/>
      <c r="G9" s="2470"/>
      <c r="H9" s="799"/>
      <c r="I9" s="799"/>
      <c r="J9" s="799"/>
      <c r="K9" s="799"/>
      <c r="L9" s="799"/>
      <c r="M9" s="799"/>
      <c r="N9" s="799"/>
      <c r="O9" s="799"/>
      <c r="P9" s="799"/>
      <c r="Q9" s="799"/>
      <c r="R9" s="799"/>
    </row>
    <row r="10" spans="1:29" s="2476" customFormat="1" ht="15" thickBot="1">
      <c r="A10" s="2439"/>
      <c r="B10" s="2471" t="s">
        <v>2268</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2269</v>
      </c>
      <c r="D14" s="2460"/>
      <c r="E14" s="2491"/>
      <c r="F14" s="2491"/>
      <c r="G14" s="2456" t="s">
        <v>2270</v>
      </c>
    </row>
    <row r="15" spans="1:29" ht="51">
      <c r="A15" s="2440" t="s">
        <v>2271</v>
      </c>
      <c r="B15" s="2492" t="s">
        <v>2252</v>
      </c>
      <c r="C15" s="2493" t="str">
        <f>C3</f>
        <v>周边有首开幸福广场、海晟名苑、三里屯北里、幸福二村社区等住宅小区，居住社区成熟度较好。</v>
      </c>
      <c r="D15" s="2460"/>
      <c r="E15" s="2441" t="s">
        <v>2272</v>
      </c>
      <c r="F15" s="2492" t="s">
        <v>2273</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0"/>
      <c r="E16" s="2443"/>
      <c r="F16" s="2497" t="s">
        <v>2256</v>
      </c>
      <c r="G16" s="2498" t="str">
        <f>G4</f>
        <v>估价对象周边道路状况、公共交通通达情况、停车便捷程度，综合评价交通便捷度较好</v>
      </c>
    </row>
    <row r="17" spans="1:18" ht="38.25">
      <c r="A17" s="2442"/>
      <c r="B17" s="2495" t="s">
        <v>2258</v>
      </c>
      <c r="C17" s="2496" t="str">
        <f>C5</f>
        <v>估价对象位于XX商圈，周边办公楼项目较多，入驻率高，办公集聚程度较好</v>
      </c>
      <c r="D17" s="2466"/>
      <c r="E17" s="2443"/>
      <c r="F17" s="2497" t="s">
        <v>2274</v>
      </c>
      <c r="G17" s="2499"/>
    </row>
    <row r="18" spans="1:18" ht="51">
      <c r="A18" s="2442"/>
      <c r="B18" s="2497" t="s">
        <v>2262</v>
      </c>
      <c r="C18" s="2498" t="str">
        <f>C6</f>
        <v>周边有3路、24路、110路、117路、120路等多条公交线路及地铁10号线农业展览馆站，综合评价交通便捷度较好</v>
      </c>
      <c r="D18" s="2466"/>
      <c r="E18" s="2443"/>
      <c r="F18" s="2497" t="s">
        <v>2265</v>
      </c>
      <c r="G18" s="2498" t="str">
        <f>G7</f>
        <v>该园区内是否有污染型企业，绿化情况，卫生条件，整体环境状况判断</v>
      </c>
    </row>
    <row r="19" spans="1:18" ht="25.5">
      <c r="A19" s="2442"/>
      <c r="B19" s="2497" t="s">
        <v>2275</v>
      </c>
      <c r="C19" s="2499"/>
      <c r="D19" s="2460"/>
      <c r="E19" s="2443"/>
      <c r="F19" s="323" t="s">
        <v>2260</v>
      </c>
      <c r="G19" s="2498" t="str">
        <f>G5</f>
        <v>估价对象所在区域公共配套设施齐备情况</v>
      </c>
    </row>
    <row r="20" spans="1:18" ht="63.75">
      <c r="A20" s="2442"/>
      <c r="B20" s="2497" t="s">
        <v>2276</v>
      </c>
      <c r="C20" s="2496" t="str">
        <f>C9</f>
        <v>自然环境：亮马河等自然水系景观；
人文环境：北京工人体育场、全国农业展览馆等人文场所；
综合评价环境状况较好。</v>
      </c>
      <c r="D20" s="2466"/>
      <c r="E20" s="2443"/>
      <c r="F20" s="323" t="s">
        <v>2263</v>
      </c>
      <c r="G20" s="2498" t="str">
        <f>G6</f>
        <v>估价对象所在区域基础设施水平</v>
      </c>
    </row>
    <row r="21" spans="1:18" ht="165.75">
      <c r="A21" s="2442"/>
      <c r="B21" s="323" t="s">
        <v>2260</v>
      </c>
      <c r="C21" s="2498" t="str">
        <f>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1" s="2460"/>
      <c r="E21" s="2443"/>
      <c r="F21" s="2497" t="s">
        <v>2277</v>
      </c>
      <c r="G21" s="2500"/>
    </row>
    <row r="22" spans="1:18" ht="13.5" customHeight="1">
      <c r="A22" s="2442"/>
      <c r="B22" s="323" t="s">
        <v>2263</v>
      </c>
      <c r="C22" s="2498" t="str">
        <f>C8</f>
        <v>估价对象所在区域基础设施水平</v>
      </c>
      <c r="D22" s="2460"/>
      <c r="E22" s="2443"/>
      <c r="F22" s="2497" t="s">
        <v>2268</v>
      </c>
      <c r="G22" s="2499"/>
    </row>
    <row r="23" spans="1:18" s="799" customFormat="1" ht="15" thickBot="1">
      <c r="A23" s="2442"/>
      <c r="B23" s="2497" t="s">
        <v>2277</v>
      </c>
      <c r="C23" s="2500"/>
      <c r="D23" s="1740"/>
      <c r="E23" s="2444"/>
      <c r="F23" s="2501" t="s">
        <v>2278</v>
      </c>
      <c r="G23" s="2502"/>
      <c r="H23" s="2486"/>
      <c r="I23" s="2487"/>
      <c r="J23" s="2486"/>
      <c r="K23" s="2486"/>
      <c r="L23" s="2487"/>
      <c r="M23" s="2486"/>
      <c r="N23" s="2486"/>
      <c r="O23" s="2487"/>
      <c r="P23" s="2486"/>
      <c r="Q23" s="2486"/>
      <c r="R23" s="2488"/>
    </row>
    <row r="24" spans="1:18" s="799" customFormat="1" ht="15" thickBot="1">
      <c r="A24" s="2445"/>
      <c r="B24" s="2501" t="s">
        <v>2279</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289.64</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45217</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1988.8420000000001</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3359</v>
      </c>
      <c r="D10" s="2507" t="s">
        <v>3360</v>
      </c>
      <c r="E10" s="3436"/>
      <c r="F10" s="3440" t="s">
        <v>3361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289.64</v>
      </c>
      <c r="C14" s="2513"/>
      <c r="D14" s="2513">
        <f ca="1">ROUND(E14*B14/10000,4)</f>
        <v>1988.8420000000001</v>
      </c>
      <c r="E14" s="2513">
        <f ca="1">结果表!G20</f>
        <v>68666</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I24" sqref="I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3" t="s">
        <v>1265</v>
      </c>
      <c r="B4" s="1754" t="s">
        <v>1266</v>
      </c>
      <c r="C4" s="1755" t="s">
        <v>3398</v>
      </c>
      <c r="D4" s="1755" t="s">
        <v>3403</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7" t="s">
        <v>1268</v>
      </c>
      <c r="B5" s="3574">
        <v>25</v>
      </c>
      <c r="C5" s="3590"/>
      <c r="D5" s="3610"/>
      <c r="E5" s="131" t="s">
        <v>1269</v>
      </c>
      <c r="F5" s="1756"/>
      <c r="G5" s="1756"/>
      <c r="H5" s="1756"/>
      <c r="I5" s="1372"/>
    </row>
    <row r="6" spans="1:12" ht="12.75">
      <c r="A6" s="3587"/>
      <c r="B6" s="3574"/>
      <c r="C6" s="3591"/>
      <c r="D6" s="3610"/>
      <c r="E6" s="131" t="s">
        <v>1270</v>
      </c>
      <c r="F6" s="1756"/>
      <c r="G6" s="1756"/>
      <c r="H6" s="1756"/>
      <c r="I6" s="1372"/>
    </row>
    <row r="7" spans="1:12" ht="12.75">
      <c r="A7" s="3587"/>
      <c r="B7" s="3574"/>
      <c r="C7" s="3592"/>
      <c r="D7" s="3610"/>
      <c r="E7" s="131" t="s">
        <v>1271</v>
      </c>
      <c r="F7" s="1756"/>
      <c r="G7" s="1756"/>
      <c r="H7" s="1756"/>
      <c r="I7" s="1372"/>
    </row>
    <row r="8" spans="1:12" ht="12.75">
      <c r="A8" s="3587" t="s">
        <v>1272</v>
      </c>
      <c r="B8" s="3574">
        <v>15</v>
      </c>
      <c r="C8" s="3590"/>
      <c r="D8" s="3610"/>
      <c r="E8" s="131" t="s">
        <v>1273</v>
      </c>
      <c r="F8" s="1756"/>
      <c r="G8" s="1756"/>
      <c r="H8" s="1756"/>
      <c r="I8" s="1372"/>
    </row>
    <row r="9" spans="1:12" ht="12.75">
      <c r="A9" s="3587"/>
      <c r="B9" s="3574"/>
      <c r="C9" s="3592"/>
      <c r="D9" s="3610"/>
      <c r="E9" s="131" t="s">
        <v>1274</v>
      </c>
      <c r="F9" s="1756"/>
      <c r="G9" s="1756"/>
      <c r="H9" s="1756"/>
      <c r="I9" s="1372"/>
    </row>
    <row r="10" spans="1:12" ht="12.75">
      <c r="A10" s="3587" t="s">
        <v>1275</v>
      </c>
      <c r="B10" s="3574">
        <v>15</v>
      </c>
      <c r="C10" s="3590"/>
      <c r="D10" s="3610"/>
      <c r="E10" s="131" t="s">
        <v>1276</v>
      </c>
      <c r="F10" s="1756"/>
      <c r="G10" s="1756"/>
      <c r="H10" s="1756"/>
      <c r="I10" s="1372"/>
    </row>
    <row r="11" spans="1:12" ht="12.75">
      <c r="A11" s="3587"/>
      <c r="B11" s="3574"/>
      <c r="C11" s="3592"/>
      <c r="D11" s="3610"/>
      <c r="E11" s="131" t="s">
        <v>1277</v>
      </c>
      <c r="F11" s="1756"/>
      <c r="G11" s="1756"/>
      <c r="H11" s="1756"/>
      <c r="I11" s="1372"/>
    </row>
    <row r="12" spans="1:12" ht="12.75">
      <c r="A12" s="3587" t="s">
        <v>1278</v>
      </c>
      <c r="B12" s="3574">
        <v>15</v>
      </c>
      <c r="C12" s="3590"/>
      <c r="D12" s="3610"/>
      <c r="E12" s="131" t="s">
        <v>1279</v>
      </c>
      <c r="F12" s="1756"/>
      <c r="G12" s="1756"/>
      <c r="H12" s="1756"/>
      <c r="I12" s="1372"/>
    </row>
    <row r="13" spans="1:12" ht="12.75">
      <c r="A13" s="3587"/>
      <c r="B13" s="3574"/>
      <c r="C13" s="3592"/>
      <c r="D13" s="3610"/>
      <c r="E13" s="131" t="s">
        <v>1280</v>
      </c>
      <c r="F13" s="1756"/>
      <c r="G13" s="1756"/>
      <c r="H13" s="1756"/>
      <c r="I13" s="1372"/>
    </row>
    <row r="14" spans="1:12" ht="12.75">
      <c r="A14" s="3587" t="s">
        <v>1281</v>
      </c>
      <c r="B14" s="3574">
        <v>30</v>
      </c>
      <c r="C14" s="3590">
        <v>2</v>
      </c>
      <c r="D14" s="3610">
        <f>10-C14</f>
        <v>8</v>
      </c>
      <c r="E14" s="131" t="s">
        <v>1282</v>
      </c>
      <c r="F14" s="1756"/>
      <c r="G14" s="1756"/>
      <c r="H14" s="1756"/>
      <c r="I14" s="1372"/>
    </row>
    <row r="15" spans="1:12" ht="12.75">
      <c r="A15" s="3587"/>
      <c r="B15" s="3574"/>
      <c r="C15" s="3591"/>
      <c r="D15" s="3610"/>
      <c r="E15" s="131" t="s">
        <v>1283</v>
      </c>
      <c r="F15" s="1756"/>
      <c r="G15" s="1756"/>
      <c r="H15" s="1756"/>
      <c r="I15" s="1372"/>
    </row>
    <row r="16" spans="1:12" ht="12.75">
      <c r="A16" s="3587"/>
      <c r="B16" s="3574"/>
      <c r="C16" s="3592"/>
      <c r="D16" s="3610"/>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597" t="s">
        <v>2131</v>
      </c>
      <c r="F18" s="3598"/>
      <c r="G18" s="3598"/>
      <c r="H18" s="3598"/>
      <c r="I18" s="3598"/>
      <c r="K18" s="302" t="s">
        <v>1289</v>
      </c>
      <c r="L18" s="302">
        <f>IF(C1="",'数据-汇总表'!E3,SUMIF(项目类型,C1,'数据-汇总表'!E17:E26)+SUMIF(项目类型,C1,'数据-汇总表'!I17:I26))</f>
        <v>289.64</v>
      </c>
      <c r="M18" s="302">
        <f>IF(C1="",'数据-汇总表'!E3,SUMIF(项目类型,C1,'数据-汇总表'!E17:E26))</f>
        <v>289.64</v>
      </c>
    </row>
    <row r="19" spans="1:36" ht="15">
      <c r="A19" s="1760" t="s">
        <v>1290</v>
      </c>
      <c r="B19" s="1761" t="s">
        <v>1291</v>
      </c>
      <c r="C19" s="134">
        <f ca="1">SUMIF(INDIRECT("'"&amp;C4&amp;"'"&amp;"!A:A"),结果表!B19,INDIRECT("'"&amp;C4&amp;"'"&amp;"!B:B"))</f>
        <v>1430.0693000000001</v>
      </c>
      <c r="D19" s="135">
        <f ca="1">SUMIF(INDIRECT("'"&amp;D4&amp;"'"&amp;"!A:A"),结果表!B19,INDIRECT("'"&amp;D4&amp;"'"&amp;"!B:B"))</f>
        <v>2128.5354000000002</v>
      </c>
      <c r="E19" s="1760" t="s">
        <v>1292</v>
      </c>
      <c r="F19" s="1761" t="s">
        <v>1291</v>
      </c>
      <c r="G19" s="136">
        <f ca="1">ROUND(C19*$C$18+D19*$D$18,0)</f>
        <v>1989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49374</v>
      </c>
      <c r="D20" s="138">
        <f ca="1">SUMIF(INDIRECT("'"&amp;D4&amp;"'"&amp;"!A:A"),结果表!B20,INDIRECT("'"&amp;D4&amp;"'"&amp;"!B:B"))</f>
        <v>73489</v>
      </c>
      <c r="E20" s="1763"/>
      <c r="F20" s="1026" t="s">
        <v>1295</v>
      </c>
      <c r="G20" s="139">
        <f ca="1">ROUND(C20*$C$18+D20*$D$18,0)</f>
        <v>68666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0.4884141628660934</v>
      </c>
      <c r="E22" s="129"/>
      <c r="F22" s="129"/>
      <c r="G22" s="129"/>
      <c r="H22" s="129"/>
      <c r="I22" s="129"/>
    </row>
    <row r="23" spans="1:36" ht="13.5" thickBot="1">
      <c r="A23" s="1746"/>
      <c r="B23" s="1746"/>
      <c r="C23" s="1746"/>
      <c r="D23" s="1746"/>
      <c r="E23" s="129"/>
      <c r="F23" s="129"/>
      <c r="G23" s="129"/>
      <c r="H23" s="129"/>
      <c r="I23" s="129"/>
    </row>
    <row r="24" spans="1:36" ht="14.25">
      <c r="A24" s="3581" t="s">
        <v>1299</v>
      </c>
      <c r="B24" s="1761" t="s">
        <v>1291</v>
      </c>
      <c r="C24" s="136">
        <f>IF(B30=0,0,D30)</f>
        <v>0</v>
      </c>
      <c r="D24" s="1768"/>
      <c r="E24" s="129"/>
      <c r="F24" s="129"/>
      <c r="G24" s="129">
        <f ca="1">系统读取表!D14</f>
        <v>1988.8420000000001</v>
      </c>
      <c r="H24" s="129"/>
      <c r="I24" s="129"/>
    </row>
    <row r="25" spans="1:36" ht="14.25">
      <c r="A25" s="358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68666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1" t="s">
        <v>1312</v>
      </c>
      <c r="B36" s="1786" t="s">
        <v>1313</v>
      </c>
      <c r="C36" s="145"/>
      <c r="D36" s="1787"/>
      <c r="E36" s="1788"/>
      <c r="F36" s="1789"/>
      <c r="G36" s="129"/>
      <c r="H36" s="129"/>
      <c r="I36" s="129"/>
    </row>
    <row r="37" spans="1:15" ht="15.75" thickBot="1">
      <c r="A37" s="3602"/>
      <c r="B37" s="1673" t="s">
        <v>1314</v>
      </c>
      <c r="C37" s="147"/>
      <c r="D37" s="1139"/>
      <c r="E37" s="1139"/>
      <c r="F37" s="1789"/>
      <c r="G37" s="129"/>
      <c r="H37" s="129"/>
      <c r="I37" s="129"/>
    </row>
    <row r="38" spans="1:15" ht="15.75" thickBot="1">
      <c r="A38" s="360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8" t="s">
        <v>1326</v>
      </c>
      <c r="B45" s="3579"/>
      <c r="C45" s="3580"/>
      <c r="D45" s="155" t="e">
        <f ca="1">ROUND(H101*F45,0)</f>
        <v>#REF!</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5"/>
      <c r="I46" s="159"/>
      <c r="J46" s="2518">
        <v>1</v>
      </c>
      <c r="K46" s="3637" t="s">
        <v>1331</v>
      </c>
      <c r="L46" s="3637"/>
      <c r="M46" s="3657"/>
      <c r="N46" s="3657"/>
      <c r="O46" s="3657"/>
    </row>
    <row r="47" spans="1:15" ht="12" customHeight="1">
      <c r="A47" s="160" t="s">
        <v>1332</v>
      </c>
      <c r="B47" s="161"/>
      <c r="C47" s="162"/>
      <c r="D47" s="1087" t="s">
        <v>1333</v>
      </c>
      <c r="E47" s="302" t="s">
        <v>1334</v>
      </c>
      <c r="F47" s="163" t="s">
        <v>1335</v>
      </c>
      <c r="G47" s="2541" t="s">
        <v>1336</v>
      </c>
      <c r="H47" s="2542"/>
      <c r="I47" s="159"/>
      <c r="J47" s="2518">
        <v>2</v>
      </c>
      <c r="K47" s="3637" t="s">
        <v>1337</v>
      </c>
      <c r="L47" s="3637"/>
      <c r="M47" s="3658">
        <f>'数据-取费表'!B2</f>
        <v>45217</v>
      </c>
      <c r="N47" s="3658"/>
      <c r="O47" s="3658"/>
    </row>
    <row r="48" spans="1:15" ht="25.5">
      <c r="A48" s="3606" t="s">
        <v>1338</v>
      </c>
      <c r="B48" s="3589"/>
      <c r="C48" s="3589"/>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637" t="s">
        <v>1340</v>
      </c>
      <c r="L48" s="3637"/>
      <c r="M48" s="3659" t="e">
        <f ca="1">H101</f>
        <v>#REF!</v>
      </c>
      <c r="N48" s="3659"/>
      <c r="O48" s="3659"/>
    </row>
    <row r="49" spans="1:35" ht="25.5" customHeight="1">
      <c r="A49" s="2329" t="s">
        <v>1341</v>
      </c>
      <c r="B49" s="3573" t="s">
        <v>1342</v>
      </c>
      <c r="C49" s="3573"/>
      <c r="D49" s="1589">
        <v>0</v>
      </c>
      <c r="E49" s="324" t="s">
        <v>1343</v>
      </c>
      <c r="F49" s="2420" t="s">
        <v>28</v>
      </c>
      <c r="G49" s="3643"/>
      <c r="H49" s="2306" t="s">
        <v>2134</v>
      </c>
      <c r="I49" s="2307"/>
      <c r="J49" s="2518">
        <v>4</v>
      </c>
      <c r="K49" s="3637" t="str">
        <f>IF(项目基本情况!E8="房地产抵押价值","房地产抵押价值","抵押担保权已注销时的房地产抵押价值")</f>
        <v>抵押担保权已注销时的房地产抵押价值</v>
      </c>
      <c r="L49" s="3637"/>
      <c r="M49" s="3659" t="str">
        <f>IF(项目基本情况!E8="房地产抵押价值",H107,H109)</f>
        <v>——</v>
      </c>
      <c r="N49" s="3659"/>
      <c r="O49" s="3659"/>
    </row>
    <row r="50" spans="1:35" ht="25.5" customHeight="1">
      <c r="A50" s="2546"/>
      <c r="B50" s="3573" t="s">
        <v>1344</v>
      </c>
      <c r="C50" s="3573"/>
      <c r="D50" s="2547"/>
      <c r="E50" s="332"/>
      <c r="F50" s="2420"/>
      <c r="G50" s="3644"/>
      <c r="H50" s="2308" t="s">
        <v>2135</v>
      </c>
      <c r="I50" s="2307"/>
      <c r="J50" s="3656" t="s">
        <v>1345</v>
      </c>
      <c r="K50" s="3656"/>
      <c r="L50" s="3656"/>
      <c r="M50" s="3656"/>
      <c r="N50" s="3656"/>
      <c r="O50" s="3656"/>
    </row>
    <row r="51" spans="1:35" ht="20.45" customHeight="1">
      <c r="A51" s="2548"/>
      <c r="B51" s="3573" t="s">
        <v>1346</v>
      </c>
      <c r="C51" s="3573"/>
      <c r="D51" s="1087"/>
      <c r="E51" s="327"/>
      <c r="F51" s="2420"/>
      <c r="G51" s="3645"/>
      <c r="H51" s="2308" t="s">
        <v>2136</v>
      </c>
      <c r="I51" s="2307"/>
      <c r="J51" s="2519" t="s">
        <v>1347</v>
      </c>
      <c r="K51" s="3637" t="s">
        <v>1348</v>
      </c>
      <c r="L51" s="3637"/>
      <c r="M51" s="2519" t="s">
        <v>1349</v>
      </c>
      <c r="N51" s="2519" t="s">
        <v>1350</v>
      </c>
      <c r="O51" s="2519" t="s">
        <v>1351</v>
      </c>
    </row>
    <row r="52" spans="1:35" ht="24" customHeight="1">
      <c r="A52" s="2331" t="s">
        <v>1352</v>
      </c>
      <c r="B52" s="3573" t="s">
        <v>1353</v>
      </c>
      <c r="C52" s="3573"/>
      <c r="D52" s="1087" t="e">
        <f ca="1">ROUND(D45*'数据-取费表'!B41/(1+'数据-取费表'!C42),0)</f>
        <v>#REF!</v>
      </c>
      <c r="E52" s="2330" t="s">
        <v>1354</v>
      </c>
      <c r="F52" s="2549">
        <f>'数据-取费表'!B41</f>
        <v>5.6000000000000001E-2</v>
      </c>
      <c r="G52" s="2550"/>
      <c r="H52" s="2539"/>
      <c r="I52" s="1806"/>
      <c r="J52" s="2518">
        <v>1</v>
      </c>
      <c r="K52" s="3638" t="s">
        <v>1355</v>
      </c>
      <c r="L52" s="3638"/>
      <c r="M52" s="2520" t="b">
        <f>D48</f>
        <v>0</v>
      </c>
      <c r="N52" s="2518" t="str">
        <f>E48</f>
        <v>销售额×税（费）率</v>
      </c>
      <c r="O52" s="2521">
        <f>F48</f>
        <v>5.6000000000000001E-2</v>
      </c>
    </row>
    <row r="53" spans="1:35" ht="12" customHeight="1">
      <c r="A53" s="2331" t="s">
        <v>1356</v>
      </c>
      <c r="B53" s="3599" t="s">
        <v>2289</v>
      </c>
      <c r="C53" s="3600"/>
      <c r="D53" s="1087" t="e">
        <f ca="1">ROUND(D45*'数据-取费表'!B41/(1+'数据-取费表'!C42),0)</f>
        <v>#REF!</v>
      </c>
      <c r="E53" s="2330" t="s">
        <v>1354</v>
      </c>
      <c r="F53" s="2549">
        <f>'数据-取费表'!B41</f>
        <v>5.6000000000000001E-2</v>
      </c>
      <c r="G53" s="2550"/>
      <c r="H53" s="2539"/>
      <c r="I53" s="1806"/>
      <c r="J53" s="2518">
        <v>2</v>
      </c>
      <c r="K53" s="3638" t="s">
        <v>1357</v>
      </c>
      <c r="L53" s="3638"/>
      <c r="M53" s="2520" t="e">
        <f t="shared" ref="M53:O54" ca="1" si="0">D55</f>
        <v>#REF!</v>
      </c>
      <c r="N53" s="2518" t="str">
        <f t="shared" si="0"/>
        <v>销售额×税（费）率</v>
      </c>
      <c r="O53" s="2521" t="str">
        <f t="shared" si="0"/>
        <v>免征</v>
      </c>
    </row>
    <row r="54" spans="1:35" ht="12" customHeight="1">
      <c r="A54" s="2331" t="s">
        <v>1358</v>
      </c>
      <c r="B54" s="3599" t="s">
        <v>2290</v>
      </c>
      <c r="C54" s="3600"/>
      <c r="D54" s="1087" t="e">
        <f ca="1">C68</f>
        <v>#REF!</v>
      </c>
      <c r="E54" s="327" t="s">
        <v>1359</v>
      </c>
      <c r="F54" s="2549">
        <f>'数据-取费表'!B41</f>
        <v>5.6000000000000001E-2</v>
      </c>
      <c r="G54" s="2550"/>
      <c r="H54" s="2551"/>
      <c r="I54" s="1806"/>
      <c r="J54" s="2518">
        <v>3</v>
      </c>
      <c r="K54" s="3638" t="s">
        <v>1360</v>
      </c>
      <c r="L54" s="3638"/>
      <c r="M54" s="2520" t="e">
        <f t="shared" ca="1" si="0"/>
        <v>#REF!</v>
      </c>
      <c r="N54" s="2518" t="str">
        <f t="shared" si="0"/>
        <v>增值额×税（费）率</v>
      </c>
      <c r="O54" s="2522" t="str">
        <f t="shared" si="0"/>
        <v>免征</v>
      </c>
    </row>
    <row r="55" spans="1:35" ht="24" customHeight="1">
      <c r="A55" s="3588" t="s">
        <v>1361</v>
      </c>
      <c r="B55" s="3589"/>
      <c r="C55" s="3589"/>
      <c r="D55" s="2320" t="e">
        <f ca="1">IF(H55="个人住宅",0,ROUND(D45*I55,0))</f>
        <v>#REF!</v>
      </c>
      <c r="E55" s="2330" t="s">
        <v>1362</v>
      </c>
      <c r="F55" s="2549" t="str">
        <f>IF(H55="正常",I55,"免征")</f>
        <v>免征</v>
      </c>
      <c r="G55" s="2550"/>
      <c r="H55" s="2545"/>
      <c r="I55" s="165">
        <f>'数据-取费表'!B49</f>
        <v>5.0000000000000001E-4</v>
      </c>
      <c r="J55" s="2518">
        <f>IF(H59="非个人房产","",4)</f>
        <v>4</v>
      </c>
      <c r="K55" s="3638" t="str">
        <f>IF(H59="非个人房产","——","个人所得税")</f>
        <v>个人所得税</v>
      </c>
      <c r="L55" s="3638"/>
      <c r="M55" s="2523" t="e">
        <f ca="1">D59</f>
        <v>#REF!</v>
      </c>
      <c r="N55" s="2036" t="str">
        <f>E59</f>
        <v>差额计税</v>
      </c>
      <c r="O55" s="2524">
        <f>F59</f>
        <v>0.01</v>
      </c>
    </row>
    <row r="56" spans="1:35" ht="24.75">
      <c r="A56" s="3588" t="s">
        <v>1363</v>
      </c>
      <c r="B56" s="3589"/>
      <c r="C56" s="3589"/>
      <c r="D56" s="2320" t="e">
        <f ca="1">IF(H56="个人住宅",D57,D58)</f>
        <v>#REF!</v>
      </c>
      <c r="E56" s="2330" t="s">
        <v>1364</v>
      </c>
      <c r="F56" s="2549" t="str">
        <f>IF(H56="正常",F58,"免征")</f>
        <v>免征</v>
      </c>
      <c r="G56" s="2552" t="s">
        <v>1365</v>
      </c>
      <c r="H56" s="2553"/>
      <c r="I56" s="1807"/>
      <c r="J56" s="2518"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2331" t="s">
        <v>1341</v>
      </c>
      <c r="B57" s="3599" t="s">
        <v>1366</v>
      </c>
      <c r="C57" s="3600"/>
      <c r="D57" s="1589">
        <v>0</v>
      </c>
      <c r="E57" s="324" t="s">
        <v>1343</v>
      </c>
      <c r="F57" s="302"/>
      <c r="G57" s="2550"/>
      <c r="H57" s="2554"/>
      <c r="I57" s="1807"/>
      <c r="J57" s="3638">
        <f>IF(AND(J55="",J56=""),4,IF(项目基本情况!K6="上海银行",结果表!J56+1,结果表!J55+1))</f>
        <v>5</v>
      </c>
      <c r="K57" s="3638" t="s">
        <v>1367</v>
      </c>
      <c r="L57" s="2525" t="s">
        <v>1368</v>
      </c>
      <c r="M57" s="2526"/>
      <c r="N57" s="2527">
        <f ca="1">SUMIF(M52:M56,"&lt;9e307")</f>
        <v>0</v>
      </c>
      <c r="O57" s="2528"/>
      <c r="P57" s="2685" t="e">
        <f ca="1">N57/M49</f>
        <v>#VALUE!</v>
      </c>
    </row>
    <row r="58" spans="1:35" ht="24.75">
      <c r="A58" s="2331" t="s">
        <v>1352</v>
      </c>
      <c r="B58" s="3599" t="s">
        <v>1369</v>
      </c>
      <c r="C58" s="3573"/>
      <c r="D58" s="2320" t="e">
        <f ca="1">IF(H58="转让取得",C81,C97)</f>
        <v>#REF!</v>
      </c>
      <c r="E58" s="2330" t="s">
        <v>1364</v>
      </c>
      <c r="F58" s="302" t="s">
        <v>28</v>
      </c>
      <c r="G58" s="2550"/>
      <c r="H58" s="2553"/>
      <c r="I58" s="1807"/>
      <c r="J58" s="3638"/>
      <c r="K58" s="3638"/>
      <c r="L58" s="2525" t="s">
        <v>1370</v>
      </c>
      <c r="M58" s="2529"/>
      <c r="N58" s="2530" t="str">
        <f ca="1">NUMBERSTRING(INT(N57*10000),2)&amp;"元整"</f>
        <v>零元整</v>
      </c>
      <c r="O58" s="2531"/>
    </row>
    <row r="59" spans="1:35" ht="24.75" thickBot="1">
      <c r="A59" s="3641" t="s">
        <v>1371</v>
      </c>
      <c r="B59" s="3642"/>
      <c r="C59" s="3642"/>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639">
        <f>J57+1</f>
        <v>6</v>
      </c>
      <c r="K59" s="3638" t="s">
        <v>1372</v>
      </c>
      <c r="L59" s="2518" t="s">
        <v>1368</v>
      </c>
      <c r="M59" s="2532"/>
      <c r="N59" s="2533" t="e">
        <f ca="1">M49-N57</f>
        <v>#VALUE!</v>
      </c>
      <c r="O59" s="2534"/>
    </row>
    <row r="60" spans="1:35" ht="12" customHeight="1">
      <c r="A60" s="1808"/>
      <c r="B60" s="1746"/>
      <c r="C60" s="1746"/>
      <c r="D60" s="1746"/>
      <c r="E60" s="1577"/>
      <c r="F60" s="1807"/>
      <c r="G60" s="1807"/>
      <c r="H60" s="1809"/>
      <c r="I60" s="129"/>
      <c r="J60" s="3640"/>
      <c r="K60" s="3638"/>
      <c r="L60" s="2525" t="s">
        <v>1370</v>
      </c>
      <c r="M60" s="2529"/>
      <c r="N60" s="2530" t="e">
        <f ca="1">NUMBERSTRING(INT(N59*10000),2)&amp;"元整"</f>
        <v>#VALUE!</v>
      </c>
      <c r="O60" s="2531"/>
    </row>
    <row r="61" spans="1:35" ht="13.5" thickBot="1">
      <c r="A61" s="3586" t="s">
        <v>1373</v>
      </c>
      <c r="B61" s="3586"/>
      <c r="C61" s="3586"/>
      <c r="D61" s="3586"/>
      <c r="E61" s="3586"/>
      <c r="F61" s="1807"/>
      <c r="G61" s="1807"/>
      <c r="H61" s="1809"/>
      <c r="I61" s="129"/>
      <c r="J61" s="2518">
        <f>J59+1</f>
        <v>7</v>
      </c>
      <c r="K61" s="3638" t="s">
        <v>1374</v>
      </c>
      <c r="L61" s="3638"/>
      <c r="M61" s="2535"/>
      <c r="N61" s="2536" t="e">
        <f ca="1">ROUND(N59*10000/'数据-汇总表'!E3,0)</f>
        <v>#VALUE!</v>
      </c>
      <c r="O61" s="2537"/>
    </row>
    <row r="62" spans="1:35" ht="12.75">
      <c r="A62" s="3604" t="s">
        <v>1375</v>
      </c>
      <c r="B62" s="3605"/>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663"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66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663"/>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663"/>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66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663"/>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663"/>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1375</v>
      </c>
      <c r="B71" s="3605"/>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599" t="s">
        <v>1402</v>
      </c>
      <c r="F76" s="3573"/>
      <c r="G76" s="3573"/>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583" t="s">
        <v>1406</v>
      </c>
      <c r="F78" s="3584"/>
      <c r="G78" s="3584"/>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1375</v>
      </c>
      <c r="B84" s="3605"/>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65" t="s">
        <v>2129</v>
      </c>
      <c r="H90" s="3666"/>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583" t="s">
        <v>1419</v>
      </c>
      <c r="F91" s="3584"/>
      <c r="G91" s="358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583" t="s">
        <v>1422</v>
      </c>
      <c r="F92" s="3584"/>
      <c r="G92" s="3584"/>
      <c r="H92" s="3593"/>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583" t="s">
        <v>1406</v>
      </c>
      <c r="F93" s="3584"/>
      <c r="G93" s="3584"/>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594" t="s">
        <v>1426</v>
      </c>
      <c r="F94" s="3595"/>
      <c r="G94" s="3595"/>
      <c r="H94" s="359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0" t="str">
        <f>C4</f>
        <v>收益法 (元)</v>
      </c>
      <c r="D101" s="2581" t="str">
        <f>D4</f>
        <v>比较法-住宅</v>
      </c>
      <c r="E101" s="3660" t="s">
        <v>1431</v>
      </c>
      <c r="F101" s="3617"/>
      <c r="G101" s="1826" t="s">
        <v>1432</v>
      </c>
      <c r="H101" s="2590" t="e">
        <f ca="1">H118</f>
        <v>#REF!</v>
      </c>
      <c r="I101" s="129"/>
    </row>
    <row r="102" spans="1:35" ht="18.75" customHeight="1">
      <c r="A102" s="3619" t="s">
        <v>1433</v>
      </c>
      <c r="B102" s="2579" t="s">
        <v>1432</v>
      </c>
      <c r="C102" s="2580">
        <f ca="1">IF(D32="楼面单价",ROUND(C19,0),C19)</f>
        <v>1430.0693000000001</v>
      </c>
      <c r="D102" s="2581">
        <f ca="1">IF(D32="楼面单价",ROUND(D19,0),D19)</f>
        <v>2128.5354000000002</v>
      </c>
      <c r="E102" s="3660"/>
      <c r="F102" s="3617"/>
      <c r="G102" s="1826" t="s">
        <v>1434</v>
      </c>
      <c r="H102" s="2550" t="e">
        <f ca="1">I118</f>
        <v>#REF!</v>
      </c>
      <c r="I102" s="129"/>
    </row>
    <row r="103" spans="1:35" ht="42.75" customHeight="1">
      <c r="A103" s="3619"/>
      <c r="B103" s="2579" t="s">
        <v>1434</v>
      </c>
      <c r="C103" s="2582">
        <f ca="1">C20</f>
        <v>49374</v>
      </c>
      <c r="D103" s="2583">
        <f ca="1">D20</f>
        <v>73489</v>
      </c>
      <c r="E103" s="3654" t="s">
        <v>1435</v>
      </c>
      <c r="F103" s="3655"/>
      <c r="G103" s="1827" t="s">
        <v>1436</v>
      </c>
      <c r="H103" s="2590">
        <f>IF(D36="正常操作",H104+H105+H106,H105+H106)</f>
        <v>0</v>
      </c>
      <c r="I103" s="129"/>
    </row>
    <row r="104" spans="1:35" ht="18.75" customHeight="1">
      <c r="A104" s="3619"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20"/>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16" t="str">
        <f>IF(项目基本情况!E8="已注销","——","3.房地产抵押价值")</f>
        <v>3.房地产抵押价值</v>
      </c>
      <c r="F107" s="3617"/>
      <c r="G107" s="1826" t="s">
        <v>1432</v>
      </c>
      <c r="H107" s="2590" t="e">
        <f ca="1">IF(E107="——","——",H101-H103)</f>
        <v>#REF!</v>
      </c>
      <c r="I107" s="129"/>
    </row>
    <row r="108" spans="1:35" ht="18.75" customHeight="1">
      <c r="A108" s="129"/>
      <c r="B108" s="129"/>
      <c r="C108" s="129"/>
      <c r="D108" s="129"/>
      <c r="E108" s="3616"/>
      <c r="F108" s="3617"/>
      <c r="G108" s="1826" t="s">
        <v>1434</v>
      </c>
      <c r="H108" s="2550">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6" t="s">
        <v>1432</v>
      </c>
      <c r="H109" s="2593" t="str">
        <f>IF(E109="——","——",H101-H105-H106)</f>
        <v>——</v>
      </c>
      <c r="I109" s="129"/>
    </row>
    <row r="110" spans="1:35" ht="18.75" customHeight="1">
      <c r="A110" s="129"/>
      <c r="B110" s="129"/>
      <c r="C110" s="129"/>
      <c r="D110" s="129"/>
      <c r="E110" s="3616"/>
      <c r="F110" s="3617"/>
      <c r="G110" s="1826" t="s">
        <v>1434</v>
      </c>
      <c r="H110" s="2550"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6" t="s">
        <v>1432</v>
      </c>
      <c r="H111" s="2590" t="str">
        <f>IF(E111="——","——",N59)</f>
        <v>——</v>
      </c>
      <c r="I111" s="129"/>
    </row>
    <row r="112" spans="1:35" ht="18.75" customHeight="1" thickBot="1">
      <c r="A112" s="129"/>
      <c r="B112" s="129"/>
      <c r="C112" s="129"/>
      <c r="D112" s="129"/>
      <c r="E112" s="3649"/>
      <c r="F112" s="3650"/>
      <c r="G112" s="1829" t="s">
        <v>1434</v>
      </c>
      <c r="H112" s="2594" t="str">
        <f>IF(E111="——","——",N61)</f>
        <v>——</v>
      </c>
      <c r="I112" s="129"/>
    </row>
    <row r="113" spans="1:27" ht="18.75" customHeight="1">
      <c r="A113" s="129"/>
      <c r="B113" s="129"/>
      <c r="C113" s="129"/>
      <c r="D113" s="129"/>
      <c r="E113" s="3621" t="s">
        <v>1440</v>
      </c>
      <c r="F113" s="3621"/>
      <c r="G113" s="3621"/>
      <c r="H113" s="3621"/>
      <c r="I113" s="129"/>
    </row>
    <row r="114" spans="1:27" ht="3.75" customHeight="1">
      <c r="A114" s="1746"/>
      <c r="B114" s="1746"/>
      <c r="C114" s="1746"/>
      <c r="D114" s="1746"/>
      <c r="E114" s="1808"/>
      <c r="F114" s="1808"/>
      <c r="G114" s="1808"/>
      <c r="H114" s="1808"/>
      <c r="I114" s="1746"/>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289.64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87" t="s">
        <v>1452</v>
      </c>
      <c r="B119" s="3587"/>
      <c r="C119" s="3587"/>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t="e">
        <f ca="1">H107</f>
        <v>#REF!</v>
      </c>
      <c r="E122" s="3652"/>
      <c r="F122" s="3652"/>
      <c r="G122" s="3652"/>
      <c r="H122" s="3652"/>
      <c r="I122" s="3653"/>
      <c r="AA122" s="725"/>
    </row>
    <row r="123" spans="1:27" ht="18.75" customHeight="1">
      <c r="A123" s="3587" t="s">
        <v>1452</v>
      </c>
      <c r="B123" s="3587"/>
      <c r="C123" s="3587"/>
      <c r="D123" s="3627" t="e">
        <f ca="1">NUMBERSTRING(INT(D122*10000),2)&amp;"元整"</f>
        <v>#REF!</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67967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2346603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46342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46342</v>
      </c>
      <c r="D8" s="222"/>
      <c r="E8" s="220"/>
      <c r="F8" s="221"/>
      <c r="G8" s="1855"/>
    </row>
    <row r="9" spans="1:9" s="214" customFormat="1" ht="13.5" customHeight="1">
      <c r="A9" s="779" t="s">
        <v>355</v>
      </c>
      <c r="B9" s="224" t="s">
        <v>1478</v>
      </c>
      <c r="C9" s="225">
        <f ca="1">ROUND(D9*E9/10000,0)</f>
        <v>5</v>
      </c>
      <c r="D9" s="845">
        <f ca="1">IF(B1="",'数据-汇总表'!E5,IF(INDIRECT("'数据-取费表'!c"&amp;$G$1)="住宅",INDIRECT("'数据-取费表'!k"&amp;$G$1),0))</f>
        <v>289.64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289.64</v>
      </c>
      <c r="E19" s="211">
        <f>'数据-取费表'!B31</f>
        <v>200</v>
      </c>
      <c r="F19" s="231"/>
      <c r="G19" s="1855"/>
    </row>
    <row r="20" spans="1:7" s="214" customFormat="1" ht="13.5" customHeight="1">
      <c r="A20" s="255" t="s">
        <v>1493</v>
      </c>
      <c r="B20" s="210" t="s">
        <v>1494</v>
      </c>
      <c r="C20" s="232">
        <f ca="1">ROUND((C5+C19)*F20,0)</f>
        <v>927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3374</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3341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11819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11819</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67826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6</v>
      </c>
      <c r="D37" s="217">
        <f ca="1">D19</f>
        <v>289.64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30</v>
      </c>
      <c r="D45" s="235">
        <f ca="1">C47</f>
        <v>5.0000000000000001E-3</v>
      </c>
      <c r="E45" s="236" t="s">
        <v>1539</v>
      </c>
      <c r="F45" s="246">
        <f ca="1">F27</f>
        <v>0.25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67967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北京市预评估</v>
      </c>
      <c r="C37" s="3484"/>
      <c r="D37" s="3484"/>
      <c r="E37" s="3484"/>
      <c r="F37" s="3484"/>
      <c r="G37" s="3484"/>
      <c r="H37" s="3484"/>
      <c r="I37" s="348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57415</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1982288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289.64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289.64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-46337</v>
      </c>
      <c r="D18" s="846"/>
      <c r="E18" s="21"/>
      <c r="F18" s="804"/>
      <c r="G18" s="1861"/>
      <c r="H18" s="1186"/>
      <c r="I18" s="1862" t="s">
        <v>1625</v>
      </c>
      <c r="J18" s="807"/>
      <c r="K18" s="808"/>
    </row>
    <row r="19" spans="1:33" s="803" customFormat="1" ht="13.5" customHeight="1">
      <c r="A19" s="800" t="s">
        <v>360</v>
      </c>
      <c r="B19" s="801" t="s">
        <v>1626</v>
      </c>
      <c r="C19" s="21">
        <f ca="1">ROUND(D19*E19/10000,0)</f>
        <v>5</v>
      </c>
      <c r="D19" s="846">
        <f ca="1">IF(C1="",'数据-汇总表'!E5,IF(INDIRECT("'数据-取费表'!c"&amp;$K$1)="住宅",INDIRECT("'数据-取费表'!k"&amp;$K$1),0))</f>
        <v>289.64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-46337</v>
      </c>
      <c r="D21" s="815"/>
      <c r="E21" s="281"/>
      <c r="F21" s="281"/>
      <c r="G21" s="131" t="s">
        <v>1629</v>
      </c>
      <c r="H21" s="807"/>
      <c r="I21" s="807"/>
      <c r="J21" s="807"/>
      <c r="K21" s="808"/>
    </row>
    <row r="22" spans="1:33" s="803" customFormat="1" ht="13.5" customHeight="1">
      <c r="A22" s="790" t="s">
        <v>1601</v>
      </c>
      <c r="B22" s="813" t="s">
        <v>1630</v>
      </c>
      <c r="C22" s="814">
        <f ca="1">ROUND(C21*F22,0)</f>
        <v>-927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-11816</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-11816</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57415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2" t="s">
        <v>694</v>
      </c>
      <c r="C6" s="1074">
        <f ca="1">ROUND(F6*F8*F7*(1-F9)/10000,0)</f>
        <v>0</v>
      </c>
      <c r="D6" s="155" t="s">
        <v>2109</v>
      </c>
      <c r="E6" s="302" t="s">
        <v>696</v>
      </c>
      <c r="F6" s="303">
        <f ca="1">INDIRECT("'数据-取费表'!u"&amp;$G$1)</f>
        <v>0</v>
      </c>
      <c r="G6" s="1383"/>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3"/>
      <c r="H7" s="304"/>
      <c r="I7" s="3673"/>
      <c r="J7" s="306"/>
      <c r="K7" s="307"/>
      <c r="L7" s="302" t="s">
        <v>697</v>
      </c>
      <c r="M7" s="303">
        <f ca="1">F7</f>
        <v>0</v>
      </c>
    </row>
    <row r="8" spans="1:37" ht="18" customHeight="1">
      <c r="A8" s="304"/>
      <c r="B8" s="3673"/>
      <c r="C8" s="306"/>
      <c r="D8" s="307"/>
      <c r="E8" s="302" t="s">
        <v>698</v>
      </c>
      <c r="F8" s="303">
        <f ca="1">INDIRECT("'数据-取费表'!ai"&amp;$G$1)</f>
        <v>0</v>
      </c>
      <c r="G8" s="1383"/>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3"/>
      <c r="H9" s="304"/>
      <c r="I9" s="367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70" t="s">
        <v>837</v>
      </c>
      <c r="L53" s="3671"/>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3378</v>
      </c>
      <c r="D1" s="1361" t="s">
        <v>43</v>
      </c>
      <c r="E1" s="1362" t="s">
        <v>678</v>
      </c>
      <c r="F1" s="1062">
        <f ca="1">J53</f>
        <v>56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1430.0693000000001</v>
      </c>
      <c r="C2" s="1386" t="s">
        <v>879</v>
      </c>
      <c r="D2" s="1470">
        <f ca="1">C40+J29+L46</f>
        <v>14300693</v>
      </c>
      <c r="E2" s="1387" t="s">
        <v>880</v>
      </c>
      <c r="F2" s="1388"/>
      <c r="G2" s="2701"/>
      <c r="H2" s="2690"/>
      <c r="I2" s="2690"/>
      <c r="J2" s="2690"/>
      <c r="K2" s="2691"/>
      <c r="L2" s="2690"/>
      <c r="M2" s="2690"/>
    </row>
    <row r="3" spans="1:37" ht="18" customHeight="1" thickBot="1">
      <c r="A3" s="1389" t="s">
        <v>881</v>
      </c>
      <c r="B3" s="1390">
        <f ca="1">IF(ISERROR(D2/F43),0,ROUND(D2/F43,0))</f>
        <v>49374</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428034</v>
      </c>
      <c r="D5" s="1363" t="s">
        <v>889</v>
      </c>
      <c r="E5" s="1071"/>
      <c r="F5" s="1072"/>
      <c r="G5" s="1383"/>
      <c r="H5" s="299">
        <v>1</v>
      </c>
      <c r="I5" s="300" t="s">
        <v>888</v>
      </c>
      <c r="J5" s="1070">
        <f ca="1">J6+J10+J12</f>
        <v>0</v>
      </c>
      <c r="K5" s="1363" t="s">
        <v>889</v>
      </c>
      <c r="L5" s="1071"/>
      <c r="M5" s="1072"/>
    </row>
    <row r="6" spans="1:37" ht="18" customHeight="1">
      <c r="A6" s="1069" t="s">
        <v>398</v>
      </c>
      <c r="B6" s="3672" t="s">
        <v>694</v>
      </c>
      <c r="C6" s="1074">
        <f ca="1">ROUND(F6*F8*F7*(1-F9),0)</f>
        <v>427500</v>
      </c>
      <c r="D6" s="155" t="s">
        <v>2106</v>
      </c>
      <c r="E6" s="302" t="s">
        <v>696</v>
      </c>
      <c r="F6" s="303">
        <f ca="1">INDIRECT("'数据-取费表'!u"&amp;$G$1)</f>
        <v>37500</v>
      </c>
      <c r="G6" s="1383"/>
      <c r="H6" s="1069" t="s">
        <v>398</v>
      </c>
      <c r="I6" s="3672" t="s">
        <v>694</v>
      </c>
      <c r="J6" s="301">
        <f ca="1">ROUND(M6*M8*M7*(1-M9),0)</f>
        <v>0</v>
      </c>
      <c r="K6" s="1375"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1</v>
      </c>
      <c r="G7" s="1383"/>
      <c r="H7" s="304"/>
      <c r="I7" s="3673"/>
      <c r="J7" s="306"/>
      <c r="K7" s="307"/>
      <c r="L7" s="302" t="s">
        <v>697</v>
      </c>
      <c r="M7" s="303">
        <f ca="1">F7</f>
        <v>1</v>
      </c>
    </row>
    <row r="8" spans="1:37" ht="18" customHeight="1">
      <c r="A8" s="304"/>
      <c r="B8" s="3673"/>
      <c r="C8" s="306"/>
      <c r="D8" s="307"/>
      <c r="E8" s="302" t="s">
        <v>698</v>
      </c>
      <c r="F8" s="303">
        <f ca="1">INDIRECT("'数据-取费表'!ai"&amp;$G$1)</f>
        <v>12</v>
      </c>
      <c r="G8" s="1383"/>
      <c r="H8" s="304"/>
      <c r="I8" s="3673"/>
      <c r="J8" s="306"/>
      <c r="K8" s="307"/>
      <c r="L8" s="302" t="s">
        <v>698</v>
      </c>
      <c r="M8" s="303">
        <f ca="1">INDIRECT("'数据-取费表'!ai"&amp;$G$1)</f>
        <v>12</v>
      </c>
    </row>
    <row r="9" spans="1:37" ht="18" customHeight="1">
      <c r="A9" s="304"/>
      <c r="B9" s="3674"/>
      <c r="C9" s="306"/>
      <c r="D9" s="307"/>
      <c r="E9" s="302" t="s">
        <v>699</v>
      </c>
      <c r="F9" s="312">
        <f ca="1">INDIRECT("'数据-取费表'!w"&amp;$G$1)</f>
        <v>0.05</v>
      </c>
      <c r="G9" s="1383"/>
      <c r="H9" s="304"/>
      <c r="I9" s="3674"/>
      <c r="J9" s="306"/>
      <c r="K9" s="307"/>
      <c r="L9" s="313" t="s">
        <v>699</v>
      </c>
      <c r="M9" s="314">
        <f ca="1">INDIRECT("'数据-取费表'!ab"&amp;$G$1)</f>
        <v>0</v>
      </c>
    </row>
    <row r="10" spans="1:37" ht="18" customHeight="1">
      <c r="A10" s="1069" t="s">
        <v>402</v>
      </c>
      <c r="B10" s="1364" t="s">
        <v>700</v>
      </c>
      <c r="C10" s="316">
        <f ca="1">ROUND(IF(F10="押一",C6/12*F11,IF(F10="押二",C6/12*2*F11,IF(F10="押三",C6/12*3*F11,C11*F11))),0)</f>
        <v>534</v>
      </c>
      <c r="D10" s="1365" t="s">
        <v>2116</v>
      </c>
      <c r="E10" s="313" t="s">
        <v>701</v>
      </c>
      <c r="F10" s="1116" t="s">
        <v>3399</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1413306</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1013740</v>
      </c>
      <c r="D14" s="1344" t="s">
        <v>708</v>
      </c>
      <c r="E14" s="1341"/>
      <c r="F14" s="319"/>
      <c r="G14" s="1383"/>
      <c r="H14" s="982" t="s">
        <v>398</v>
      </c>
      <c r="I14" s="302" t="s">
        <v>709</v>
      </c>
      <c r="J14" s="21">
        <f ca="1">C29</f>
        <v>1662713</v>
      </c>
      <c r="K14" s="12"/>
      <c r="L14" s="807"/>
      <c r="M14" s="808"/>
    </row>
    <row r="15" spans="1:37" s="1396" customFormat="1" ht="18" customHeight="1" thickBot="1">
      <c r="A15" s="982" t="s">
        <v>399</v>
      </c>
      <c r="B15" s="302" t="s">
        <v>710</v>
      </c>
      <c r="C15" s="21">
        <f ca="1">ROUND(C14*F15,0)</f>
        <v>30412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50687</v>
      </c>
      <c r="D16" s="302" t="s">
        <v>711</v>
      </c>
      <c r="E16" s="302" t="s">
        <v>712</v>
      </c>
      <c r="F16" s="322">
        <f ca="1">IF(INDIRECT("'数据-取费表'!c"&amp;$G$1)="住宅",'数据-取费表'!B34,0)</f>
        <v>0.05</v>
      </c>
      <c r="G16" s="1383"/>
      <c r="H16" s="1079" t="s">
        <v>393</v>
      </c>
      <c r="I16" s="1080" t="s">
        <v>714</v>
      </c>
      <c r="J16" s="310">
        <f ca="1">ROUND(J17+J22+J23+J24,0)</f>
        <v>24941</v>
      </c>
      <c r="K16" s="1087" t="s">
        <v>715</v>
      </c>
      <c r="L16" s="1088"/>
      <c r="M16" s="1072"/>
    </row>
    <row r="17" spans="1:37" s="1396" customFormat="1" ht="18" customHeight="1">
      <c r="A17" s="982" t="s">
        <v>681</v>
      </c>
      <c r="B17" s="302" t="s">
        <v>716</v>
      </c>
      <c r="C17" s="21">
        <f ca="1">ROUND(F17*(F43+INDIRECT("'数据-取费表'!S"&amp;$G$1)),0)</f>
        <v>57928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15206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1167973</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23359</v>
      </c>
      <c r="D20" s="323" t="s">
        <v>729</v>
      </c>
      <c r="E20" s="302" t="s">
        <v>712</v>
      </c>
      <c r="F20" s="322">
        <f>'数据-取费表'!B37</f>
        <v>0.02</v>
      </c>
      <c r="G20" s="1395"/>
      <c r="H20" s="982"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24941</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42194</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-24941</v>
      </c>
      <c r="K25" s="1095" t="s">
        <v>753</v>
      </c>
      <c r="L25" s="1096"/>
      <c r="M25" s="1097"/>
    </row>
    <row r="26" spans="1:37" ht="18" customHeight="1">
      <c r="A26" s="982" t="s">
        <v>397</v>
      </c>
      <c r="B26" s="302" t="s">
        <v>754</v>
      </c>
      <c r="C26" s="21">
        <f ca="1">ROUND((C19+C20)*F26,0)</f>
        <v>297833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1662713</v>
      </c>
      <c r="D29" s="1092"/>
      <c r="E29" s="1090"/>
      <c r="F29" s="1093"/>
      <c r="G29" s="1395"/>
      <c r="H29" s="334" t="s">
        <v>396</v>
      </c>
      <c r="I29" s="335" t="s">
        <v>768</v>
      </c>
      <c r="J29" s="336">
        <f ca="1">ROUND(J26/(1+F40)^F41,0)</f>
        <v>0</v>
      </c>
      <c r="K29" s="337" t="s">
        <v>769</v>
      </c>
      <c r="L29" s="338"/>
      <c r="M29" s="339">
        <f ca="1">INDIRECT("'数据-取费表'!k"&amp;$G$1)</f>
        <v>289.64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41520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10179</v>
      </c>
      <c r="D31" s="1344" t="s">
        <v>720</v>
      </c>
      <c r="E31" s="1343" t="s">
        <v>770</v>
      </c>
      <c r="F31" s="2311">
        <f ca="1">IF(项目基本情况!B11="企业","——",IF(M47="住宅",IF(F6*F7*F8/12/(1+'数据-取费表'!F30)&gt;100000,4%,2.5%),IF(F6*F7*F8/12/(1+'数据-取费表'!F30)&gt;100000,12%,7%)))</f>
        <v>2.5000000000000001E-2</v>
      </c>
      <c r="G31" s="1383"/>
      <c r="H31" s="2803" t="s">
        <v>2308</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24941</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2120</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4280</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386514</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14300693</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56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49374</v>
      </c>
      <c r="D43" s="337" t="s">
        <v>777</v>
      </c>
      <c r="E43" s="338" t="s">
        <v>778</v>
      </c>
      <c r="F43" s="339">
        <f ca="1">INDIRECT("'数据-取费表'!k"&amp;$G$1)</f>
        <v>289.64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3355</v>
      </c>
      <c r="B45" s="1399"/>
      <c r="C45" s="1471">
        <f ca="1">ROUND((C68-C40)/10000,4)</f>
        <v>-1485.0925</v>
      </c>
      <c r="D45" s="3427" t="s">
        <v>3356</v>
      </c>
      <c r="E45" s="1399"/>
      <c r="F45" s="1399"/>
      <c r="O45" s="1402" t="s">
        <v>808</v>
      </c>
      <c r="P45" s="1460"/>
      <c r="Q45" s="1460"/>
      <c r="R45" s="1460"/>
    </row>
    <row r="46" spans="1:18" s="1383" customFormat="1" ht="13.5" thickBot="1">
      <c r="A46" s="1403" t="s">
        <v>809</v>
      </c>
      <c r="C46" s="1404">
        <f ca="1">ROUND(C45,0)</f>
        <v>-1485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3400</v>
      </c>
      <c r="K47" s="1415" t="s">
        <v>816</v>
      </c>
      <c r="L47" s="1416">
        <f ca="1">INDIRECT("'数据-取费表'!d"&amp;$G$1)</f>
        <v>70</v>
      </c>
      <c r="M47" s="1379" t="str">
        <f>IF(ISNUMBER(FIND("住宅",C1)),"住宅","非住宅")</f>
        <v>住宅</v>
      </c>
      <c r="O47" s="1417" t="s">
        <v>403</v>
      </c>
      <c r="P47" s="1418" t="s">
        <v>817</v>
      </c>
      <c r="Q47" s="1419">
        <f ca="1">C40+J29</f>
        <v>14300693</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1662713</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5757813</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56</v>
      </c>
      <c r="K53" s="3670" t="s">
        <v>837</v>
      </c>
      <c r="L53" s="3671"/>
      <c r="O53" s="1417" t="s">
        <v>409</v>
      </c>
      <c r="P53" s="1418" t="s">
        <v>838</v>
      </c>
      <c r="Q53" s="1419">
        <f ca="1">Q47+Q48</f>
        <v>14300693</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1413306</v>
      </c>
      <c r="D56" s="1446"/>
      <c r="E56" s="1447"/>
      <c r="F56" s="1439"/>
      <c r="I56" s="1448" t="s">
        <v>842</v>
      </c>
      <c r="J56" s="1449" t="s">
        <v>3402</v>
      </c>
      <c r="K56" s="1420" t="s">
        <v>843</v>
      </c>
      <c r="L56" s="1423">
        <f ca="1">IF(L48&lt;J51,"——",L48-J51)</f>
        <v>17</v>
      </c>
      <c r="O56" s="1417" t="s">
        <v>403</v>
      </c>
      <c r="P56" s="1418" t="s">
        <v>817</v>
      </c>
      <c r="Q56" s="1419">
        <f ca="1">C40+J29</f>
        <v>14300693</v>
      </c>
      <c r="R56" s="1419" t="s">
        <v>818</v>
      </c>
    </row>
    <row r="57" spans="1:18" s="1383" customFormat="1" ht="24.75" thickBot="1">
      <c r="A57" s="1450"/>
      <c r="B57" s="950" t="s">
        <v>767</v>
      </c>
      <c r="C57" s="238">
        <f ca="1">C29</f>
        <v>1662713</v>
      </c>
      <c r="D57" s="1451"/>
      <c r="E57" s="1452"/>
      <c r="F57" s="1453"/>
      <c r="I57" s="1454" t="s">
        <v>844</v>
      </c>
      <c r="J57" s="1455" t="str">
        <f ca="1">IF(OR(M47="住宅",J51&lt;L48,J56="是"),"——",J51-L48)</f>
        <v>——</v>
      </c>
      <c r="K57" s="1420" t="s">
        <v>892</v>
      </c>
      <c r="L57" s="1423">
        <f ca="1">IF(L48&lt;J51,"——",IF(L55="比较法",L49,IF(L55="基准地价",L50,L51)))</f>
        <v>5757813</v>
      </c>
      <c r="O57" s="1417" t="s">
        <v>404</v>
      </c>
      <c r="P57" s="1418" t="s">
        <v>893</v>
      </c>
      <c r="Q57" s="1419">
        <f ca="1">L60</f>
        <v>0</v>
      </c>
      <c r="R57" s="1419" t="s">
        <v>894</v>
      </c>
    </row>
    <row r="58" spans="1:18" s="1383" customFormat="1" ht="24.75" thickBot="1">
      <c r="A58" s="315" t="s">
        <v>393</v>
      </c>
      <c r="B58" s="958" t="s">
        <v>714</v>
      </c>
      <c r="C58" s="316">
        <f ca="1">ROUND(C59+C64+C65+C66,0)</f>
        <v>27061</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24</v>
      </c>
      <c r="I62" s="1461" t="s">
        <v>858</v>
      </c>
      <c r="J62" s="1462" t="s">
        <v>859</v>
      </c>
      <c r="K62" s="1462" t="s">
        <v>860</v>
      </c>
      <c r="L62" s="1462" t="s">
        <v>861</v>
      </c>
      <c r="M62" s="1463" t="s">
        <v>862</v>
      </c>
      <c r="O62" s="1417" t="s">
        <v>409</v>
      </c>
      <c r="P62" s="1418" t="s">
        <v>863</v>
      </c>
      <c r="Q62" s="1419">
        <f ca="1">Q56+Q57</f>
        <v>14300693</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24941</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2120</v>
      </c>
      <c r="D65" s="964" t="s">
        <v>743</v>
      </c>
      <c r="E65" s="950" t="s">
        <v>744</v>
      </c>
      <c r="F65" s="330">
        <f t="shared" ca="1" si="0"/>
        <v>1.5E-3</v>
      </c>
      <c r="I65" s="1461" t="s">
        <v>867</v>
      </c>
      <c r="J65" s="1462">
        <v>40</v>
      </c>
      <c r="K65" s="1462">
        <v>30</v>
      </c>
      <c r="L65" s="1462">
        <v>50</v>
      </c>
      <c r="M65" s="1464">
        <v>0.02</v>
      </c>
      <c r="O65" s="1417" t="s">
        <v>403</v>
      </c>
      <c r="P65" s="1418" t="s">
        <v>868</v>
      </c>
      <c r="Q65" s="1419">
        <f ca="1">C40+J29</f>
        <v>14300693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-27061</v>
      </c>
      <c r="D67" s="963" t="s">
        <v>753</v>
      </c>
      <c r="E67" s="968"/>
      <c r="F67" s="969"/>
      <c r="O67" s="1427" t="s">
        <v>405</v>
      </c>
      <c r="P67" s="1418" t="s">
        <v>850</v>
      </c>
      <c r="Q67" s="1465">
        <f ca="1">L51</f>
        <v>5757813</v>
      </c>
      <c r="R67" s="1419" t="s">
        <v>870</v>
      </c>
    </row>
    <row r="68" spans="1:18" s="1383" customFormat="1" ht="16.5" thickBot="1">
      <c r="A68" s="947" t="s">
        <v>395</v>
      </c>
      <c r="B68" s="948" t="s">
        <v>774</v>
      </c>
      <c r="C68" s="301">
        <f ca="1">ROUND(C67*(1-((1+F70)/(1+F68))^F69)/(F68-F70),0)</f>
        <v>-550232</v>
      </c>
      <c r="D68" s="965" t="s">
        <v>758</v>
      </c>
      <c r="E68" s="950" t="s">
        <v>759</v>
      </c>
      <c r="F68" s="312">
        <f ca="1">F40</f>
        <v>4.4999999999999998E-2</v>
      </c>
      <c r="O68" s="1427" t="s">
        <v>406</v>
      </c>
      <c r="P68" s="1466" t="s">
        <v>871</v>
      </c>
      <c r="Q68" s="1419">
        <f ca="1">ROUND(Q69-Q70*Q71,0)</f>
        <v>315849</v>
      </c>
      <c r="R68" s="1419" t="s">
        <v>414</v>
      </c>
    </row>
    <row r="69" spans="1:18" s="1383" customFormat="1" ht="13.5" thickBot="1">
      <c r="A69" s="951"/>
      <c r="B69" s="952"/>
      <c r="C69" s="306"/>
      <c r="D69" s="970" t="s">
        <v>762</v>
      </c>
      <c r="E69" s="950" t="s">
        <v>763</v>
      </c>
      <c r="F69" s="333">
        <f ca="1">F41</f>
        <v>56</v>
      </c>
      <c r="O69" s="1427" t="s">
        <v>411</v>
      </c>
      <c r="P69" s="1466" t="s">
        <v>872</v>
      </c>
      <c r="Q69" s="1419">
        <f ca="1">C39</f>
        <v>386514</v>
      </c>
      <c r="R69" s="1419" t="s">
        <v>818</v>
      </c>
    </row>
    <row r="70" spans="1:18" s="1383" customFormat="1" ht="13.5" thickBot="1">
      <c r="A70" s="954"/>
      <c r="B70" s="955"/>
      <c r="C70" s="310"/>
      <c r="D70" s="966"/>
      <c r="E70" s="950" t="s">
        <v>766</v>
      </c>
      <c r="F70" s="1054"/>
      <c r="O70" s="1427" t="s">
        <v>412</v>
      </c>
      <c r="P70" s="1466" t="s">
        <v>873</v>
      </c>
      <c r="Q70" s="1419">
        <f ca="1">C13</f>
        <v>1413306</v>
      </c>
      <c r="R70" s="1419" t="s">
        <v>818</v>
      </c>
    </row>
    <row r="71" spans="1:18" s="1383" customFormat="1" ht="13.5" thickBot="1">
      <c r="A71" s="971" t="s">
        <v>396</v>
      </c>
      <c r="B71" s="972" t="s">
        <v>776</v>
      </c>
      <c r="C71" s="336">
        <f ca="1">ROUND(C68/F71,0)</f>
        <v>-1900</v>
      </c>
      <c r="D71" s="973" t="s">
        <v>777</v>
      </c>
      <c r="E71" s="974" t="s">
        <v>778</v>
      </c>
      <c r="F71" s="339">
        <f ca="1">F43</f>
        <v>289.64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70665</v>
      </c>
      <c r="D75" s="1383"/>
      <c r="E75" s="1383"/>
      <c r="F75" s="1383"/>
      <c r="K75" s="1401"/>
      <c r="L75" s="1383"/>
      <c r="O75" s="1417" t="s">
        <v>409</v>
      </c>
      <c r="P75" s="1418" t="s">
        <v>838</v>
      </c>
      <c r="Q75" s="1419">
        <f ca="1">Q65+Q66</f>
        <v>14300693</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0.90100000000000002</v>
      </c>
    </row>
    <row r="83" spans="2:3">
      <c r="B83" s="273" t="s">
        <v>803</v>
      </c>
      <c r="C83" s="274">
        <f ca="1">ROUND(C13/C40,3)</f>
        <v>9.9000000000000005E-2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3362</v>
      </c>
      <c r="E2" s="3439"/>
      <c r="F2" s="2841"/>
      <c r="G2" s="2842"/>
      <c r="H2" s="2843"/>
      <c r="I2" s="2844"/>
      <c r="J2" s="3681" t="s">
        <v>2318</v>
      </c>
      <c r="K2" s="3682"/>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83" t="s">
        <v>2328</v>
      </c>
      <c r="K3" s="3684"/>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83" t="s">
        <v>2330</v>
      </c>
      <c r="K4" s="3684"/>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89" t="s">
        <v>2334</v>
      </c>
      <c r="B6" s="3690"/>
      <c r="C6" s="3691"/>
      <c r="D6" s="2865"/>
      <c r="E6" s="2866"/>
      <c r="F6" s="2867"/>
      <c r="G6" s="2868"/>
      <c r="H6" s="2843"/>
      <c r="I6" s="2844"/>
      <c r="J6" s="3675">
        <v>1</v>
      </c>
      <c r="K6" s="3676"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75"/>
      <c r="K7" s="3677"/>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92" t="s">
        <v>2348</v>
      </c>
      <c r="C8" s="3693"/>
      <c r="D8" s="2884" t="s">
        <v>2349</v>
      </c>
      <c r="E8" s="2885" t="s">
        <v>2350</v>
      </c>
      <c r="F8" s="2886" t="s">
        <v>2351</v>
      </c>
      <c r="G8" s="2887"/>
      <c r="H8" s="2843"/>
      <c r="I8" s="2844"/>
      <c r="J8" s="3675"/>
      <c r="K8" s="3677"/>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92" t="s">
        <v>2354</v>
      </c>
      <c r="C9" s="3693"/>
      <c r="D9" s="2884">
        <f>ROUND(D6*E9,0)</f>
        <v>0</v>
      </c>
      <c r="E9" s="2888"/>
      <c r="F9" s="2889" t="s">
        <v>2355</v>
      </c>
      <c r="G9" s="2868"/>
      <c r="H9" s="2843"/>
      <c r="I9" s="2844"/>
      <c r="J9" s="3675"/>
      <c r="K9" s="3677"/>
      <c r="L9" s="2878" t="s">
        <v>2356</v>
      </c>
      <c r="M9" s="2879"/>
      <c r="N9" s="2855"/>
      <c r="O9" s="2880"/>
      <c r="P9" s="2880"/>
      <c r="Q9" s="2881">
        <v>365</v>
      </c>
      <c r="R9" s="2882">
        <f t="shared" si="0"/>
        <v>0</v>
      </c>
      <c r="S9" s="2836"/>
      <c r="T9" s="2836"/>
      <c r="U9" s="2836"/>
      <c r="V9" s="2844"/>
    </row>
    <row r="10" spans="1:22" s="2848" customFormat="1" ht="13.15" customHeight="1">
      <c r="A10" s="2883">
        <v>2</v>
      </c>
      <c r="B10" s="3692" t="s">
        <v>2357</v>
      </c>
      <c r="C10" s="3693"/>
      <c r="D10" s="2884">
        <f>ROUND(D6*E10,0)</f>
        <v>0</v>
      </c>
      <c r="E10" s="2888"/>
      <c r="F10" s="2889" t="s">
        <v>2358</v>
      </c>
      <c r="G10" s="2868"/>
      <c r="H10" s="2843"/>
      <c r="I10" s="2844"/>
      <c r="J10" s="3675"/>
      <c r="K10" s="3677"/>
      <c r="L10" s="2878" t="s">
        <v>2359</v>
      </c>
      <c r="M10" s="2879"/>
      <c r="N10" s="2855"/>
      <c r="O10" s="2880"/>
      <c r="P10" s="2880"/>
      <c r="Q10" s="2881">
        <v>365</v>
      </c>
      <c r="R10" s="2882">
        <f t="shared" si="0"/>
        <v>0</v>
      </c>
      <c r="S10" s="2836"/>
      <c r="T10" s="2836"/>
      <c r="U10" s="2836"/>
      <c r="V10" s="2844"/>
    </row>
    <row r="11" spans="1:22" s="2848" customFormat="1" ht="13.15" customHeight="1">
      <c r="A11" s="2883">
        <v>3</v>
      </c>
      <c r="B11" s="3692" t="s">
        <v>2360</v>
      </c>
      <c r="C11" s="3693"/>
      <c r="D11" s="2884">
        <f>D12+D14+D15+D16</f>
        <v>0</v>
      </c>
      <c r="E11" s="2890" t="e">
        <f>D11/D6</f>
        <v>#DIV/0!</v>
      </c>
      <c r="F11" s="2886"/>
      <c r="G11" s="2887"/>
      <c r="H11" s="2843"/>
      <c r="I11" s="2844"/>
      <c r="J11" s="3675"/>
      <c r="K11" s="3677"/>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85" t="s">
        <v>2363</v>
      </c>
      <c r="C12" s="3686"/>
      <c r="D12" s="2892">
        <f>ROUND(D13*1.2%*(1-30%),0)</f>
        <v>0</v>
      </c>
      <c r="E12" s="2893">
        <v>1.2E-2</v>
      </c>
      <c r="F12" s="2886" t="s">
        <v>2364</v>
      </c>
      <c r="G12" s="2887"/>
      <c r="H12" s="2843"/>
      <c r="I12" s="2844"/>
      <c r="J12" s="3675"/>
      <c r="K12" s="3677"/>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75"/>
      <c r="K13" s="3677"/>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85" t="s">
        <v>2369</v>
      </c>
      <c r="C14" s="3686"/>
      <c r="D14" s="2892">
        <f>ROUND(E14*B5/10000,0)</f>
        <v>0</v>
      </c>
      <c r="E14" s="2881"/>
      <c r="F14" s="2886" t="s">
        <v>2370</v>
      </c>
      <c r="G14" s="2887"/>
      <c r="H14" s="2843"/>
      <c r="I14" s="2844"/>
      <c r="J14" s="3675"/>
      <c r="K14" s="3678"/>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85" t="s">
        <v>2373</v>
      </c>
      <c r="C15" s="3686"/>
      <c r="D15" s="2892">
        <f>ROUND(D6*E15,0)</f>
        <v>0</v>
      </c>
      <c r="E15" s="2893">
        <v>5.5E-2</v>
      </c>
      <c r="F15" s="2886" t="s">
        <v>2374</v>
      </c>
      <c r="G15" s="2868"/>
      <c r="H15" s="2843"/>
      <c r="I15" s="2844"/>
      <c r="J15" s="3675">
        <v>2</v>
      </c>
      <c r="K15" s="3676"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85" t="s">
        <v>2382</v>
      </c>
      <c r="C16" s="3686"/>
      <c r="D16" s="2903">
        <f>D6*E16</f>
        <v>0</v>
      </c>
      <c r="E16" s="2904"/>
      <c r="F16" s="2889" t="s">
        <v>2383</v>
      </c>
      <c r="G16" s="2868"/>
      <c r="H16" s="2843"/>
      <c r="I16" s="2844"/>
      <c r="J16" s="3675"/>
      <c r="K16" s="3677"/>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87" t="s">
        <v>2385</v>
      </c>
      <c r="C17" s="3688"/>
      <c r="D17" s="2906">
        <f>ROUND(D6*E17,0)</f>
        <v>0</v>
      </c>
      <c r="E17" s="2907"/>
      <c r="F17" s="2908" t="s">
        <v>2386</v>
      </c>
      <c r="G17" s="2868"/>
      <c r="H17" s="2843"/>
      <c r="I17" s="2844"/>
      <c r="J17" s="3675"/>
      <c r="K17" s="3677"/>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75"/>
      <c r="K18" s="3677"/>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75"/>
      <c r="K19" s="3678"/>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5">
        <v>3</v>
      </c>
      <c r="K20" s="3676"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75"/>
      <c r="K21" s="3677"/>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75"/>
      <c r="K22" s="3677"/>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75"/>
      <c r="K23" s="3677"/>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75"/>
      <c r="K24" s="3678"/>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79">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8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81" t="s">
        <v>2318</v>
      </c>
      <c r="K32" s="3682"/>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83" t="s">
        <v>2328</v>
      </c>
      <c r="K33" s="3684"/>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83" t="s">
        <v>2330</v>
      </c>
      <c r="K34" s="368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75">
        <v>1</v>
      </c>
      <c r="K36" s="3676"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75"/>
      <c r="K37" s="3677"/>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5"/>
      <c r="K38" s="3677"/>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75"/>
      <c r="K39" s="3677"/>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75"/>
      <c r="K40" s="3678"/>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79">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8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1430.0693000000001</v>
      </c>
      <c r="C2" s="1871" t="s">
        <v>1651</v>
      </c>
      <c r="D2" s="1872" t="s">
        <v>1652</v>
      </c>
      <c r="E2" s="2602">
        <f>SUM(E6:E13)</f>
        <v>289.64</v>
      </c>
      <c r="F2" s="2702"/>
      <c r="G2" s="1488"/>
      <c r="H2" s="1488"/>
      <c r="I2" s="1488"/>
      <c r="J2" s="1488"/>
      <c r="K2" s="1488"/>
      <c r="L2" s="1488"/>
      <c r="M2" s="1488"/>
      <c r="N2" s="1488"/>
      <c r="O2" s="1488"/>
      <c r="P2" s="1488"/>
      <c r="Q2" s="1488"/>
      <c r="R2" s="1488"/>
      <c r="S2" s="1488"/>
    </row>
    <row r="3" spans="1:22" ht="15.75">
      <c r="A3" s="1869" t="s">
        <v>686</v>
      </c>
      <c r="B3" s="2596">
        <f ca="1">ROUND(B2*10000/E2,0)</f>
        <v>49374</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94" t="s">
        <v>1654</v>
      </c>
      <c r="C5" s="3695"/>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1430.0693000000001</v>
      </c>
      <c r="C6" s="1871" t="s">
        <v>1651</v>
      </c>
      <c r="D6" s="2704"/>
      <c r="E6" s="2601">
        <f>IF(OR(A6=0,F6="否"),0,'数据-取费表'!K6+'数据-取费表'!S6)</f>
        <v>289.64</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1" zoomScale="90" zoomScaleNormal="60" zoomScaleSheetLayoutView="90" workbookViewId="0">
      <selection activeCell="C91" sqref="C9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3378</v>
      </c>
      <c r="E1" s="3421" t="s">
        <v>3404</v>
      </c>
      <c r="F1" s="1878" t="s">
        <v>3397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2128.5354000000002</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73489</v>
      </c>
      <c r="C3" s="354" t="s">
        <v>1665</v>
      </c>
      <c r="D3" s="353">
        <f>IF(D1="",'数据-汇总表'!E3,SUMIF('数据-汇总表'!$C19:$C33,D1,'数据-汇总表'!$E19:$E33))</f>
        <v>289.64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14" t="s">
        <v>1667</v>
      </c>
      <c r="D4" s="3715"/>
      <c r="E4" s="3716" t="s">
        <v>1668</v>
      </c>
      <c r="F4" s="3717"/>
      <c r="G4" s="3714" t="s">
        <v>1669</v>
      </c>
      <c r="H4" s="3715"/>
      <c r="I4" s="3714" t="s">
        <v>1670</v>
      </c>
      <c r="J4" s="3715"/>
      <c r="K4" s="1888" t="s">
        <v>1671</v>
      </c>
      <c r="L4" s="2710"/>
      <c r="M4" s="2711"/>
      <c r="N4" s="2711"/>
      <c r="O4" s="2711"/>
      <c r="P4" s="3718" t="s">
        <v>1672</v>
      </c>
      <c r="Q4" s="3719"/>
      <c r="R4" s="3724" t="s">
        <v>1668</v>
      </c>
      <c r="S4" s="3725"/>
      <c r="T4" s="3724" t="s">
        <v>1669</v>
      </c>
      <c r="U4" s="3725"/>
      <c r="V4" s="3730" t="s">
        <v>1670</v>
      </c>
      <c r="W4" s="3730"/>
      <c r="X4" s="1354"/>
      <c r="Y4" s="3724" t="s">
        <v>1672</v>
      </c>
      <c r="Z4" s="3725"/>
      <c r="AA4" s="3711" t="s">
        <v>1668</v>
      </c>
      <c r="AB4" s="3711" t="s">
        <v>1669</v>
      </c>
      <c r="AC4" s="3711" t="s">
        <v>1670</v>
      </c>
    </row>
    <row r="5" spans="1:29" ht="15">
      <c r="A5" s="358"/>
      <c r="B5" s="359"/>
      <c r="C5" s="3738" t="s">
        <v>3428</v>
      </c>
      <c r="D5" s="3734"/>
      <c r="E5" s="3741" t="str">
        <f>C5</f>
        <v>首开铂郡</v>
      </c>
      <c r="F5" s="3742"/>
      <c r="G5" s="3733" t="str">
        <f>E5</f>
        <v>首开铂郡</v>
      </c>
      <c r="H5" s="3734"/>
      <c r="I5" s="3733" t="str">
        <f>E5</f>
        <v>首开铂郡</v>
      </c>
      <c r="J5" s="3734"/>
      <c r="K5" s="188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188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f>案例!L3</f>
        <v>44648</v>
      </c>
      <c r="F7" s="367">
        <f>SUMIF(58:58,YEAR(E7)&amp;"-"&amp;MONTH(E7),59:59)</f>
        <v>98.59999999999998</v>
      </c>
      <c r="G7" s="366">
        <f>案例!L4</f>
        <v>44629</v>
      </c>
      <c r="H7" s="365">
        <f>SUMIF(58:58,YEAR(G7)&amp;"-"&amp;MONTH(G7),59:59)</f>
        <v>98.59999999999998</v>
      </c>
      <c r="I7" s="366">
        <f>案例!L5</f>
        <v>44621</v>
      </c>
      <c r="J7" s="365">
        <f>SUMIF(58:58,YEAR(I7)&amp;"-"&amp;MONTH(I7),59:59)</f>
        <v>98.59999999999998</v>
      </c>
      <c r="K7" s="1890"/>
      <c r="L7" s="2712"/>
      <c r="M7" s="2713"/>
      <c r="N7" s="2713"/>
      <c r="O7" s="2713"/>
      <c r="P7" s="3735" t="s">
        <v>1680</v>
      </c>
      <c r="Q7" s="3737"/>
      <c r="R7" s="701" t="s">
        <v>20</v>
      </c>
      <c r="S7" s="702">
        <f t="shared" ref="S7:S15" si="0">F7</f>
        <v>98.59999999999998</v>
      </c>
      <c r="T7" s="701" t="s">
        <v>20</v>
      </c>
      <c r="U7" s="702">
        <f t="shared" ref="U7:U15" si="1">H7</f>
        <v>98.59999999999998</v>
      </c>
      <c r="V7" s="701" t="s">
        <v>20</v>
      </c>
      <c r="W7" s="702">
        <f t="shared" ref="W7:W15" si="2">J7</f>
        <v>98.59999999999998</v>
      </c>
      <c r="X7" s="703"/>
      <c r="Y7" s="3735" t="s">
        <v>1680</v>
      </c>
      <c r="Z7" s="3736"/>
      <c r="AA7" s="704">
        <f>D7/F7</f>
        <v>1.0141987829614607</v>
      </c>
      <c r="AB7" s="704">
        <f>D7/H7</f>
        <v>1.0141987829614607</v>
      </c>
      <c r="AC7" s="704">
        <f>D7/J7</f>
        <v>1.0141987829614607</v>
      </c>
    </row>
    <row r="8" spans="1:29" s="108" customFormat="1" ht="15.75" thickBot="1">
      <c r="A8" s="362" t="s">
        <v>1681</v>
      </c>
      <c r="B8" s="363"/>
      <c r="C8" s="368" t="s">
        <v>3427</v>
      </c>
      <c r="D8" s="365">
        <v>100</v>
      </c>
      <c r="E8" s="368" t="s">
        <v>3427</v>
      </c>
      <c r="F8" s="367">
        <f>SUMIF(61:61,E8,62:62)-SUMIF(61:61,C8,62:62)+100</f>
        <v>100</v>
      </c>
      <c r="G8" s="368" t="s">
        <v>3427</v>
      </c>
      <c r="H8" s="365">
        <f>SUMIF(61:61,G8,62:62)-SUMIF(61:61,C8,62:62)+100</f>
        <v>100</v>
      </c>
      <c r="I8" s="368" t="s">
        <v>3427</v>
      </c>
      <c r="J8" s="365">
        <f>SUMIF(61:61,I8,62:62)-SUMIF(61:61,C8,62:62)+100</f>
        <v>100</v>
      </c>
      <c r="K8" s="1890"/>
      <c r="L8" s="2712"/>
      <c r="M8" s="2713"/>
      <c r="N8" s="2713"/>
      <c r="O8" s="2713"/>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c r="A9" s="369" t="s">
        <v>1684</v>
      </c>
      <c r="B9" s="63" t="s">
        <v>1685</v>
      </c>
      <c r="C9" s="3472" t="s">
        <v>3454</v>
      </c>
      <c r="D9" s="126">
        <v>100</v>
      </c>
      <c r="E9" s="371" t="s">
        <v>3378</v>
      </c>
      <c r="F9" s="372">
        <f>SUMIF(63:63,E9,64:64)-SUMIF(63:63,C9,64:64)+100</f>
        <v>100</v>
      </c>
      <c r="G9" s="373" t="s">
        <v>3378</v>
      </c>
      <c r="H9" s="126">
        <f>SUMIF(63:63,G9,64:64)-SUMIF(63:63,C9,64:64)+100</f>
        <v>100</v>
      </c>
      <c r="I9" s="373" t="s">
        <v>3378</v>
      </c>
      <c r="J9" s="126">
        <f>SUMIF(63:63,I9,64:64)-SUMIF(63:63,C9,64:64)+100</f>
        <v>100</v>
      </c>
      <c r="K9" s="1890"/>
      <c r="L9" s="2712"/>
      <c r="M9" s="2713"/>
      <c r="N9" s="2713"/>
      <c r="O9" s="2713"/>
      <c r="P9" s="3710"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75" thickBot="1">
      <c r="A10" s="374"/>
      <c r="B10" s="375" t="s">
        <v>1688</v>
      </c>
      <c r="C10" s="3429" t="s">
        <v>3458</v>
      </c>
      <c r="D10" s="127">
        <v>100</v>
      </c>
      <c r="E10" s="3430" t="s">
        <v>3458</v>
      </c>
      <c r="F10" s="376">
        <f>SUMIF(65:65,E10,66:66)-SUMIF(65:65,C10,66:66)+100</f>
        <v>100</v>
      </c>
      <c r="G10" s="3429" t="s">
        <v>3458</v>
      </c>
      <c r="H10" s="127">
        <f>SUMIF(65:65,G10,66:66)-SUMIF(65:65,C10,66:66)+100</f>
        <v>100</v>
      </c>
      <c r="I10" s="3429" t="s">
        <v>3458</v>
      </c>
      <c r="J10" s="127">
        <f>SUMIF(65:65,I10,66:66)-SUMIF(65:65,C10,66:66)+100</f>
        <v>100</v>
      </c>
      <c r="K10" s="1890"/>
      <c r="L10" s="2714"/>
      <c r="M10" s="2715"/>
      <c r="N10" s="2715"/>
      <c r="O10" s="2715"/>
      <c r="P10" s="3710"/>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10"/>
      <c r="Q11" s="1342" t="str">
        <f t="shared" si="6"/>
        <v>容积率</v>
      </c>
      <c r="R11" s="701" t="s">
        <v>18</v>
      </c>
      <c r="S11" s="702">
        <f t="shared" si="0"/>
        <v>100</v>
      </c>
      <c r="T11" s="701" t="s">
        <v>18</v>
      </c>
      <c r="U11" s="702">
        <f t="shared" si="1"/>
        <v>100</v>
      </c>
      <c r="V11" s="701" t="s">
        <v>18</v>
      </c>
      <c r="W11" s="702">
        <f t="shared" si="2"/>
        <v>100</v>
      </c>
      <c r="X11" s="703"/>
      <c r="Y11" s="3574"/>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10"/>
      <c r="Q12" s="1342">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10"/>
      <c r="Q13" s="1342">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10"/>
      <c r="Q14" s="1342">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41.25" customHeight="1">
      <c r="A15" s="391" t="s">
        <v>1690</v>
      </c>
      <c r="B15" s="61" t="s">
        <v>1257</v>
      </c>
      <c r="C15" s="1894" t="str">
        <f>估价对象房地状况!C3</f>
        <v>周边有首开幸福广场、海晟名苑、三里屯北里、幸福二村社区等住宅小区，居住社区成熟度较好。</v>
      </c>
      <c r="D15" s="392">
        <v>100</v>
      </c>
      <c r="E15" s="3475" t="s">
        <v>3459</v>
      </c>
      <c r="F15" s="392">
        <f>SUMIF(76:76,E16,77:77)-SUMIF(76:76,C16,77:77)+100</f>
        <v>100</v>
      </c>
      <c r="G15" s="393" t="str">
        <f>E15</f>
        <v>周边有首开幸福广场、海晟名苑、三里屯北里、幸福二村社区等住宅小区，居住社区成熟度较好。</v>
      </c>
      <c r="H15" s="392">
        <f>SUMIF(76:76,G16,77:77)-SUMIF(76:76,C16,77:77)+100</f>
        <v>100</v>
      </c>
      <c r="I15" s="393" t="str">
        <f>E15</f>
        <v>周边有首开幸福广场、海晟名苑、三里屯北里、幸福二村社区等住宅小区，居住社区成熟度较好。</v>
      </c>
      <c r="J15" s="392">
        <f>SUMIF(76:76,I16,77:77)-SUMIF(76:76,C16,77:77)+100</f>
        <v>100</v>
      </c>
      <c r="K15" s="396"/>
      <c r="L15" s="2717"/>
      <c r="M15" s="2711"/>
      <c r="N15" s="2711"/>
      <c r="O15" s="2711"/>
      <c r="P15" s="3708" t="s">
        <v>1691</v>
      </c>
      <c r="Q15" s="1351" t="str">
        <f t="shared" si="6"/>
        <v>居住社区成熟度</v>
      </c>
      <c r="R15" s="705" t="s">
        <v>18</v>
      </c>
      <c r="S15" s="706">
        <f t="shared" si="0"/>
        <v>100</v>
      </c>
      <c r="T15" s="705" t="s">
        <v>18</v>
      </c>
      <c r="U15" s="706">
        <f t="shared" si="1"/>
        <v>100</v>
      </c>
      <c r="V15" s="705" t="s">
        <v>18</v>
      </c>
      <c r="W15" s="706">
        <f t="shared" si="2"/>
        <v>100</v>
      </c>
      <c r="X15" s="1354"/>
      <c r="Y15" s="3701" t="s">
        <v>1691</v>
      </c>
      <c r="Z15" s="1355" t="str">
        <f t="shared" si="7"/>
        <v>居住社区成熟度</v>
      </c>
      <c r="AA15" s="1352">
        <f t="shared" si="3"/>
        <v>1</v>
      </c>
      <c r="AB15" s="1352">
        <f t="shared" si="4"/>
        <v>1</v>
      </c>
      <c r="AC15" s="1352">
        <f t="shared" si="5"/>
        <v>1</v>
      </c>
    </row>
    <row r="16" spans="1:29" ht="15">
      <c r="A16" s="379"/>
      <c r="B16" s="397"/>
      <c r="C16" s="398" t="s">
        <v>3410</v>
      </c>
      <c r="D16" s="399"/>
      <c r="E16" s="398" t="s">
        <v>3410</v>
      </c>
      <c r="F16" s="399"/>
      <c r="G16" s="398" t="s">
        <v>3410</v>
      </c>
      <c r="H16" s="401"/>
      <c r="I16" s="398" t="s">
        <v>3410</v>
      </c>
      <c r="J16" s="399"/>
      <c r="K16" s="1897"/>
      <c r="L16" s="2717"/>
      <c r="M16" s="2711"/>
      <c r="N16" s="2711"/>
      <c r="O16" s="2711"/>
      <c r="P16" s="3709"/>
      <c r="Q16" s="1351"/>
      <c r="R16" s="705"/>
      <c r="S16" s="706"/>
      <c r="T16" s="705"/>
      <c r="U16" s="706"/>
      <c r="V16" s="705"/>
      <c r="W16" s="706"/>
      <c r="X16" s="1354"/>
      <c r="Y16" s="3702"/>
      <c r="Z16" s="1355"/>
      <c r="AA16" s="1352">
        <v>1</v>
      </c>
      <c r="AB16" s="1352">
        <v>1</v>
      </c>
      <c r="AC16" s="1352">
        <v>1</v>
      </c>
    </row>
    <row r="17" spans="1:29" ht="34.5" customHeight="1">
      <c r="A17" s="379"/>
      <c r="B17" s="402" t="s">
        <v>1259</v>
      </c>
      <c r="C17" s="1898" t="str">
        <f>估价对象房地状况!C6</f>
        <v>周边有3路、24路、110路、117路、120路等多条公交线路及地铁10号线农业展览馆站，综合评价交通便捷度较好</v>
      </c>
      <c r="D17" s="401">
        <v>100</v>
      </c>
      <c r="E17" s="405" t="s">
        <v>3460</v>
      </c>
      <c r="F17" s="401">
        <f>SUMIF(78:78,E18,79:79)-SUMIF(78:78,C18,79:79)+100</f>
        <v>100</v>
      </c>
      <c r="G17" s="403" t="str">
        <f>E17</f>
        <v>周边有3路、24路、110路、117路、120路等多条公交线路及地铁10号线农业展览馆站，综合评价交通便捷度较好</v>
      </c>
      <c r="H17" s="406">
        <f>SUMIF(78:78,G18,79:79)-SUMIF(78:78,C18,79:79)+100</f>
        <v>100</v>
      </c>
      <c r="I17" s="403" t="str">
        <f>E17</f>
        <v>周边有3路、24路、110路、117路、120路等多条公交线路及地铁10号线农业展览馆站，综合评价交通便捷度较好</v>
      </c>
      <c r="J17" s="406">
        <f>SUMIF(78:78,I18,79:79)-SUMIF(78:78,C18,79:79)+100</f>
        <v>100</v>
      </c>
      <c r="K17" s="396"/>
      <c r="L17" s="2717"/>
      <c r="M17" s="2711"/>
      <c r="N17" s="2711"/>
      <c r="O17" s="2711"/>
      <c r="P17" s="3709"/>
      <c r="Q17" s="1351" t="str">
        <f>B17</f>
        <v>交通便捷度</v>
      </c>
      <c r="R17" s="705" t="s">
        <v>18</v>
      </c>
      <c r="S17" s="706">
        <f>F17</f>
        <v>100</v>
      </c>
      <c r="T17" s="705" t="s">
        <v>18</v>
      </c>
      <c r="U17" s="706">
        <f>H17</f>
        <v>100</v>
      </c>
      <c r="V17" s="705" t="s">
        <v>18</v>
      </c>
      <c r="W17" s="706">
        <f>J17</f>
        <v>100</v>
      </c>
      <c r="X17" s="1354"/>
      <c r="Y17" s="3702"/>
      <c r="Z17" s="1355" t="str">
        <f>Q17</f>
        <v>交通便捷度</v>
      </c>
      <c r="AA17" s="1352">
        <f t="shared" si="3"/>
        <v>1</v>
      </c>
      <c r="AB17" s="1352">
        <f t="shared" si="4"/>
        <v>1</v>
      </c>
      <c r="AC17" s="1352">
        <f t="shared" si="5"/>
        <v>1</v>
      </c>
    </row>
    <row r="18" spans="1:29" ht="15">
      <c r="A18" s="379"/>
      <c r="B18" s="407"/>
      <c r="C18" s="1899" t="s">
        <v>3410</v>
      </c>
      <c r="D18" s="401"/>
      <c r="E18" s="398" t="s">
        <v>3410</v>
      </c>
      <c r="F18" s="401"/>
      <c r="G18" s="398" t="s">
        <v>3410</v>
      </c>
      <c r="H18" s="399"/>
      <c r="I18" s="398" t="s">
        <v>3410</v>
      </c>
      <c r="J18" s="399"/>
      <c r="K18" s="1897"/>
      <c r="L18" s="2717"/>
      <c r="M18" s="2711"/>
      <c r="N18" s="2711"/>
      <c r="O18" s="2711"/>
      <c r="P18" s="3709"/>
      <c r="Q18" s="1351"/>
      <c r="R18" s="705"/>
      <c r="S18" s="706"/>
      <c r="T18" s="705"/>
      <c r="U18" s="706"/>
      <c r="V18" s="705"/>
      <c r="W18" s="706"/>
      <c r="X18" s="1354"/>
      <c r="Y18" s="3702"/>
      <c r="Z18" s="1355"/>
      <c r="AA18" s="1352">
        <v>1</v>
      </c>
      <c r="AB18" s="1352">
        <v>1</v>
      </c>
      <c r="AC18" s="1352">
        <v>1</v>
      </c>
    </row>
    <row r="19" spans="1:29" ht="299.25">
      <c r="A19" s="379"/>
      <c r="B19" s="402" t="s">
        <v>1258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3476" t="s">
        <v>3461</v>
      </c>
      <c r="F19" s="406">
        <f>SUMIF(80:80,E20,81:81)-SUMIF(80:80,C20,81:81)+100</f>
        <v>100</v>
      </c>
      <c r="G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H19" s="401">
        <f>SUMIF(80:80,G20,81:81)-SUMIF(80:80,C20,81:81)+100</f>
        <v>100</v>
      </c>
      <c r="I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J19" s="401">
        <f>SUMIF(80:80,I20,81:81)-SUMIF(80:80,C20,81:81)+100</f>
        <v>100</v>
      </c>
      <c r="K19" s="396"/>
      <c r="L19" s="2717"/>
      <c r="M19" s="2711"/>
      <c r="N19" s="2711"/>
      <c r="O19" s="2711"/>
      <c r="P19" s="3709"/>
      <c r="Q19" s="1351" t="str">
        <f>B19</f>
        <v>公共配套设施</v>
      </c>
      <c r="R19" s="705" t="s">
        <v>18</v>
      </c>
      <c r="S19" s="706">
        <f>F19</f>
        <v>100</v>
      </c>
      <c r="T19" s="705" t="s">
        <v>18</v>
      </c>
      <c r="U19" s="706">
        <f>H19</f>
        <v>100</v>
      </c>
      <c r="V19" s="705" t="s">
        <v>18</v>
      </c>
      <c r="W19" s="706">
        <f>J19</f>
        <v>100</v>
      </c>
      <c r="X19" s="1354"/>
      <c r="Y19" s="3702"/>
      <c r="Z19" s="1355" t="str">
        <f>Q19</f>
        <v>公共配套设施</v>
      </c>
      <c r="AA19" s="1352">
        <f t="shared" si="3"/>
        <v>1</v>
      </c>
      <c r="AB19" s="1352">
        <f t="shared" si="4"/>
        <v>1</v>
      </c>
      <c r="AC19" s="1352">
        <f t="shared" si="5"/>
        <v>1</v>
      </c>
    </row>
    <row r="20" spans="1:29" ht="15">
      <c r="A20" s="379"/>
      <c r="B20" s="407"/>
      <c r="C20" s="398" t="s">
        <v>3410</v>
      </c>
      <c r="D20" s="399"/>
      <c r="E20" s="398" t="s">
        <v>3410</v>
      </c>
      <c r="F20" s="399"/>
      <c r="G20" s="398" t="s">
        <v>3410</v>
      </c>
      <c r="H20" s="399"/>
      <c r="I20" s="398" t="s">
        <v>3410</v>
      </c>
      <c r="J20" s="399"/>
      <c r="K20" s="1897"/>
      <c r="L20" s="2717"/>
      <c r="M20" s="2711"/>
      <c r="N20" s="2711"/>
      <c r="O20" s="2711"/>
      <c r="P20" s="3709"/>
      <c r="Q20" s="1351"/>
      <c r="R20" s="705"/>
      <c r="S20" s="706"/>
      <c r="T20" s="705"/>
      <c r="U20" s="706"/>
      <c r="V20" s="705"/>
      <c r="W20" s="706"/>
      <c r="X20" s="1354"/>
      <c r="Y20" s="3702"/>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899" t="s">
        <v>3416</v>
      </c>
      <c r="D22" s="399"/>
      <c r="E22" s="1899" t="s">
        <v>3416</v>
      </c>
      <c r="F22" s="399"/>
      <c r="G22" s="1899" t="s">
        <v>3416</v>
      </c>
      <c r="H22" s="399"/>
      <c r="I22" s="1899" t="s">
        <v>3416</v>
      </c>
      <c r="J22" s="399"/>
      <c r="K22" s="1903"/>
      <c r="L22" s="2717"/>
      <c r="M22" s="2711"/>
      <c r="N22" s="2711"/>
      <c r="O22" s="2711"/>
      <c r="P22" s="3709"/>
      <c r="Q22" s="1351"/>
      <c r="R22" s="705"/>
      <c r="S22" s="706"/>
      <c r="T22" s="705"/>
      <c r="U22" s="706"/>
      <c r="V22" s="705"/>
      <c r="W22" s="706"/>
      <c r="X22" s="1354"/>
      <c r="Y22" s="3702"/>
      <c r="Z22" s="1355"/>
      <c r="AA22" s="1352">
        <v>1</v>
      </c>
      <c r="AB22" s="1352">
        <v>1</v>
      </c>
      <c r="AC22" s="1352">
        <v>1</v>
      </c>
    </row>
    <row r="23" spans="1:29" ht="114">
      <c r="A23" s="379"/>
      <c r="B23" s="402" t="s">
        <v>1261</v>
      </c>
      <c r="C23" s="1898" t="str">
        <f>估价对象房地状况!C9</f>
        <v>自然环境：亮马河等自然水系景观；
人文环境：北京工人体育场、全国农业展览馆等人文场所；
综合评价环境状况较好。</v>
      </c>
      <c r="D23" s="401">
        <v>100</v>
      </c>
      <c r="E23" s="3478" t="s">
        <v>3463</v>
      </c>
      <c r="F23" s="401">
        <f>SUMIF(84:84,E24,85:85)-SUMIF(84:84,C24,85:85)+100</f>
        <v>100</v>
      </c>
      <c r="G23" s="403" t="str">
        <f>E23</f>
        <v>自然环境：亮马河等自然水系景观；
人文环境：北京工人体育场、全国农业展览馆等人文场所；
综合评价环境状况较好。</v>
      </c>
      <c r="H23" s="401">
        <f>SUMIF(84:84,G24,85:85)-SUMIF(84:84,C24,85:85)+100</f>
        <v>100</v>
      </c>
      <c r="I23" s="403" t="str">
        <f>E23</f>
        <v>自然环境：亮马河等自然水系景观；
人文环境：北京工人体育场、全国农业展览馆等人文场所；
综合评价环境状况较好。</v>
      </c>
      <c r="J23" s="401">
        <f>SUMIF(84:84,I24,85:85)-SUMIF(84:84,C24,85:85)+100</f>
        <v>100</v>
      </c>
      <c r="K23" s="396"/>
      <c r="L23" s="2717"/>
      <c r="M23" s="2711"/>
      <c r="N23" s="2711"/>
      <c r="O23" s="2711"/>
      <c r="P23" s="3709"/>
      <c r="Q23" s="1351" t="str">
        <f>B23</f>
        <v>自然及人文环境</v>
      </c>
      <c r="R23" s="705" t="s">
        <v>18</v>
      </c>
      <c r="S23" s="706">
        <f>F23</f>
        <v>100</v>
      </c>
      <c r="T23" s="705" t="s">
        <v>18</v>
      </c>
      <c r="U23" s="706">
        <f>H23</f>
        <v>100</v>
      </c>
      <c r="V23" s="705" t="s">
        <v>18</v>
      </c>
      <c r="W23" s="706">
        <f>J23</f>
        <v>100</v>
      </c>
      <c r="X23" s="1354"/>
      <c r="Y23" s="3702"/>
      <c r="Z23" s="1355" t="str">
        <f>Q23</f>
        <v>自然及人文环境</v>
      </c>
      <c r="AA23" s="1352">
        <f>D23/F23</f>
        <v>1</v>
      </c>
      <c r="AB23" s="1352">
        <f>D23/H23</f>
        <v>1</v>
      </c>
      <c r="AC23" s="1352">
        <f>D23/J23</f>
        <v>1</v>
      </c>
    </row>
    <row r="24" spans="1:29" ht="15">
      <c r="A24" s="379"/>
      <c r="B24" s="407"/>
      <c r="C24" s="398" t="s">
        <v>3410</v>
      </c>
      <c r="D24" s="399"/>
      <c r="E24" s="398" t="s">
        <v>3410</v>
      </c>
      <c r="F24" s="399"/>
      <c r="G24" s="398" t="s">
        <v>3410</v>
      </c>
      <c r="H24" s="399"/>
      <c r="I24" s="398" t="s">
        <v>3410</v>
      </c>
      <c r="J24" s="399"/>
      <c r="K24" s="1897"/>
      <c r="L24" s="2717"/>
      <c r="M24" s="2711"/>
      <c r="N24" s="2711"/>
      <c r="O24" s="2711"/>
      <c r="P24" s="3709"/>
      <c r="Q24" s="1351"/>
      <c r="R24" s="705"/>
      <c r="S24" s="706"/>
      <c r="T24" s="705"/>
      <c r="U24" s="706"/>
      <c r="V24" s="705"/>
      <c r="W24" s="706"/>
      <c r="X24" s="1354"/>
      <c r="Y24" s="3702"/>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0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1693</v>
      </c>
      <c r="C26" s="411" t="s">
        <v>3474</v>
      </c>
      <c r="D26" s="386">
        <v>100</v>
      </c>
      <c r="E26" s="1904" t="s">
        <v>3444</v>
      </c>
      <c r="F26" s="386">
        <f>SUMIF(88:88,E26,89:89)-SUMIF(88:88,C26,89:89)+100</f>
        <v>102</v>
      </c>
      <c r="G26" s="1905" t="s">
        <v>3444</v>
      </c>
      <c r="H26" s="386">
        <f>SUMIF(88:88,G26,89:89)-SUMIF(88:88,C26,89:89)+100</f>
        <v>102</v>
      </c>
      <c r="I26" s="1905" t="s">
        <v>3434</v>
      </c>
      <c r="J26" s="386">
        <f>SUMIF(88:88,I26,89:89)-SUMIF(88:88,C26,89:89)+100</f>
        <v>101.5</v>
      </c>
      <c r="K26" s="377">
        <v>0.5</v>
      </c>
      <c r="L26" s="2717"/>
      <c r="M26" s="2711"/>
      <c r="N26" s="2711"/>
      <c r="O26" s="2711"/>
      <c r="P26" s="3709"/>
      <c r="Q26" s="1351" t="str">
        <f t="shared" si="11"/>
        <v>朝向</v>
      </c>
      <c r="R26" s="705" t="s">
        <v>18</v>
      </c>
      <c r="S26" s="706">
        <f t="shared" si="12"/>
        <v>102</v>
      </c>
      <c r="T26" s="705" t="s">
        <v>18</v>
      </c>
      <c r="U26" s="706">
        <f t="shared" si="13"/>
        <v>102</v>
      </c>
      <c r="V26" s="705" t="s">
        <v>18</v>
      </c>
      <c r="W26" s="706">
        <f t="shared" si="14"/>
        <v>101.5</v>
      </c>
      <c r="X26" s="1354"/>
      <c r="Y26" s="3702"/>
      <c r="Z26" s="1355" t="str">
        <f>Q26</f>
        <v>朝向</v>
      </c>
      <c r="AA26" s="1352">
        <f t="shared" si="15"/>
        <v>0.98039215686274506</v>
      </c>
      <c r="AB26" s="1352">
        <f t="shared" si="16"/>
        <v>0.98039215686274506</v>
      </c>
      <c r="AC26" s="1352">
        <f t="shared" si="17"/>
        <v>0.98522167487684731</v>
      </c>
    </row>
    <row r="27" spans="1:29" s="108" customFormat="1" ht="15">
      <c r="A27" s="382"/>
      <c r="B27" s="3448" t="s">
        <v>3396</v>
      </c>
      <c r="C27" s="3449" t="s">
        <v>3477</v>
      </c>
      <c r="D27" s="413">
        <v>100</v>
      </c>
      <c r="E27" s="3449" t="s">
        <v>3478</v>
      </c>
      <c r="F27" s="413">
        <f>SUMIF(90:90,E27,91:91)-SUMIF(90:90,C27,91:91)+100</f>
        <v>103</v>
      </c>
      <c r="G27" s="3450" t="s">
        <v>3479</v>
      </c>
      <c r="H27" s="413">
        <f>SUMIF(90:90,G27,91:91)-SUMIF(90:90,C27,91:91)+100</f>
        <v>100</v>
      </c>
      <c r="I27" s="3449" t="s">
        <v>3481</v>
      </c>
      <c r="J27" s="413">
        <f>SUMIF(90:90,I27,91:91)-SUMIF(90:90,C27,91:91)+100</f>
        <v>104</v>
      </c>
      <c r="K27" s="1892"/>
      <c r="L27" s="2712"/>
      <c r="M27" s="2713"/>
      <c r="N27" s="2713"/>
      <c r="O27" s="2713"/>
      <c r="P27" s="3709"/>
      <c r="Q27" s="1342" t="str">
        <f t="shared" si="11"/>
        <v>楼层</v>
      </c>
      <c r="R27" s="701" t="s">
        <v>18</v>
      </c>
      <c r="S27" s="702">
        <f t="shared" si="12"/>
        <v>103</v>
      </c>
      <c r="T27" s="701" t="s">
        <v>18</v>
      </c>
      <c r="U27" s="702">
        <f t="shared" si="13"/>
        <v>100</v>
      </c>
      <c r="V27" s="701" t="s">
        <v>18</v>
      </c>
      <c r="W27" s="702">
        <f t="shared" si="14"/>
        <v>104</v>
      </c>
      <c r="X27" s="703"/>
      <c r="Y27" s="3702"/>
      <c r="Z27" s="52" t="str">
        <f>Q27</f>
        <v>楼层</v>
      </c>
      <c r="AA27" s="1352">
        <f t="shared" si="15"/>
        <v>0.970873786407767</v>
      </c>
      <c r="AB27" s="1352">
        <f t="shared" si="16"/>
        <v>1</v>
      </c>
      <c r="AC27" s="1352">
        <f t="shared" si="17"/>
        <v>0.96153846153846156</v>
      </c>
    </row>
    <row r="28" spans="1:29" ht="15">
      <c r="A28" s="379"/>
      <c r="B28" s="3448" t="s">
        <v>3485</v>
      </c>
      <c r="C28" s="3452" t="s">
        <v>3486</v>
      </c>
      <c r="D28" s="386">
        <v>100</v>
      </c>
      <c r="E28" s="3452" t="str">
        <f>C28</f>
        <v>城市次干道</v>
      </c>
      <c r="F28" s="386">
        <f>SUMIF(92:92,E28,93:93)-SUMIF(92:92,C28,93:93)+100</f>
        <v>100</v>
      </c>
      <c r="G28" s="3457" t="str">
        <f>C28</f>
        <v>城市次干道</v>
      </c>
      <c r="H28" s="386">
        <f>SUMIF(92:92,G28,93:93)-SUMIF(92:92,C28,93:93)+100</f>
        <v>100</v>
      </c>
      <c r="I28" s="3452" t="str">
        <f>C28</f>
        <v>城市次干道</v>
      </c>
      <c r="J28" s="386">
        <f>SUMIF(92:92,I28,93:93)-SUMIF(92:92,C28,93:93)+100</f>
        <v>100</v>
      </c>
      <c r="K28" s="1892"/>
      <c r="L28" s="2717"/>
      <c r="M28" s="2711"/>
      <c r="N28" s="2711"/>
      <c r="O28" s="2711"/>
      <c r="P28" s="3709"/>
      <c r="Q28" s="1351" t="str">
        <f t="shared" si="11"/>
        <v>道路级别</v>
      </c>
      <c r="R28" s="705" t="s">
        <v>18</v>
      </c>
      <c r="S28" s="706">
        <f t="shared" si="12"/>
        <v>100</v>
      </c>
      <c r="T28" s="705" t="s">
        <v>18</v>
      </c>
      <c r="U28" s="706">
        <f t="shared" si="13"/>
        <v>100</v>
      </c>
      <c r="V28" s="705" t="s">
        <v>18</v>
      </c>
      <c r="W28" s="706">
        <f t="shared" si="14"/>
        <v>100</v>
      </c>
      <c r="X28" s="1354"/>
      <c r="Y28" s="3702"/>
      <c r="Z28" s="1355" t="str">
        <f t="shared" ref="Z28:Z46" si="18">Q28</f>
        <v>道路级别</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09"/>
      <c r="Q29" s="1351">
        <f t="shared" si="11"/>
        <v>111</v>
      </c>
      <c r="R29" s="705" t="s">
        <v>18</v>
      </c>
      <c r="S29" s="706">
        <f t="shared" si="12"/>
        <v>100</v>
      </c>
      <c r="T29" s="705" t="s">
        <v>18</v>
      </c>
      <c r="U29" s="706">
        <f t="shared" si="13"/>
        <v>100</v>
      </c>
      <c r="V29" s="705" t="s">
        <v>18</v>
      </c>
      <c r="W29" s="706">
        <f t="shared" si="14"/>
        <v>100</v>
      </c>
      <c r="X29" s="1354"/>
      <c r="Y29" s="370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09"/>
      <c r="Q30" s="1351">
        <f t="shared" si="11"/>
        <v>111</v>
      </c>
      <c r="R30" s="705" t="s">
        <v>18</v>
      </c>
      <c r="S30" s="706">
        <f t="shared" si="12"/>
        <v>100</v>
      </c>
      <c r="T30" s="705" t="s">
        <v>18</v>
      </c>
      <c r="U30" s="706">
        <f t="shared" si="13"/>
        <v>100</v>
      </c>
      <c r="V30" s="705" t="s">
        <v>18</v>
      </c>
      <c r="W30" s="706">
        <f t="shared" si="14"/>
        <v>100</v>
      </c>
      <c r="X30" s="1354"/>
      <c r="Y30" s="370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09"/>
      <c r="Q31" s="1351">
        <f t="shared" si="11"/>
        <v>111</v>
      </c>
      <c r="R31" s="705" t="s">
        <v>18</v>
      </c>
      <c r="S31" s="706">
        <f t="shared" si="12"/>
        <v>100</v>
      </c>
      <c r="T31" s="705" t="s">
        <v>18</v>
      </c>
      <c r="U31" s="706">
        <f t="shared" si="13"/>
        <v>100</v>
      </c>
      <c r="V31" s="705" t="s">
        <v>18</v>
      </c>
      <c r="W31" s="706">
        <f t="shared" si="14"/>
        <v>100</v>
      </c>
      <c r="X31" s="1354"/>
      <c r="Y31" s="3702"/>
      <c r="Z31" s="1355">
        <f t="shared" si="18"/>
        <v>111</v>
      </c>
      <c r="AA31" s="1352">
        <f t="shared" si="15"/>
        <v>1</v>
      </c>
      <c r="AB31" s="1352">
        <f t="shared" si="16"/>
        <v>1</v>
      </c>
      <c r="AC31" s="1352">
        <f t="shared" si="17"/>
        <v>1</v>
      </c>
    </row>
    <row r="32" spans="1:29" ht="15">
      <c r="A32" s="391" t="s">
        <v>1694</v>
      </c>
      <c r="B32" s="63" t="s">
        <v>1695</v>
      </c>
      <c r="C32" s="1908" t="s">
        <v>3482</v>
      </c>
      <c r="D32" s="418">
        <v>100</v>
      </c>
      <c r="E32" s="1908" t="s">
        <v>3482</v>
      </c>
      <c r="F32" s="412">
        <f>SUMIF(100:100,E32,101:101)-SUMIF(100:100,C32,101:101)+100</f>
        <v>100</v>
      </c>
      <c r="G32" s="1908" t="s">
        <v>3482</v>
      </c>
      <c r="H32" s="418">
        <f>SUMIF(100:100,G32,101:101)-SUMIF(100:100,C32,101:101)+100</f>
        <v>100</v>
      </c>
      <c r="I32" s="1908" t="s">
        <v>3482</v>
      </c>
      <c r="J32" s="386">
        <f>SUMIF(100:100,I32,101:101)-SUMIF(100:100,C32,101:101)+100</f>
        <v>100</v>
      </c>
      <c r="K32" s="377">
        <v>1</v>
      </c>
      <c r="L32" s="2717"/>
      <c r="M32" s="2711"/>
      <c r="N32" s="2711"/>
      <c r="O32" s="2711"/>
      <c r="P32" s="3703" t="s">
        <v>1696</v>
      </c>
      <c r="Q32" s="1351" t="str">
        <f t="shared" si="11"/>
        <v>建筑类型</v>
      </c>
      <c r="R32" s="705" t="s">
        <v>18</v>
      </c>
      <c r="S32" s="706">
        <f t="shared" si="12"/>
        <v>100</v>
      </c>
      <c r="T32" s="705" t="s">
        <v>18</v>
      </c>
      <c r="U32" s="706">
        <f t="shared" si="13"/>
        <v>100</v>
      </c>
      <c r="V32" s="705" t="s">
        <v>18</v>
      </c>
      <c r="W32" s="706">
        <f t="shared" si="14"/>
        <v>100</v>
      </c>
      <c r="X32" s="1354"/>
      <c r="Y32" s="3706"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289.64</v>
      </c>
      <c r="D33" s="127">
        <v>100</v>
      </c>
      <c r="E33" s="381">
        <f>案例!E3</f>
        <v>321.08999999999997</v>
      </c>
      <c r="F33" s="376">
        <f>LOOKUP(E33,103:103,104:104)-LOOKUP(C33,103:103,104:104)+100</f>
        <v>99</v>
      </c>
      <c r="G33" s="380">
        <f>案例!E4</f>
        <v>205.41</v>
      </c>
      <c r="H33" s="127">
        <f>LOOKUP(G33,103:103,104:104)-LOOKUP(C33,103:103,104:104)+100</f>
        <v>101</v>
      </c>
      <c r="I33" s="381">
        <f>案例!E5</f>
        <v>125.55</v>
      </c>
      <c r="J33" s="127">
        <f>LOOKUP(I33,103:103,104:104)-LOOKUP(C33,103:103,104:104)+100</f>
        <v>103</v>
      </c>
      <c r="K33" s="1892"/>
      <c r="L33" s="2716"/>
      <c r="M33" s="2718"/>
      <c r="N33" s="2718"/>
      <c r="O33" s="2718"/>
      <c r="P33" s="3704"/>
      <c r="Q33" s="707" t="str">
        <f t="shared" si="11"/>
        <v>项目建筑规模</v>
      </c>
      <c r="R33" s="708" t="s">
        <v>18</v>
      </c>
      <c r="S33" s="709">
        <f t="shared" si="12"/>
        <v>99</v>
      </c>
      <c r="T33" s="708" t="s">
        <v>18</v>
      </c>
      <c r="U33" s="709">
        <f t="shared" si="13"/>
        <v>101</v>
      </c>
      <c r="V33" s="708" t="s">
        <v>18</v>
      </c>
      <c r="W33" s="709">
        <f t="shared" si="14"/>
        <v>103</v>
      </c>
      <c r="X33" s="710"/>
      <c r="Y33" s="3706"/>
      <c r="Z33" s="711" t="str">
        <f t="shared" si="18"/>
        <v>项目建筑规模</v>
      </c>
      <c r="AA33" s="1352">
        <f t="shared" si="15"/>
        <v>1.0101010101010102</v>
      </c>
      <c r="AB33" s="1352">
        <f t="shared" si="16"/>
        <v>0.99009900990099009</v>
      </c>
      <c r="AC33" s="1352">
        <f t="shared" si="17"/>
        <v>0.970873786407767</v>
      </c>
    </row>
    <row r="34" spans="1:29" ht="15">
      <c r="A34" s="423"/>
      <c r="B34" s="375" t="s">
        <v>1698</v>
      </c>
      <c r="C34" s="1909" t="s">
        <v>3400</v>
      </c>
      <c r="D34" s="386">
        <v>100</v>
      </c>
      <c r="E34" s="1909" t="s">
        <v>3400</v>
      </c>
      <c r="F34" s="412">
        <f>SUMIF(105:105,E34,106:106)-SUMIF(105:105,C34,106:106)+100</f>
        <v>100</v>
      </c>
      <c r="G34" s="1909" t="s">
        <v>3400</v>
      </c>
      <c r="H34" s="386">
        <f>SUMIF(105:105,G34,106:106)-SUMIF(105:105,C34,106:106)+100</f>
        <v>100</v>
      </c>
      <c r="I34" s="1909" t="s">
        <v>3400</v>
      </c>
      <c r="J34" s="386">
        <f>SUMIF(105:105,I34,106:106)-SUMIF(105:105,C34,106:106)+100</f>
        <v>100</v>
      </c>
      <c r="K34" s="377"/>
      <c r="L34" s="2717"/>
      <c r="M34" s="2711"/>
      <c r="N34" s="2711"/>
      <c r="O34" s="2711"/>
      <c r="P34" s="3704"/>
      <c r="Q34" s="1351" t="str">
        <f t="shared" si="11"/>
        <v>建筑结构</v>
      </c>
      <c r="R34" s="705" t="s">
        <v>18</v>
      </c>
      <c r="S34" s="706">
        <f t="shared" si="12"/>
        <v>100</v>
      </c>
      <c r="T34" s="705" t="s">
        <v>18</v>
      </c>
      <c r="U34" s="706">
        <f t="shared" si="13"/>
        <v>100</v>
      </c>
      <c r="V34" s="705" t="s">
        <v>18</v>
      </c>
      <c r="W34" s="706">
        <f t="shared" si="14"/>
        <v>100</v>
      </c>
      <c r="X34" s="1354"/>
      <c r="Y34" s="3706"/>
      <c r="Z34" s="1355" t="str">
        <f t="shared" si="18"/>
        <v>建筑结构</v>
      </c>
      <c r="AA34" s="1352">
        <f t="shared" si="15"/>
        <v>1</v>
      </c>
      <c r="AB34" s="1352">
        <f t="shared" si="16"/>
        <v>1</v>
      </c>
      <c r="AC34" s="1352">
        <f t="shared" si="17"/>
        <v>1</v>
      </c>
    </row>
    <row r="35" spans="1:29" ht="15">
      <c r="A35" s="423"/>
      <c r="B35" s="375" t="s">
        <v>1699</v>
      </c>
      <c r="C35" s="1904" t="s">
        <v>3410</v>
      </c>
      <c r="D35" s="386">
        <v>100</v>
      </c>
      <c r="E35" s="1904" t="s">
        <v>3410</v>
      </c>
      <c r="F35" s="412">
        <f>SUMIF(107:107,E35,108:108)-SUMIF(107:107,C35,108:108)+100</f>
        <v>100</v>
      </c>
      <c r="G35" s="1904" t="s">
        <v>3410</v>
      </c>
      <c r="H35" s="386">
        <f>SUMIF(107:107,G35,108:108)-SUMIF(107:107,C35,108:108)+100</f>
        <v>100</v>
      </c>
      <c r="I35" s="1904" t="s">
        <v>3410</v>
      </c>
      <c r="J35" s="386">
        <f>SUMIF(107:107,I35,108:108)-SUMIF(107:107,C35,108:108)+100</f>
        <v>100</v>
      </c>
      <c r="K35" s="377"/>
      <c r="L35" s="2717"/>
      <c r="M35" s="2711"/>
      <c r="N35" s="2711"/>
      <c r="O35" s="2711"/>
      <c r="P35" s="3704"/>
      <c r="Q35" s="1351" t="str">
        <f t="shared" si="11"/>
        <v>建筑品质</v>
      </c>
      <c r="R35" s="705" t="s">
        <v>18</v>
      </c>
      <c r="S35" s="706">
        <f t="shared" si="12"/>
        <v>100</v>
      </c>
      <c r="T35" s="705" t="s">
        <v>18</v>
      </c>
      <c r="U35" s="706">
        <f t="shared" si="13"/>
        <v>100</v>
      </c>
      <c r="V35" s="705" t="s">
        <v>18</v>
      </c>
      <c r="W35" s="706">
        <f t="shared" si="14"/>
        <v>100</v>
      </c>
      <c r="X35" s="1354"/>
      <c r="Y35" s="3706"/>
      <c r="Z35" s="1355" t="str">
        <f t="shared" si="18"/>
        <v>建筑品质</v>
      </c>
      <c r="AA35" s="1352">
        <f t="shared" si="15"/>
        <v>1</v>
      </c>
      <c r="AB35" s="1352">
        <f t="shared" si="16"/>
        <v>1</v>
      </c>
      <c r="AC35" s="1352">
        <f t="shared" si="17"/>
        <v>1</v>
      </c>
    </row>
    <row r="36" spans="1:29" ht="15">
      <c r="A36" s="423"/>
      <c r="B36" s="375" t="s">
        <v>1700</v>
      </c>
      <c r="C36" s="1904" t="s">
        <v>3415</v>
      </c>
      <c r="D36" s="386">
        <v>100</v>
      </c>
      <c r="E36" s="1904" t="s">
        <v>3415</v>
      </c>
      <c r="F36" s="412">
        <f>SUMIF(109:109,E36,110:110)-SUMIF(109:109,C36,110:110)+100</f>
        <v>100</v>
      </c>
      <c r="G36" s="1904" t="s">
        <v>3415</v>
      </c>
      <c r="H36" s="386">
        <f>SUMIF(109:109,G36,110:110)-SUMIF(109:109,C36,110:110)+100</f>
        <v>100</v>
      </c>
      <c r="I36" s="1904" t="s">
        <v>3415</v>
      </c>
      <c r="J36" s="386">
        <f>SUMIF(109:109,I36,110:110)-SUMIF(109:109,C36,110:110)+100</f>
        <v>100</v>
      </c>
      <c r="K36" s="377"/>
      <c r="L36" s="2717"/>
      <c r="M36" s="2711"/>
      <c r="N36" s="2711"/>
      <c r="O36" s="2711"/>
      <c r="P36" s="3704"/>
      <c r="Q36" s="1351" t="str">
        <f t="shared" si="11"/>
        <v>公共部分装修</v>
      </c>
      <c r="R36" s="705" t="s">
        <v>18</v>
      </c>
      <c r="S36" s="706">
        <f t="shared" si="12"/>
        <v>100</v>
      </c>
      <c r="T36" s="705" t="s">
        <v>18</v>
      </c>
      <c r="U36" s="706">
        <f t="shared" si="13"/>
        <v>100</v>
      </c>
      <c r="V36" s="705" t="s">
        <v>18</v>
      </c>
      <c r="W36" s="706">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1701</v>
      </c>
      <c r="C37" s="425">
        <f>'数据-取费表'!N6</f>
        <v>0.85</v>
      </c>
      <c r="D37" s="127">
        <v>100</v>
      </c>
      <c r="E37" s="425">
        <f>C37</f>
        <v>0.85</v>
      </c>
      <c r="F37" s="376">
        <f>LOOKUP(E37,112:112,113:113)-LOOKUP(C37,112:112,113:113)+100</f>
        <v>100</v>
      </c>
      <c r="G37" s="425">
        <f>C37</f>
        <v>0.85</v>
      </c>
      <c r="H37" s="127">
        <f>LOOKUP(G37,112:112,113:113)-LOOKUP(C37,112:112,113:113)+100</f>
        <v>100</v>
      </c>
      <c r="I37" s="425">
        <f>C37</f>
        <v>0.85</v>
      </c>
      <c r="J37" s="127">
        <f>LOOKUP(I37,112:112,113:113)-LOOKUP(C37,112:112,113:113)+100</f>
        <v>100</v>
      </c>
      <c r="K37" s="377"/>
      <c r="L37" s="2712"/>
      <c r="M37" s="2713"/>
      <c r="N37" s="2713"/>
      <c r="O37" s="2713"/>
      <c r="P37" s="3704"/>
      <c r="Q37" s="1342" t="str">
        <f t="shared" si="11"/>
        <v>成新度</v>
      </c>
      <c r="R37" s="701" t="s">
        <v>18</v>
      </c>
      <c r="S37" s="702">
        <f t="shared" si="12"/>
        <v>100</v>
      </c>
      <c r="T37" s="701" t="s">
        <v>18</v>
      </c>
      <c r="U37" s="702">
        <f t="shared" si="13"/>
        <v>100</v>
      </c>
      <c r="V37" s="701" t="s">
        <v>18</v>
      </c>
      <c r="W37" s="702">
        <f t="shared" si="14"/>
        <v>100</v>
      </c>
      <c r="X37" s="703"/>
      <c r="Y37" s="3706"/>
      <c r="Z37" s="52" t="str">
        <f t="shared" si="18"/>
        <v>成新度</v>
      </c>
      <c r="AA37" s="704">
        <f t="shared" si="15"/>
        <v>1</v>
      </c>
      <c r="AB37" s="704">
        <f t="shared" si="16"/>
        <v>1</v>
      </c>
      <c r="AC37" s="704">
        <f t="shared" si="17"/>
        <v>1</v>
      </c>
    </row>
    <row r="38" spans="1:29" ht="15">
      <c r="A38" s="423"/>
      <c r="B38" s="375" t="s">
        <v>1702</v>
      </c>
      <c r="C38" s="1904" t="s">
        <v>3419</v>
      </c>
      <c r="D38" s="386">
        <v>100</v>
      </c>
      <c r="E38" s="1904" t="s">
        <v>3419</v>
      </c>
      <c r="F38" s="412">
        <f>SUMIF(114:114,E38,115:115)-SUMIF(114:114,C38,115:115)+100</f>
        <v>100</v>
      </c>
      <c r="G38" s="1904" t="s">
        <v>3419</v>
      </c>
      <c r="H38" s="386">
        <f>SUMIF(114:114,G38,115:115)-SUMIF(114:114,C38,115:115)+100</f>
        <v>100</v>
      </c>
      <c r="I38" s="1904" t="s">
        <v>3419</v>
      </c>
      <c r="J38" s="386">
        <f>SUMIF(114:114,I38,115:115)-SUMIF(114:114,C38,115:115)+100</f>
        <v>100</v>
      </c>
      <c r="K38" s="377"/>
      <c r="L38" s="2717"/>
      <c r="M38" s="2711"/>
      <c r="N38" s="2711"/>
      <c r="O38" s="2711"/>
      <c r="P38" s="3704" t="s">
        <v>1696</v>
      </c>
      <c r="Q38" s="1351" t="str">
        <f t="shared" si="11"/>
        <v>物业管理</v>
      </c>
      <c r="R38" s="705" t="s">
        <v>18</v>
      </c>
      <c r="S38" s="706">
        <f t="shared" si="12"/>
        <v>100</v>
      </c>
      <c r="T38" s="705" t="s">
        <v>18</v>
      </c>
      <c r="U38" s="706">
        <f t="shared" si="13"/>
        <v>100</v>
      </c>
      <c r="V38" s="705" t="s">
        <v>18</v>
      </c>
      <c r="W38" s="706">
        <f t="shared" si="14"/>
        <v>100</v>
      </c>
      <c r="X38" s="1354"/>
      <c r="Y38" s="3706" t="s">
        <v>1696</v>
      </c>
      <c r="Z38" s="1355" t="str">
        <f t="shared" si="18"/>
        <v>物业管理</v>
      </c>
      <c r="AA38" s="1352">
        <f t="shared" si="15"/>
        <v>1</v>
      </c>
      <c r="AB38" s="1352">
        <f t="shared" si="16"/>
        <v>1</v>
      </c>
      <c r="AC38" s="1352">
        <f t="shared" si="17"/>
        <v>1</v>
      </c>
    </row>
    <row r="39" spans="1:29" ht="15">
      <c r="A39" s="423"/>
      <c r="B39" s="375" t="s">
        <v>1703</v>
      </c>
      <c r="C39" s="1904" t="s">
        <v>3416</v>
      </c>
      <c r="D39" s="386">
        <v>100</v>
      </c>
      <c r="E39" s="1904" t="s">
        <v>3416</v>
      </c>
      <c r="F39" s="412">
        <f>SUMIF(116:116,E39,117:117)-SUMIF(116:116,C39,117:117)+100</f>
        <v>100</v>
      </c>
      <c r="G39" s="1904" t="s">
        <v>3416</v>
      </c>
      <c r="H39" s="386">
        <f>SUMIF(116:116,G39,117:117)-SUMIF(116:116,C39,117:117)+100</f>
        <v>100</v>
      </c>
      <c r="I39" s="1904" t="s">
        <v>3416</v>
      </c>
      <c r="J39" s="386">
        <f>SUMIF(116:116,I39,117:117)-SUMIF(116:116,C39,117:117)+100</f>
        <v>100</v>
      </c>
      <c r="K39" s="377"/>
      <c r="L39" s="2717"/>
      <c r="M39" s="2711"/>
      <c r="N39" s="2711"/>
      <c r="O39" s="2711"/>
      <c r="P39" s="3704"/>
      <c r="Q39" s="1351" t="str">
        <f t="shared" si="11"/>
        <v>市政基础设施</v>
      </c>
      <c r="R39" s="705" t="s">
        <v>18</v>
      </c>
      <c r="S39" s="706">
        <f t="shared" si="12"/>
        <v>100</v>
      </c>
      <c r="T39" s="705" t="s">
        <v>18</v>
      </c>
      <c r="U39" s="706">
        <f t="shared" si="13"/>
        <v>100</v>
      </c>
      <c r="V39" s="705" t="s">
        <v>18</v>
      </c>
      <c r="W39" s="706">
        <f t="shared" si="14"/>
        <v>100</v>
      </c>
      <c r="X39" s="1354"/>
      <c r="Y39" s="3706"/>
      <c r="Z39" s="1355" t="str">
        <f t="shared" si="18"/>
        <v>市政基础设施</v>
      </c>
      <c r="AA39" s="1352">
        <f t="shared" si="15"/>
        <v>1</v>
      </c>
      <c r="AB39" s="1352">
        <f t="shared" si="16"/>
        <v>1</v>
      </c>
      <c r="AC39" s="1352">
        <f t="shared" si="17"/>
        <v>1</v>
      </c>
    </row>
    <row r="40" spans="1:29" ht="15" hidden="1">
      <c r="A40" s="423"/>
      <c r="B40" s="375" t="s">
        <v>1704</v>
      </c>
      <c r="C40" s="1904" t="s">
        <v>3423</v>
      </c>
      <c r="D40" s="386">
        <v>100</v>
      </c>
      <c r="E40" s="1904" t="s">
        <v>3423</v>
      </c>
      <c r="F40" s="412">
        <f>SUMIF(118:118,E40,119:119)-SUMIF(118:118,C40,119:119)+100</f>
        <v>100</v>
      </c>
      <c r="G40" s="1904" t="s">
        <v>3423</v>
      </c>
      <c r="H40" s="386">
        <f>SUMIF(118:118,G40,119:119)-SUMIF(118:118,C40,119:119)+100</f>
        <v>100</v>
      </c>
      <c r="I40" s="1904" t="s">
        <v>3423</v>
      </c>
      <c r="J40" s="386">
        <f>SUMIF(118:118,I40,119:119)-SUMIF(118:118,C40,119:119)+100</f>
        <v>100</v>
      </c>
      <c r="K40" s="377"/>
      <c r="L40" s="2717"/>
      <c r="M40" s="2711"/>
      <c r="N40" s="2711"/>
      <c r="O40" s="2711"/>
      <c r="P40" s="3704"/>
      <c r="Q40" s="1351" t="str">
        <f t="shared" si="11"/>
        <v>房型</v>
      </c>
      <c r="R40" s="705" t="s">
        <v>18</v>
      </c>
      <c r="S40" s="706">
        <f t="shared" si="12"/>
        <v>100</v>
      </c>
      <c r="T40" s="705" t="s">
        <v>18</v>
      </c>
      <c r="U40" s="706">
        <f t="shared" si="13"/>
        <v>100</v>
      </c>
      <c r="V40" s="705" t="s">
        <v>18</v>
      </c>
      <c r="W40" s="706">
        <f t="shared" si="14"/>
        <v>100</v>
      </c>
      <c r="X40" s="1354"/>
      <c r="Y40" s="370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2">
        <f t="shared" si="15"/>
        <v>1</v>
      </c>
      <c r="AB41" s="1352">
        <f t="shared" si="16"/>
        <v>1</v>
      </c>
      <c r="AC41" s="1352">
        <f t="shared" si="17"/>
        <v>1</v>
      </c>
    </row>
    <row r="42" spans="1:29" ht="15">
      <c r="A42" s="423"/>
      <c r="B42" s="375" t="s">
        <v>1706</v>
      </c>
      <c r="C42" s="1904" t="s">
        <v>3415</v>
      </c>
      <c r="D42" s="386">
        <v>100</v>
      </c>
      <c r="E42" s="1904" t="s">
        <v>3415</v>
      </c>
      <c r="F42" s="412">
        <f>SUMIF(122:122,E42,123:123)-SUMIF(122:122,C42,123:123)+100</f>
        <v>100</v>
      </c>
      <c r="G42" s="1904" t="s">
        <v>3415</v>
      </c>
      <c r="H42" s="386">
        <f>SUMIF(122:122,G42,123:123)-SUMIF(122:122,C42,123:123)+100</f>
        <v>100</v>
      </c>
      <c r="I42" s="1904" t="s">
        <v>3415</v>
      </c>
      <c r="J42" s="386">
        <f>SUMIF(122:122,I42,123:123)-SUMIF(122:122,C42,123:123)+100</f>
        <v>100</v>
      </c>
      <c r="K42" s="377">
        <v>2</v>
      </c>
      <c r="L42" s="2717"/>
      <c r="M42" s="2711"/>
      <c r="N42" s="2711"/>
      <c r="O42" s="2711"/>
      <c r="P42" s="3704"/>
      <c r="Q42" s="1351" t="str">
        <f t="shared" si="11"/>
        <v>内部装修</v>
      </c>
      <c r="R42" s="705" t="s">
        <v>18</v>
      </c>
      <c r="S42" s="706">
        <f t="shared" si="12"/>
        <v>100</v>
      </c>
      <c r="T42" s="705" t="s">
        <v>18</v>
      </c>
      <c r="U42" s="706">
        <f t="shared" si="13"/>
        <v>100</v>
      </c>
      <c r="V42" s="705" t="s">
        <v>18</v>
      </c>
      <c r="W42" s="706">
        <f t="shared" si="14"/>
        <v>100</v>
      </c>
      <c r="X42" s="1354"/>
      <c r="Y42" s="3706"/>
      <c r="Z42" s="1355" t="str">
        <f t="shared" si="18"/>
        <v>内部装修</v>
      </c>
      <c r="AA42" s="1352">
        <f t="shared" si="15"/>
        <v>1</v>
      </c>
      <c r="AB42" s="1352">
        <f t="shared" si="16"/>
        <v>1</v>
      </c>
      <c r="AC42" s="1352">
        <f t="shared" si="17"/>
        <v>1</v>
      </c>
    </row>
    <row r="43" spans="1:29" ht="15">
      <c r="A43" s="423"/>
      <c r="B43" s="375" t="s">
        <v>1707</v>
      </c>
      <c r="C43" s="1904" t="s">
        <v>3410</v>
      </c>
      <c r="D43" s="386">
        <v>100</v>
      </c>
      <c r="E43" s="1904" t="s">
        <v>3410</v>
      </c>
      <c r="F43" s="412">
        <f>SUMIF(124:124,E43,125:125)-SUMIF(124:124,C43,125:125)+100</f>
        <v>100</v>
      </c>
      <c r="G43" s="1904" t="s">
        <v>3410</v>
      </c>
      <c r="H43" s="386">
        <f>SUMIF(124:124,G43,125:125)-SUMIF(124:124,C43,125:125)+100</f>
        <v>100</v>
      </c>
      <c r="I43" s="1904" t="s">
        <v>3410</v>
      </c>
      <c r="J43" s="386">
        <f>SUMIF(124:124,I43,125:125)-SUMIF(124:124,C43,125:125)+100</f>
        <v>100</v>
      </c>
      <c r="K43" s="377"/>
      <c r="L43" s="2717"/>
      <c r="M43" s="2711"/>
      <c r="N43" s="2711"/>
      <c r="O43" s="2711"/>
      <c r="P43" s="3704"/>
      <c r="Q43" s="1351" t="str">
        <f t="shared" si="11"/>
        <v>内部装修维护情况</v>
      </c>
      <c r="R43" s="705" t="s">
        <v>18</v>
      </c>
      <c r="S43" s="706">
        <f t="shared" si="12"/>
        <v>100</v>
      </c>
      <c r="T43" s="705" t="s">
        <v>18</v>
      </c>
      <c r="U43" s="706">
        <f t="shared" si="13"/>
        <v>100</v>
      </c>
      <c r="V43" s="705" t="s">
        <v>18</v>
      </c>
      <c r="W43" s="706">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3448" t="s">
        <v>3488</v>
      </c>
      <c r="C44" s="3483" t="s">
        <v>3489</v>
      </c>
      <c r="D44" s="127">
        <v>100</v>
      </c>
      <c r="E44" s="420" t="str">
        <f>C44</f>
        <v>跃层</v>
      </c>
      <c r="F44" s="376">
        <f>SUMIF(126:126,E44,127:127)-SUMIF(126:126,C44,127:127)+100</f>
        <v>100</v>
      </c>
      <c r="G44" s="3483" t="s">
        <v>3490</v>
      </c>
      <c r="H44" s="127">
        <f>SUMIF(126:126,G44,127:127)-SUMIF(126:126,C44,127:127)+100</f>
        <v>106</v>
      </c>
      <c r="I44" s="420" t="str">
        <f>G44</f>
        <v>平层</v>
      </c>
      <c r="J44" s="127">
        <f>SUMIF(126:126,I44,127:127)-SUMIF(126:126,C44,127:127)+100</f>
        <v>106</v>
      </c>
      <c r="K44" s="1892"/>
      <c r="L44" s="2712"/>
      <c r="M44" s="2713"/>
      <c r="N44" s="2713"/>
      <c r="O44" s="2713"/>
      <c r="P44" s="3704"/>
      <c r="Q44" s="1342" t="str">
        <f t="shared" si="11"/>
        <v>单元类型</v>
      </c>
      <c r="R44" s="701" t="s">
        <v>18</v>
      </c>
      <c r="S44" s="702">
        <f t="shared" si="12"/>
        <v>100</v>
      </c>
      <c r="T44" s="701" t="s">
        <v>18</v>
      </c>
      <c r="U44" s="702">
        <f t="shared" si="13"/>
        <v>106</v>
      </c>
      <c r="V44" s="701" t="s">
        <v>18</v>
      </c>
      <c r="W44" s="702">
        <f t="shared" si="14"/>
        <v>106</v>
      </c>
      <c r="X44" s="703"/>
      <c r="Y44" s="3706"/>
      <c r="Z44" s="52" t="str">
        <f t="shared" si="18"/>
        <v>单元类型</v>
      </c>
      <c r="AA44" s="704">
        <f t="shared" si="15"/>
        <v>1</v>
      </c>
      <c r="AB44" s="704">
        <f t="shared" si="16"/>
        <v>0.94339622641509435</v>
      </c>
      <c r="AC44" s="704">
        <f t="shared" si="17"/>
        <v>0.94339622641509435</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04"/>
      <c r="Q45" s="1351">
        <f t="shared" si="11"/>
        <v>111</v>
      </c>
      <c r="R45" s="705" t="s">
        <v>18</v>
      </c>
      <c r="S45" s="706">
        <f t="shared" si="12"/>
        <v>100</v>
      </c>
      <c r="T45" s="705" t="s">
        <v>18</v>
      </c>
      <c r="U45" s="706">
        <f t="shared" si="13"/>
        <v>100</v>
      </c>
      <c r="V45" s="705" t="s">
        <v>18</v>
      </c>
      <c r="W45" s="706">
        <f t="shared" si="14"/>
        <v>100</v>
      </c>
      <c r="X45" s="1354"/>
      <c r="Y45" s="3706"/>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05"/>
      <c r="Q46" s="1351">
        <f t="shared" si="11"/>
        <v>111</v>
      </c>
      <c r="R46" s="705" t="s">
        <v>17</v>
      </c>
      <c r="S46" s="706">
        <f t="shared" si="12"/>
        <v>100</v>
      </c>
      <c r="T46" s="705" t="s">
        <v>17</v>
      </c>
      <c r="U46" s="706">
        <f t="shared" si="13"/>
        <v>100</v>
      </c>
      <c r="V46" s="705" t="s">
        <v>17</v>
      </c>
      <c r="W46" s="706">
        <f t="shared" si="14"/>
        <v>100</v>
      </c>
      <c r="X46" s="1354"/>
      <c r="Y46" s="3707"/>
      <c r="Z46" s="1355">
        <f t="shared" si="18"/>
        <v>111</v>
      </c>
      <c r="AA46" s="1352">
        <f t="shared" si="15"/>
        <v>1</v>
      </c>
      <c r="AB46" s="1352">
        <f t="shared" si="16"/>
        <v>1</v>
      </c>
      <c r="AC46" s="1352">
        <f t="shared" si="17"/>
        <v>1</v>
      </c>
    </row>
    <row r="47" spans="1:29" ht="15">
      <c r="A47" s="430" t="s">
        <v>1708</v>
      </c>
      <c r="B47" s="431"/>
      <c r="C47" s="1154" t="s">
        <v>16</v>
      </c>
      <c r="D47" s="1155"/>
      <c r="E47" s="1156">
        <f>案例!J3</f>
        <v>71631</v>
      </c>
      <c r="F47" s="1157"/>
      <c r="G47" s="1158">
        <f>案例!J4</f>
        <v>85195</v>
      </c>
      <c r="H47" s="1159"/>
      <c r="I47" s="1156">
        <f>案例!J5</f>
        <v>81243</v>
      </c>
      <c r="J47" s="1159"/>
      <c r="K47" s="1910"/>
      <c r="L47" s="2719"/>
      <c r="M47" s="2720"/>
      <c r="N47" s="2711"/>
      <c r="O47" s="2720"/>
      <c r="P47" s="3699" t="str">
        <f>A47</f>
        <v>成交单价（元/平方米）</v>
      </c>
      <c r="Q47" s="3699"/>
      <c r="R47" s="3700">
        <f>E47</f>
        <v>71631</v>
      </c>
      <c r="S47" s="3700"/>
      <c r="T47" s="3700">
        <f>G47</f>
        <v>85195</v>
      </c>
      <c r="U47" s="3700"/>
      <c r="V47" s="3700">
        <f>I47</f>
        <v>81243</v>
      </c>
      <c r="W47" s="3700"/>
      <c r="X47" s="690"/>
      <c r="Y47" s="712"/>
      <c r="Z47" s="690"/>
      <c r="AA47" s="690"/>
      <c r="AB47" s="690"/>
      <c r="AC47" s="690"/>
    </row>
    <row r="48" spans="1:29" ht="15.75" thickBot="1">
      <c r="A48" s="437" t="s">
        <v>1709</v>
      </c>
      <c r="B48" s="438"/>
      <c r="C48" s="1160">
        <f>R49</f>
        <v>73489</v>
      </c>
      <c r="D48" s="2313" t="s">
        <v>2138</v>
      </c>
      <c r="E48" s="1161">
        <f>R48</f>
        <v>69848</v>
      </c>
      <c r="F48" s="2314"/>
      <c r="G48" s="1160">
        <f>T48</f>
        <v>79124</v>
      </c>
      <c r="H48" s="2314"/>
      <c r="I48" s="1161">
        <f>V48</f>
        <v>71494</v>
      </c>
      <c r="J48" s="2314"/>
      <c r="K48" s="2315">
        <f>F48+H48+J48</f>
        <v>0</v>
      </c>
      <c r="L48" s="2719"/>
      <c r="M48" s="2720"/>
      <c r="N48" s="2720"/>
      <c r="O48" s="2720"/>
      <c r="P48" s="3699" t="str">
        <f>A48</f>
        <v>比较价值（元/平方米）</v>
      </c>
      <c r="Q48" s="3699"/>
      <c r="R48" s="3700">
        <f>IF(F1="售价",ROUND(PRODUCT(R47,AA7:AA46),0),ROUND(PRODUCT(R47,AA7:AA46),1))</f>
        <v>69848</v>
      </c>
      <c r="S48" s="3700"/>
      <c r="T48" s="3700">
        <f>IF(F1="售价",ROUND(PRODUCT(T47,AB7:AB46),0),ROUND(PRODUCT(T47,AB7:AB46),1))</f>
        <v>79124</v>
      </c>
      <c r="U48" s="3700"/>
      <c r="V48" s="3700">
        <f>IF(F1="售价",ROUND(PRODUCT(V47,AC7:AC46),0),ROUND(PRODUCT(V47,AC7:AC46),1))</f>
        <v>71494</v>
      </c>
      <c r="W48" s="3700"/>
      <c r="X48" s="690"/>
      <c r="Y48" s="690"/>
      <c r="Z48" s="690"/>
      <c r="AA48" s="690"/>
      <c r="AB48" s="690"/>
      <c r="AC48" s="690"/>
    </row>
    <row r="49" spans="1:29" ht="15.75" thickBot="1">
      <c r="A49" s="441" t="s">
        <v>1710</v>
      </c>
      <c r="B49" s="442"/>
      <c r="C49" s="1162">
        <f>R49</f>
        <v>73489</v>
      </c>
      <c r="D49" s="1163"/>
      <c r="E49" s="1163"/>
      <c r="F49" s="1163"/>
      <c r="G49" s="1163"/>
      <c r="H49" s="1163"/>
      <c r="I49" s="1163"/>
      <c r="J49" s="1163"/>
      <c r="K49" s="1911"/>
      <c r="L49" s="2719"/>
      <c r="M49" s="2720"/>
      <c r="N49" s="2720"/>
      <c r="O49" s="2720"/>
      <c r="P49" s="3696" t="str">
        <f>A49</f>
        <v>估价对象XX用房的比较价值（楼面单价，元/平方米）</v>
      </c>
      <c r="Q49" s="3697"/>
      <c r="R49" s="3698">
        <f>IF(F1="售价",ROUND(IF(D48="简单平均",AVERAGE(R48:V48),R48*F48+T48*H48+V48*J48),0),ROUND(IF(D48="简单平均",AVERAGE(R48:V48),R48*F48+T48*H48+V48*J48),1))</f>
        <v>73489</v>
      </c>
      <c r="S49" s="3698"/>
      <c r="T49" s="3698"/>
      <c r="U49" s="3698"/>
      <c r="V49" s="3698"/>
      <c r="W49" s="369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2.5526858320925383E-2</v>
      </c>
      <c r="F52" s="449" t="str">
        <f>IF(OR(E52&gt;=0.3,E52&lt;=-0.3),"超过30%","")</f>
        <v/>
      </c>
      <c r="G52" s="448">
        <f>IF(G47&lt;G48,G48/G47-1,G47/G48-1)</f>
        <v>7.6727667964208157E-2</v>
      </c>
      <c r="H52" s="449" t="str">
        <f>IF(OR(G52&gt;=0.3,G52&lt;=-0.3),"超过30%","")</f>
        <v/>
      </c>
      <c r="I52" s="448">
        <f>IF(I47&lt;I48,I48/I47-1,I47/I48-1)</f>
        <v>0.13636109323859347</v>
      </c>
      <c r="J52" s="449" t="str">
        <f>IF(OR(I52&gt;=0.3,I52&lt;=-0.3),"超过30%","")</f>
        <v/>
      </c>
      <c r="K52" s="2725"/>
      <c r="L52" s="2721"/>
      <c r="M52" s="2720"/>
      <c r="N52" s="2720"/>
      <c r="O52" s="2720"/>
    </row>
    <row r="53" spans="1:29" ht="13.5" customHeight="1">
      <c r="A53" s="2720"/>
      <c r="B53" s="2720"/>
      <c r="C53" s="446" t="s">
        <v>1712</v>
      </c>
      <c r="D53" s="450"/>
      <c r="E53" s="448">
        <f>IF(E48&lt;G48,G48/E48-1,E48/G48-1)</f>
        <v>0.13280265719848816</v>
      </c>
      <c r="F53" s="449" t="str">
        <f>IF(OR(E53&gt;=0.2,E53&lt;=-0.2),"超过20%","")</f>
        <v/>
      </c>
      <c r="G53" s="448">
        <f>IF(G48&lt;I48,I48/G48-1,G48/I48-1)</f>
        <v>0.10672224242593775</v>
      </c>
      <c r="H53" s="449" t="str">
        <f>IF(OR(G53&gt;=0.2,G53&lt;=-0.2),"超过20%","")</f>
        <v/>
      </c>
      <c r="I53" s="448">
        <f>IF(I48&lt;E48,E48/I48-1,I48/E48-1)</f>
        <v>2.3565456419654129E-2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0.18935935558626849</v>
      </c>
      <c r="F54" s="449" t="str">
        <f>IF(OR(E54&gt;=0.3,E54&lt;=-0.3),"超过30%","")</f>
        <v/>
      </c>
      <c r="G54" s="448">
        <f>IF(G47&lt;I47,I47/G47-1,G47/I47-1)</f>
        <v>4.8644190884137739E-2</v>
      </c>
      <c r="H54" s="449" t="str">
        <f>IF(OR(G54&gt;=0.3,G54&lt;=-0.3),"超过30%","")</f>
        <v/>
      </c>
      <c r="I54" s="448">
        <f>IF(I47&lt;E47,E47/I47-1,I47/E47-1)</f>
        <v>0.13418771202412372</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3453">
        <f t="shared" ref="P58" si="20">EDATE(O58,-1)</f>
        <v>44805</v>
      </c>
      <c r="Q58" s="3453">
        <f t="shared" ref="Q58" si="21">EDATE(P58,-1)</f>
        <v>44774</v>
      </c>
      <c r="R58" s="3453">
        <f t="shared" ref="R58" si="22">EDATE(Q58,-1)</f>
        <v>44743</v>
      </c>
      <c r="S58" s="3453">
        <f t="shared" ref="S58" si="23">EDATE(R58,-1)</f>
        <v>44713</v>
      </c>
      <c r="T58" s="3453">
        <f t="shared" ref="T58" si="24">EDATE(S58,-1)</f>
        <v>44682</v>
      </c>
      <c r="U58" s="3453">
        <f t="shared" ref="U58" si="25">EDATE(T58,-1)</f>
        <v>44652</v>
      </c>
      <c r="V58" s="3453">
        <f t="shared" ref="V58" si="26">EDATE(U58,-1)</f>
        <v>44621</v>
      </c>
      <c r="W58" s="3453">
        <f t="shared" ref="W58" si="27">EDATE(V58,-1)</f>
        <v>44593</v>
      </c>
      <c r="X58" s="3453">
        <f t="shared" ref="X58" si="28">EDATE(W58,-1)</f>
        <v>44562</v>
      </c>
      <c r="Y58" s="3453">
        <f t="shared" ref="Y58" si="29">EDATE(X58,-1)</f>
        <v>44531</v>
      </c>
      <c r="Z58" s="3453">
        <f t="shared" ref="Z58" si="30">EDATE(Y58,-1)</f>
        <v>44501</v>
      </c>
      <c r="AA58" s="3453">
        <f t="shared" ref="AA58" si="31">EDATE(Z58,-1)</f>
        <v>44470</v>
      </c>
      <c r="AB58" s="3453">
        <f t="shared" ref="AB58" si="32">EDATE(AA58,-1)</f>
        <v>44440</v>
      </c>
    </row>
    <row r="59" spans="1:29" s="108" customFormat="1" ht="15">
      <c r="A59" s="458"/>
      <c r="B59" s="1915"/>
      <c r="C59" s="1182">
        <v>100</v>
      </c>
      <c r="D59" s="3458">
        <f>C59-C60</f>
        <v>99.8</v>
      </c>
      <c r="E59" s="3459">
        <f>D59</f>
        <v>99.8</v>
      </c>
      <c r="F59" s="3459">
        <f>D59</f>
        <v>99.8</v>
      </c>
      <c r="G59" s="3459">
        <f>F59-C60</f>
        <v>99.6</v>
      </c>
      <c r="H59" s="3459">
        <f>G59</f>
        <v>99.6</v>
      </c>
      <c r="I59" s="3459">
        <f>G59</f>
        <v>99.6</v>
      </c>
      <c r="J59" s="3459">
        <f>I59-C60</f>
        <v>99.399999999999991</v>
      </c>
      <c r="K59" s="3459">
        <f>J59</f>
        <v>99.399999999999991</v>
      </c>
      <c r="L59" s="3459">
        <f>J59</f>
        <v>99.399999999999991</v>
      </c>
      <c r="M59" s="3460">
        <f>L59-C60</f>
        <v>99.199999999999989</v>
      </c>
      <c r="N59" s="3459">
        <f>M59</f>
        <v>99.199999999999989</v>
      </c>
      <c r="O59" s="3460">
        <f>N59</f>
        <v>99.199999999999989</v>
      </c>
      <c r="P59" s="3460">
        <f>O59-C60</f>
        <v>98.999999999999986</v>
      </c>
      <c r="Q59" s="3460">
        <f>P59</f>
        <v>98.999999999999986</v>
      </c>
      <c r="R59" s="3461">
        <f>P59</f>
        <v>98.999999999999986</v>
      </c>
      <c r="S59" s="3461">
        <f>R59-C60</f>
        <v>98.799999999999983</v>
      </c>
      <c r="T59" s="3461">
        <f>S59</f>
        <v>98.799999999999983</v>
      </c>
      <c r="U59" s="3461">
        <f>T59</f>
        <v>98.799999999999983</v>
      </c>
      <c r="V59" s="108">
        <f>U59-C60</f>
        <v>98.59999999999998</v>
      </c>
      <c r="W59" s="108">
        <f>V59</f>
        <v>98.59999999999998</v>
      </c>
      <c r="X59" s="108">
        <f>V59</f>
        <v>98.59999999999998</v>
      </c>
      <c r="Y59" s="108">
        <f>X59-C60</f>
        <v>98.399999999999977</v>
      </c>
      <c r="Z59" s="108">
        <f>Y59</f>
        <v>98.399999999999977</v>
      </c>
      <c r="AA59" s="108">
        <f>Y59</f>
        <v>98.399999999999977</v>
      </c>
      <c r="AB59" s="108">
        <f>AA59-C60</f>
        <v>98.199999999999974</v>
      </c>
    </row>
    <row r="60" spans="1:29" s="108" customFormat="1" ht="15.75" thickBot="1">
      <c r="A60" s="464" t="s">
        <v>1716</v>
      </c>
      <c r="B60" s="465"/>
      <c r="C60" s="466">
        <v>0.2</v>
      </c>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3455</v>
      </c>
      <c r="D65" s="532" t="s">
        <v>3457</v>
      </c>
      <c r="E65" s="532" t="s">
        <v>3456</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79" t="s">
        <v>3464</v>
      </c>
      <c r="D88" s="3480" t="s">
        <v>3465</v>
      </c>
      <c r="E88" s="3480" t="s">
        <v>3466</v>
      </c>
      <c r="F88" s="3480" t="s">
        <v>3467</v>
      </c>
      <c r="G88" s="3480" t="s">
        <v>3468</v>
      </c>
      <c r="H88" s="3480" t="s">
        <v>3469</v>
      </c>
      <c r="I88" s="3481" t="s">
        <v>3470</v>
      </c>
      <c r="J88" s="3481" t="s">
        <v>3471</v>
      </c>
      <c r="K88" s="3480" t="s">
        <v>3472</v>
      </c>
      <c r="L88" s="3480" t="s">
        <v>3473</v>
      </c>
      <c r="M88" s="530"/>
      <c r="N88" s="932"/>
      <c r="O88" s="932"/>
      <c r="P88" s="1918"/>
      <c r="Q88" s="453"/>
    </row>
    <row r="89" spans="1:17" s="108" customFormat="1" ht="15.75" thickBot="1">
      <c r="A89" s="528"/>
      <c r="B89" s="492"/>
      <c r="C89" s="531">
        <v>100</v>
      </c>
      <c r="D89" s="493">
        <f t="shared" ref="D89:M89" si="37">C89-$K26</f>
        <v>99.5</v>
      </c>
      <c r="E89" s="493">
        <f t="shared" si="37"/>
        <v>99</v>
      </c>
      <c r="F89" s="493">
        <f t="shared" si="37"/>
        <v>98.5</v>
      </c>
      <c r="G89" s="493">
        <f t="shared" si="37"/>
        <v>98</v>
      </c>
      <c r="H89" s="493">
        <f t="shared" si="37"/>
        <v>97.5</v>
      </c>
      <c r="I89" s="493">
        <f t="shared" si="37"/>
        <v>97</v>
      </c>
      <c r="J89" s="493">
        <f t="shared" si="37"/>
        <v>96.5</v>
      </c>
      <c r="K89" s="493">
        <f t="shared" si="37"/>
        <v>96</v>
      </c>
      <c r="L89" s="493">
        <f t="shared" si="37"/>
        <v>95.5</v>
      </c>
      <c r="M89" s="493">
        <f t="shared" si="37"/>
        <v>95</v>
      </c>
      <c r="N89" s="934"/>
      <c r="O89" s="934"/>
      <c r="P89" s="1918"/>
      <c r="Q89" s="453"/>
    </row>
    <row r="90" spans="1:17" s="422" customFormat="1" ht="28.5" thickTop="1">
      <c r="A90" s="502"/>
      <c r="B90" s="487" t="str">
        <f>B27</f>
        <v>楼层</v>
      </c>
      <c r="C90" s="3447" t="s">
        <v>3477</v>
      </c>
      <c r="D90" s="503" t="s">
        <v>3475</v>
      </c>
      <c r="E90" s="503" t="s">
        <v>3476</v>
      </c>
      <c r="F90" s="532" t="s">
        <v>3480</v>
      </c>
      <c r="G90" s="503"/>
      <c r="H90" s="504"/>
      <c r="I90" s="504"/>
      <c r="J90" s="504"/>
      <c r="K90" s="504"/>
      <c r="L90" s="505"/>
      <c r="M90" s="506"/>
      <c r="N90" s="935"/>
      <c r="O90" s="935"/>
      <c r="P90" s="1919"/>
      <c r="Q90" s="508"/>
    </row>
    <row r="91" spans="1:17" s="422" customFormat="1" ht="15.75" thickBot="1">
      <c r="A91" s="502"/>
      <c r="B91" s="492"/>
      <c r="C91" s="509">
        <v>98</v>
      </c>
      <c r="D91" s="509">
        <v>101</v>
      </c>
      <c r="E91" s="509">
        <f>C91</f>
        <v>98</v>
      </c>
      <c r="F91" s="509">
        <v>102</v>
      </c>
      <c r="G91" s="509"/>
      <c r="H91" s="511"/>
      <c r="I91" s="511"/>
      <c r="J91" s="511"/>
      <c r="K91" s="511"/>
      <c r="L91" s="511"/>
      <c r="M91" s="512"/>
      <c r="N91" s="935"/>
      <c r="O91" s="935"/>
      <c r="P91" s="1919"/>
      <c r="Q91" s="508"/>
    </row>
    <row r="92" spans="1:17" ht="15.75" thickTop="1">
      <c r="A92" s="483"/>
      <c r="B92" s="487" t="str">
        <f>B28</f>
        <v>道路级别</v>
      </c>
      <c r="C92" s="3447" t="s">
        <v>3487</v>
      </c>
      <c r="D92" s="3447" t="s">
        <v>3486</v>
      </c>
      <c r="E92" s="3447"/>
      <c r="F92" s="503"/>
      <c r="G92" s="532"/>
      <c r="H92" s="532"/>
      <c r="I92" s="532"/>
      <c r="J92" s="532"/>
      <c r="K92" s="533"/>
      <c r="L92" s="534"/>
      <c r="M92" s="535"/>
      <c r="N92" s="933"/>
      <c r="O92" s="933"/>
      <c r="P92" s="1918"/>
      <c r="Q92" s="453"/>
    </row>
    <row r="93" spans="1:17" ht="15.75" thickBot="1">
      <c r="A93" s="483"/>
      <c r="B93" s="492"/>
      <c r="C93" s="509">
        <v>100</v>
      </c>
      <c r="D93" s="485">
        <v>99.5</v>
      </c>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54" t="s">
        <v>3483</v>
      </c>
      <c r="D100" s="3454" t="s">
        <v>3484</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99</v>
      </c>
      <c r="E101" s="493">
        <f t="shared" si="38"/>
        <v>98</v>
      </c>
      <c r="F101" s="493">
        <f t="shared" si="38"/>
        <v>97</v>
      </c>
      <c r="G101" s="493">
        <f t="shared" si="38"/>
        <v>96</v>
      </c>
      <c r="H101" s="493">
        <f t="shared" si="38"/>
        <v>95</v>
      </c>
      <c r="I101" s="493">
        <f t="shared" si="38"/>
        <v>94</v>
      </c>
      <c r="J101" s="493">
        <f t="shared" si="38"/>
        <v>93</v>
      </c>
      <c r="K101" s="493">
        <f t="shared" si="38"/>
        <v>92</v>
      </c>
      <c r="L101" s="493">
        <f t="shared" si="38"/>
        <v>91</v>
      </c>
      <c r="M101" s="493">
        <f t="shared" si="38"/>
        <v>90</v>
      </c>
      <c r="N101" s="934"/>
      <c r="O101" s="934"/>
      <c r="P101" s="1918"/>
      <c r="Q101" s="453"/>
    </row>
    <row r="102" spans="1:17" ht="15.75" thickTop="1">
      <c r="A102" s="483"/>
      <c r="B102" s="487" t="s">
        <v>1737</v>
      </c>
      <c r="C102" s="527" t="str">
        <f>C103&amp;"(含)"&amp;"-"&amp;D103</f>
        <v>0(含)-100</v>
      </c>
      <c r="D102" s="527" t="str">
        <f t="shared" ref="D102:L102" si="39">D103&amp;"(含)"&amp;"-"&amp;E103</f>
        <v>100(含)-150</v>
      </c>
      <c r="E102" s="527" t="str">
        <f t="shared" si="39"/>
        <v>150(含)-200</v>
      </c>
      <c r="F102" s="527" t="str">
        <f t="shared" si="39"/>
        <v>200(含)-250</v>
      </c>
      <c r="G102" s="527" t="str">
        <f t="shared" si="39"/>
        <v>250(含)-300</v>
      </c>
      <c r="H102" s="527" t="str">
        <f t="shared" si="39"/>
        <v>300(含)-350</v>
      </c>
      <c r="I102" s="527" t="str">
        <f t="shared" si="39"/>
        <v>350(含)-400</v>
      </c>
      <c r="J102" s="527" t="str">
        <f t="shared" si="39"/>
        <v>400(含)-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v>300</v>
      </c>
      <c r="I103" s="544">
        <v>350</v>
      </c>
      <c r="J103" s="545">
        <v>400</v>
      </c>
      <c r="K103" s="545"/>
      <c r="L103" s="546"/>
      <c r="M103" s="547"/>
      <c r="N103" s="935"/>
      <c r="O103" s="935"/>
      <c r="P103" s="1919"/>
      <c r="Q103" s="508"/>
    </row>
    <row r="104" spans="1:17" s="422" customFormat="1" ht="15.75" thickBot="1">
      <c r="A104" s="502"/>
      <c r="B104" s="492"/>
      <c r="C104" s="509">
        <v>100</v>
      </c>
      <c r="D104" s="485">
        <v>99</v>
      </c>
      <c r="E104" s="485">
        <v>98</v>
      </c>
      <c r="F104" s="485">
        <v>97</v>
      </c>
      <c r="G104" s="485">
        <v>96</v>
      </c>
      <c r="H104" s="485">
        <v>95</v>
      </c>
      <c r="I104" s="485">
        <v>94</v>
      </c>
      <c r="J104" s="485">
        <v>93</v>
      </c>
      <c r="K104" s="485"/>
      <c r="L104" s="485"/>
      <c r="M104" s="485"/>
      <c r="N104" s="934"/>
      <c r="O104" s="934"/>
      <c r="P104" s="1919"/>
      <c r="Q104" s="508"/>
    </row>
    <row r="105" spans="1:17" ht="15" thickTop="1">
      <c r="A105" s="548"/>
      <c r="B105" s="487" t="s">
        <v>1738</v>
      </c>
      <c r="C105" s="3447" t="s">
        <v>3417</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82" t="s">
        <v>1721</v>
      </c>
      <c r="D107" s="3482" t="s">
        <v>1722</v>
      </c>
      <c r="E107" s="3482" t="s">
        <v>1723</v>
      </c>
      <c r="F107" s="3482" t="s">
        <v>1724</v>
      </c>
      <c r="G107" s="3482" t="s">
        <v>1725</v>
      </c>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47" t="s">
        <v>3418</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47" t="s">
        <v>3420</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47" t="s">
        <v>3421</v>
      </c>
      <c r="D116" s="3447" t="s">
        <v>3422</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55" t="s">
        <v>3424</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47" t="s">
        <v>3425</v>
      </c>
      <c r="D122" s="3447" t="s">
        <v>3426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98</v>
      </c>
      <c r="E123" s="493">
        <f t="shared" si="45"/>
        <v>96</v>
      </c>
      <c r="F123" s="493">
        <f t="shared" si="45"/>
        <v>94</v>
      </c>
      <c r="G123" s="493">
        <f t="shared" si="45"/>
        <v>92</v>
      </c>
      <c r="H123" s="493">
        <f t="shared" si="45"/>
        <v>90</v>
      </c>
      <c r="I123" s="493">
        <f t="shared" si="45"/>
        <v>88</v>
      </c>
      <c r="J123" s="493">
        <f t="shared" si="45"/>
        <v>86</v>
      </c>
      <c r="K123" s="493">
        <f t="shared" si="45"/>
        <v>84</v>
      </c>
      <c r="L123" s="493">
        <f t="shared" si="45"/>
        <v>82</v>
      </c>
      <c r="M123" s="493">
        <f t="shared" si="45"/>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单元类型</v>
      </c>
      <c r="C126" s="3447" t="s">
        <v>3489</v>
      </c>
      <c r="D126" s="3447" t="s">
        <v>3490</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106</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289.64</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30"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30"/>
      <c r="AC5" s="3712"/>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30"/>
      <c r="AC6" s="3713"/>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10"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10"/>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10"/>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0"/>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0"/>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0"/>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08" t="s">
        <v>1691</v>
      </c>
      <c r="Q15" s="1351" t="str">
        <f t="shared" si="6"/>
        <v>商业繁华度</v>
      </c>
      <c r="R15" s="705" t="s">
        <v>14</v>
      </c>
      <c r="S15" s="706">
        <f t="shared" si="0"/>
        <v>100</v>
      </c>
      <c r="T15" s="705" t="s">
        <v>14</v>
      </c>
      <c r="U15" s="706">
        <f t="shared" si="1"/>
        <v>100</v>
      </c>
      <c r="V15" s="705" t="s">
        <v>14</v>
      </c>
      <c r="W15" s="706">
        <f t="shared" si="2"/>
        <v>100</v>
      </c>
      <c r="X15" s="1354"/>
      <c r="Y15" s="370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09"/>
      <c r="Q16" s="1351"/>
      <c r="R16" s="705"/>
      <c r="S16" s="706"/>
      <c r="T16" s="705"/>
      <c r="U16" s="706"/>
      <c r="V16" s="705"/>
      <c r="W16" s="706"/>
      <c r="X16" s="1354"/>
      <c r="Y16" s="3702"/>
      <c r="Z16" s="1355"/>
      <c r="AA16" s="1352">
        <v>1</v>
      </c>
      <c r="AB16" s="1352">
        <v>1</v>
      </c>
      <c r="AC16" s="1352">
        <v>1</v>
      </c>
    </row>
    <row r="17" spans="1:29" ht="99.75">
      <c r="A17" s="379"/>
      <c r="B17" s="402" t="s">
        <v>1259</v>
      </c>
      <c r="C17" s="1898" t="str">
        <f>估价对象房地状况!C6</f>
        <v>周边有3路、24路、110路、117路、120路等多条公交线路及地铁10号线农业展览馆站，综合评价交通便捷度较好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09"/>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09"/>
      <c r="Q18" s="1351"/>
      <c r="R18" s="705"/>
      <c r="S18" s="706"/>
      <c r="T18" s="705"/>
      <c r="U18" s="706"/>
      <c r="V18" s="705"/>
      <c r="W18" s="706"/>
      <c r="X18" s="1354"/>
      <c r="Y18" s="3702"/>
      <c r="Z18" s="1355"/>
      <c r="AA18" s="1352">
        <v>1</v>
      </c>
      <c r="AB18" s="1352">
        <v>1</v>
      </c>
      <c r="AC18" s="1352">
        <v>1</v>
      </c>
    </row>
    <row r="19" spans="1:29" ht="342">
      <c r="A19" s="379"/>
      <c r="B19" s="402" t="s">
        <v>1778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09"/>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09"/>
      <c r="Q20" s="1351"/>
      <c r="R20" s="705"/>
      <c r="S20" s="706"/>
      <c r="T20" s="705"/>
      <c r="U20" s="706"/>
      <c r="V20" s="705"/>
      <c r="W20" s="706"/>
      <c r="X20" s="1354"/>
      <c r="Y20" s="3702"/>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09"/>
      <c r="Q22" s="1351"/>
      <c r="R22" s="705"/>
      <c r="S22" s="706"/>
      <c r="T22" s="705"/>
      <c r="U22" s="706"/>
      <c r="V22" s="705"/>
      <c r="W22" s="706"/>
      <c r="X22" s="1354"/>
      <c r="Y22" s="3702"/>
      <c r="Z22" s="1355"/>
      <c r="AA22" s="1352">
        <v>1</v>
      </c>
      <c r="AB22" s="1352">
        <v>1</v>
      </c>
      <c r="AC22" s="1352">
        <v>1</v>
      </c>
    </row>
    <row r="23" spans="1:29" ht="128.25">
      <c r="A23" s="379"/>
      <c r="B23" s="402" t="s">
        <v>1261</v>
      </c>
      <c r="C23" s="1951" t="str">
        <f>估价对象房地状况!C9</f>
        <v>自然环境：亮马河等自然水系景观；
人文环境：北京工人体育场、全国农业展览馆等人文场所；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09"/>
      <c r="Q23" s="1351" t="str">
        <f>B23</f>
        <v>自然及人文环境</v>
      </c>
      <c r="R23" s="705" t="s">
        <v>14</v>
      </c>
      <c r="S23" s="706">
        <f>F23</f>
        <v>100</v>
      </c>
      <c r="T23" s="705" t="s">
        <v>14</v>
      </c>
      <c r="U23" s="706">
        <f>H23</f>
        <v>100</v>
      </c>
      <c r="V23" s="705" t="s">
        <v>14</v>
      </c>
      <c r="W23" s="706">
        <f>J23</f>
        <v>100</v>
      </c>
      <c r="X23" s="1354"/>
      <c r="Y23" s="370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09"/>
      <c r="Q24" s="1351"/>
      <c r="R24" s="705"/>
      <c r="S24" s="706"/>
      <c r="T24" s="705"/>
      <c r="U24" s="706"/>
      <c r="V24" s="705"/>
      <c r="W24" s="706"/>
      <c r="X24" s="1354"/>
      <c r="Y24" s="370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09"/>
      <c r="Q25" s="1351" t="str">
        <f t="shared" ref="Q25:Q46" si="11">B25</f>
        <v>临街状况</v>
      </c>
      <c r="R25" s="705" t="s">
        <v>14</v>
      </c>
      <c r="S25" s="706">
        <f>F25</f>
        <v>100</v>
      </c>
      <c r="T25" s="705" t="s">
        <v>14</v>
      </c>
      <c r="U25" s="706">
        <f>H25</f>
        <v>100</v>
      </c>
      <c r="V25" s="705" t="s">
        <v>14</v>
      </c>
      <c r="W25" s="706">
        <f>J25</f>
        <v>100</v>
      </c>
      <c r="X25" s="1354"/>
      <c r="Y25" s="370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9"/>
      <c r="Q26" s="1351" t="str">
        <f t="shared" si="11"/>
        <v>平面位置/可视性</v>
      </c>
      <c r="R26" s="705" t="s">
        <v>14</v>
      </c>
      <c r="S26" s="706">
        <f>F26</f>
        <v>100</v>
      </c>
      <c r="T26" s="705" t="s">
        <v>14</v>
      </c>
      <c r="U26" s="706">
        <f>H26</f>
        <v>100</v>
      </c>
      <c r="V26" s="705" t="s">
        <v>14</v>
      </c>
      <c r="W26" s="706">
        <f>J26</f>
        <v>100</v>
      </c>
      <c r="X26" s="1354"/>
      <c r="Y26" s="3702"/>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09"/>
      <c r="Q27" s="1342" t="str">
        <f t="shared" si="11"/>
        <v>人流量</v>
      </c>
      <c r="R27" s="701" t="s">
        <v>14</v>
      </c>
      <c r="S27" s="702">
        <f>F27</f>
        <v>100</v>
      </c>
      <c r="T27" s="701" t="s">
        <v>14</v>
      </c>
      <c r="U27" s="702">
        <f>H27</f>
        <v>100</v>
      </c>
      <c r="V27" s="701" t="s">
        <v>14</v>
      </c>
      <c r="W27" s="702">
        <f>J27</f>
        <v>100</v>
      </c>
      <c r="X27" s="703"/>
      <c r="Y27" s="370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9"/>
      <c r="Q29" s="1351">
        <f t="shared" si="11"/>
        <v>111</v>
      </c>
      <c r="R29" s="705" t="s">
        <v>14</v>
      </c>
      <c r="S29" s="706">
        <f t="shared" si="12"/>
        <v>100</v>
      </c>
      <c r="T29" s="705" t="s">
        <v>14</v>
      </c>
      <c r="U29" s="706">
        <f t="shared" si="13"/>
        <v>100</v>
      </c>
      <c r="V29" s="705" t="s">
        <v>14</v>
      </c>
      <c r="W29" s="706">
        <f t="shared" si="14"/>
        <v>100</v>
      </c>
      <c r="X29" s="1354"/>
      <c r="Y29" s="370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9"/>
      <c r="Q30" s="1351">
        <f t="shared" si="11"/>
        <v>111</v>
      </c>
      <c r="R30" s="705" t="s">
        <v>14</v>
      </c>
      <c r="S30" s="706">
        <f t="shared" si="12"/>
        <v>100</v>
      </c>
      <c r="T30" s="705" t="s">
        <v>14</v>
      </c>
      <c r="U30" s="706">
        <f t="shared" si="13"/>
        <v>100</v>
      </c>
      <c r="V30" s="705" t="s">
        <v>14</v>
      </c>
      <c r="W30" s="706">
        <f t="shared" si="14"/>
        <v>100</v>
      </c>
      <c r="X30" s="1354"/>
      <c r="Y30" s="370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9"/>
      <c r="Q31" s="1351">
        <f t="shared" si="11"/>
        <v>111</v>
      </c>
      <c r="R31" s="705" t="s">
        <v>14</v>
      </c>
      <c r="S31" s="706">
        <f t="shared" si="12"/>
        <v>100</v>
      </c>
      <c r="T31" s="705" t="s">
        <v>14</v>
      </c>
      <c r="U31" s="706">
        <f t="shared" si="13"/>
        <v>100</v>
      </c>
      <c r="V31" s="705" t="s">
        <v>14</v>
      </c>
      <c r="W31" s="706">
        <f t="shared" si="14"/>
        <v>100</v>
      </c>
      <c r="X31" s="1354"/>
      <c r="Y31" s="3702"/>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03" t="s">
        <v>1696</v>
      </c>
      <c r="Q32" s="1351" t="str">
        <f t="shared" si="11"/>
        <v>商业类型</v>
      </c>
      <c r="R32" s="705" t="s">
        <v>14</v>
      </c>
      <c r="S32" s="706">
        <f t="shared" si="12"/>
        <v>100</v>
      </c>
      <c r="T32" s="705" t="s">
        <v>14</v>
      </c>
      <c r="U32" s="706">
        <f t="shared" si="13"/>
        <v>100</v>
      </c>
      <c r="V32" s="705" t="s">
        <v>14</v>
      </c>
      <c r="W32" s="706">
        <f t="shared" si="14"/>
        <v>100</v>
      </c>
      <c r="X32" s="1354"/>
      <c r="Y32" s="370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04"/>
      <c r="Q34" s="1351" t="str">
        <f t="shared" si="11"/>
        <v>建筑结构</v>
      </c>
      <c r="R34" s="705" t="s">
        <v>14</v>
      </c>
      <c r="S34" s="706">
        <f t="shared" si="12"/>
        <v>100</v>
      </c>
      <c r="T34" s="705" t="s">
        <v>14</v>
      </c>
      <c r="U34" s="706">
        <f t="shared" si="13"/>
        <v>100</v>
      </c>
      <c r="V34" s="705" t="s">
        <v>14</v>
      </c>
      <c r="W34" s="706">
        <f t="shared" si="14"/>
        <v>100</v>
      </c>
      <c r="X34" s="1354"/>
      <c r="Y34" s="3706"/>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04"/>
      <c r="Q35" s="1351" t="str">
        <f t="shared" si="11"/>
        <v>公共部分装修</v>
      </c>
      <c r="R35" s="705" t="s">
        <v>14</v>
      </c>
      <c r="S35" s="706">
        <f t="shared" si="12"/>
        <v>100</v>
      </c>
      <c r="T35" s="705" t="s">
        <v>14</v>
      </c>
      <c r="U35" s="706">
        <f t="shared" si="13"/>
        <v>100</v>
      </c>
      <c r="V35" s="705" t="s">
        <v>14</v>
      </c>
      <c r="W35" s="706">
        <f t="shared" si="14"/>
        <v>100</v>
      </c>
      <c r="X35" s="1354"/>
      <c r="Y35" s="370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4"/>
      <c r="Q36" s="1351" t="str">
        <f t="shared" si="11"/>
        <v>成新度</v>
      </c>
      <c r="R36" s="705" t="s">
        <v>14</v>
      </c>
      <c r="S36" s="706" t="e">
        <f t="shared" si="12"/>
        <v>#N/A</v>
      </c>
      <c r="T36" s="705" t="s">
        <v>14</v>
      </c>
      <c r="U36" s="706" t="e">
        <f t="shared" si="13"/>
        <v>#N/A</v>
      </c>
      <c r="V36" s="705" t="s">
        <v>14</v>
      </c>
      <c r="W36" s="706"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04"/>
      <c r="Q37" s="1342"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04" t="s">
        <v>1696</v>
      </c>
      <c r="Q38" s="1351" t="str">
        <f t="shared" si="11"/>
        <v>业态</v>
      </c>
      <c r="R38" s="705" t="s">
        <v>14</v>
      </c>
      <c r="S38" s="706">
        <f t="shared" si="12"/>
        <v>100</v>
      </c>
      <c r="T38" s="705" t="s">
        <v>14</v>
      </c>
      <c r="U38" s="706">
        <f t="shared" si="13"/>
        <v>100</v>
      </c>
      <c r="V38" s="705" t="s">
        <v>14</v>
      </c>
      <c r="W38" s="706">
        <f t="shared" si="14"/>
        <v>100</v>
      </c>
      <c r="X38" s="1354"/>
      <c r="Y38" s="3706"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04"/>
      <c r="Q39" s="1351" t="str">
        <f t="shared" si="11"/>
        <v>层高</v>
      </c>
      <c r="R39" s="705" t="s">
        <v>14</v>
      </c>
      <c r="S39" s="706">
        <f t="shared" si="12"/>
        <v>100</v>
      </c>
      <c r="T39" s="705" t="s">
        <v>14</v>
      </c>
      <c r="U39" s="706">
        <f t="shared" si="13"/>
        <v>100</v>
      </c>
      <c r="V39" s="705" t="s">
        <v>14</v>
      </c>
      <c r="W39" s="706">
        <f t="shared" si="14"/>
        <v>100</v>
      </c>
      <c r="X39" s="1354"/>
      <c r="Y39" s="370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4"/>
      <c r="Q40" s="1351" t="str">
        <f t="shared" si="11"/>
        <v>单套建筑面积</v>
      </c>
      <c r="R40" s="705" t="s">
        <v>14</v>
      </c>
      <c r="S40" s="706">
        <f t="shared" si="12"/>
        <v>100</v>
      </c>
      <c r="T40" s="705" t="s">
        <v>14</v>
      </c>
      <c r="U40" s="706">
        <f t="shared" si="13"/>
        <v>100</v>
      </c>
      <c r="V40" s="705" t="s">
        <v>14</v>
      </c>
      <c r="W40" s="706">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04"/>
      <c r="Q42" s="1351" t="str">
        <f t="shared" si="11"/>
        <v>内部装修</v>
      </c>
      <c r="R42" s="705" t="s">
        <v>14</v>
      </c>
      <c r="S42" s="706">
        <f t="shared" si="12"/>
        <v>100</v>
      </c>
      <c r="T42" s="705" t="s">
        <v>14</v>
      </c>
      <c r="U42" s="706">
        <f t="shared" si="13"/>
        <v>100</v>
      </c>
      <c r="V42" s="705" t="s">
        <v>14</v>
      </c>
      <c r="W42" s="706">
        <f t="shared" si="14"/>
        <v>100</v>
      </c>
      <c r="X42" s="1354"/>
      <c r="Y42" s="3706"/>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04"/>
      <c r="Q43" s="1351" t="str">
        <f t="shared" si="11"/>
        <v>内部装修维护情况</v>
      </c>
      <c r="R43" s="705" t="s">
        <v>14</v>
      </c>
      <c r="S43" s="706">
        <f t="shared" si="12"/>
        <v>100</v>
      </c>
      <c r="T43" s="705" t="s">
        <v>14</v>
      </c>
      <c r="U43" s="706">
        <f t="shared" si="13"/>
        <v>100</v>
      </c>
      <c r="V43" s="705" t="s">
        <v>14</v>
      </c>
      <c r="W43" s="706">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4"/>
      <c r="Q44" s="1342">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4"/>
      <c r="Q45" s="1351">
        <f t="shared" si="11"/>
        <v>111</v>
      </c>
      <c r="R45" s="705" t="s">
        <v>14</v>
      </c>
      <c r="S45" s="706">
        <f t="shared" si="12"/>
        <v>100</v>
      </c>
      <c r="T45" s="705" t="s">
        <v>14</v>
      </c>
      <c r="U45" s="706">
        <f t="shared" si="13"/>
        <v>100</v>
      </c>
      <c r="V45" s="705" t="s">
        <v>14</v>
      </c>
      <c r="W45" s="706">
        <f t="shared" si="14"/>
        <v>100</v>
      </c>
      <c r="X45" s="1354"/>
      <c r="Y45" s="3706"/>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5"/>
      <c r="Q46" s="1351">
        <f t="shared" si="11"/>
        <v>111</v>
      </c>
      <c r="R46" s="705" t="s">
        <v>14</v>
      </c>
      <c r="S46" s="706">
        <f t="shared" si="12"/>
        <v>100</v>
      </c>
      <c r="T46" s="705" t="s">
        <v>14</v>
      </c>
      <c r="U46" s="706">
        <f t="shared" si="13"/>
        <v>100</v>
      </c>
      <c r="V46" s="705" t="s">
        <v>14</v>
      </c>
      <c r="W46" s="706">
        <f t="shared" si="14"/>
        <v>100</v>
      </c>
      <c r="X46" s="1354"/>
      <c r="Y46" s="370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699" t="str">
        <f>A47</f>
        <v>成交单价（元/平方米）</v>
      </c>
      <c r="Q47" s="3699"/>
      <c r="R47" s="3730">
        <f>E47</f>
        <v>0</v>
      </c>
      <c r="S47" s="3730"/>
      <c r="T47" s="3730">
        <f>G47</f>
        <v>0</v>
      </c>
      <c r="U47" s="3730"/>
      <c r="V47" s="3730">
        <f>I47</f>
        <v>0</v>
      </c>
      <c r="W47" s="3730"/>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289.64</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49" t="s">
        <v>1775</v>
      </c>
      <c r="Q4" s="3750"/>
      <c r="R4" s="3753" t="s">
        <v>1771</v>
      </c>
      <c r="S4" s="3754"/>
      <c r="T4" s="3753" t="s">
        <v>1772</v>
      </c>
      <c r="U4" s="3754"/>
      <c r="V4" s="3755" t="s">
        <v>1773</v>
      </c>
      <c r="W4" s="3755"/>
      <c r="X4" s="1954"/>
      <c r="Y4" s="3753" t="s">
        <v>1775</v>
      </c>
      <c r="Z4" s="3754"/>
      <c r="AA4" s="3757" t="s">
        <v>1771</v>
      </c>
      <c r="AB4" s="3757" t="s">
        <v>1772</v>
      </c>
      <c r="AC4" s="3746" t="s">
        <v>1773</v>
      </c>
    </row>
    <row r="5" spans="1:29" ht="15">
      <c r="A5" s="358"/>
      <c r="B5" s="359"/>
      <c r="C5" s="3733" t="s">
        <v>1673</v>
      </c>
      <c r="D5" s="3734"/>
      <c r="E5" s="3741" t="s">
        <v>1674</v>
      </c>
      <c r="F5" s="3742"/>
      <c r="G5" s="3733" t="s">
        <v>1675</v>
      </c>
      <c r="H5" s="3734"/>
      <c r="I5" s="3733" t="s">
        <v>1676</v>
      </c>
      <c r="J5" s="3734"/>
      <c r="K5" s="559"/>
      <c r="L5" s="2710"/>
      <c r="M5" s="2711"/>
      <c r="N5" s="2711"/>
      <c r="O5" s="2711"/>
      <c r="P5" s="3751"/>
      <c r="Q5" s="3721"/>
      <c r="R5" s="3726"/>
      <c r="S5" s="3727"/>
      <c r="T5" s="3726"/>
      <c r="U5" s="3727"/>
      <c r="V5" s="3730"/>
      <c r="W5" s="3730"/>
      <c r="X5" s="1354"/>
      <c r="Y5" s="3726"/>
      <c r="Z5" s="3727"/>
      <c r="AA5" s="3712"/>
      <c r="AB5" s="3712"/>
      <c r="AC5" s="3747"/>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52"/>
      <c r="Q6" s="3723"/>
      <c r="R6" s="3726"/>
      <c r="S6" s="3727"/>
      <c r="T6" s="3728"/>
      <c r="U6" s="3729"/>
      <c r="V6" s="3730"/>
      <c r="W6" s="3730"/>
      <c r="X6" s="1354"/>
      <c r="Y6" s="3728"/>
      <c r="Z6" s="3729"/>
      <c r="AA6" s="3713"/>
      <c r="AB6" s="3713"/>
      <c r="AC6" s="3748"/>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6"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6"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10"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10"/>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0"/>
      <c r="Q11" s="1342"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10"/>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10"/>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10"/>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8" t="s">
        <v>1691</v>
      </c>
      <c r="Q15" s="1351" t="str">
        <f t="shared" si="6"/>
        <v>办公集聚程度</v>
      </c>
      <c r="R15" s="705" t="s">
        <v>14</v>
      </c>
      <c r="S15" s="706">
        <f t="shared" si="0"/>
        <v>100</v>
      </c>
      <c r="T15" s="705" t="s">
        <v>14</v>
      </c>
      <c r="U15" s="706">
        <f t="shared" si="1"/>
        <v>100</v>
      </c>
      <c r="V15" s="705" t="s">
        <v>14</v>
      </c>
      <c r="W15" s="706">
        <f t="shared" si="2"/>
        <v>100</v>
      </c>
      <c r="X15" s="1354"/>
      <c r="Y15" s="3701"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09"/>
      <c r="Q16" s="1351"/>
      <c r="R16" s="705"/>
      <c r="S16" s="706"/>
      <c r="T16" s="705"/>
      <c r="U16" s="706"/>
      <c r="V16" s="705"/>
      <c r="W16" s="706"/>
      <c r="X16" s="1354"/>
      <c r="Y16" s="3702"/>
      <c r="Z16" s="1355"/>
      <c r="AA16" s="1352">
        <v>1</v>
      </c>
      <c r="AB16" s="1352">
        <v>1</v>
      </c>
      <c r="AC16" s="1958">
        <v>1</v>
      </c>
    </row>
    <row r="17" spans="1:29" ht="99.75">
      <c r="A17" s="379"/>
      <c r="B17" s="579" t="s">
        <v>1259</v>
      </c>
      <c r="C17" s="1959" t="str">
        <f>估价对象房地状况!C6</f>
        <v>周边有3路、24路、110路、117路、120路等多条公交线路及地铁10号线农业展览馆站，综合评价交通便捷度较好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9"/>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09"/>
      <c r="Q18" s="1351"/>
      <c r="R18" s="705"/>
      <c r="S18" s="706"/>
      <c r="T18" s="705"/>
      <c r="U18" s="706"/>
      <c r="V18" s="705"/>
      <c r="W18" s="706"/>
      <c r="X18" s="1354"/>
      <c r="Y18" s="3702"/>
      <c r="Z18" s="1355"/>
      <c r="AA18" s="1352">
        <v>1</v>
      </c>
      <c r="AB18" s="1352">
        <v>1</v>
      </c>
      <c r="AC18" s="1958">
        <v>1</v>
      </c>
    </row>
    <row r="19" spans="1:29" ht="299.25">
      <c r="A19" s="379"/>
      <c r="B19" s="579" t="s">
        <v>1812</v>
      </c>
      <c r="C19" s="1959"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9"/>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09"/>
      <c r="Q20" s="1351"/>
      <c r="R20" s="705"/>
      <c r="S20" s="706"/>
      <c r="T20" s="705"/>
      <c r="U20" s="706"/>
      <c r="V20" s="705"/>
      <c r="W20" s="706"/>
      <c r="X20" s="1354"/>
      <c r="Y20" s="3702"/>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09"/>
      <c r="Q22" s="1351"/>
      <c r="R22" s="705"/>
      <c r="S22" s="706"/>
      <c r="T22" s="705"/>
      <c r="U22" s="706"/>
      <c r="V22" s="705"/>
      <c r="W22" s="706"/>
      <c r="X22" s="1354"/>
      <c r="Y22" s="3702"/>
      <c r="Z22" s="1355"/>
      <c r="AA22" s="1352">
        <v>1</v>
      </c>
      <c r="AB22" s="1352">
        <v>1</v>
      </c>
      <c r="AC22" s="1958">
        <v>1</v>
      </c>
    </row>
    <row r="23" spans="1:29" ht="114">
      <c r="A23" s="379"/>
      <c r="B23" s="579" t="s">
        <v>1814</v>
      </c>
      <c r="C23" s="1959" t="str">
        <f>估价对象房地状况!C9</f>
        <v>自然环境：亮马河等自然水系景观；
人文环境：北京工人体育场、全国农业展览馆等人文场所；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9"/>
      <c r="Q23" s="1351" t="str">
        <f>B23</f>
        <v>环境质量</v>
      </c>
      <c r="R23" s="705" t="s">
        <v>14</v>
      </c>
      <c r="S23" s="706">
        <f>F23</f>
        <v>100</v>
      </c>
      <c r="T23" s="705" t="s">
        <v>14</v>
      </c>
      <c r="U23" s="706">
        <f>H23</f>
        <v>100</v>
      </c>
      <c r="V23" s="705" t="s">
        <v>14</v>
      </c>
      <c r="W23" s="706">
        <f>J23</f>
        <v>100</v>
      </c>
      <c r="X23" s="1354"/>
      <c r="Y23" s="3702"/>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09"/>
      <c r="Q24" s="1351"/>
      <c r="R24" s="705"/>
      <c r="S24" s="706"/>
      <c r="T24" s="705"/>
      <c r="U24" s="706"/>
      <c r="V24" s="705"/>
      <c r="W24" s="706"/>
      <c r="X24" s="1354"/>
      <c r="Y24" s="3702"/>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09"/>
      <c r="Q25" s="1351" t="str">
        <f>B25</f>
        <v>毗邻道路的类型与等级</v>
      </c>
      <c r="R25" s="705" t="s">
        <v>14</v>
      </c>
      <c r="S25" s="706">
        <f>F25</f>
        <v>100</v>
      </c>
      <c r="T25" s="705" t="s">
        <v>14</v>
      </c>
      <c r="U25" s="706">
        <f>H25</f>
        <v>100</v>
      </c>
      <c r="V25" s="705" t="s">
        <v>14</v>
      </c>
      <c r="W25" s="706">
        <f>J25</f>
        <v>100</v>
      </c>
      <c r="X25" s="1354"/>
      <c r="Y25" s="3702"/>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09"/>
      <c r="Q26" s="1351"/>
      <c r="R26" s="705"/>
      <c r="S26" s="706"/>
      <c r="T26" s="705"/>
      <c r="U26" s="706"/>
      <c r="V26" s="705"/>
      <c r="W26" s="706"/>
      <c r="X26" s="1354"/>
      <c r="Y26" s="3702"/>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9"/>
      <c r="Q27" s="1351" t="str">
        <f t="shared" ref="Q27:Q47" si="11">B27</f>
        <v>楼层</v>
      </c>
      <c r="R27" s="705" t="s">
        <v>14</v>
      </c>
      <c r="S27" s="706">
        <f>F27</f>
        <v>100</v>
      </c>
      <c r="T27" s="705" t="s">
        <v>14</v>
      </c>
      <c r="U27" s="706">
        <f>H27</f>
        <v>100</v>
      </c>
      <c r="V27" s="705" t="s">
        <v>14</v>
      </c>
      <c r="W27" s="706">
        <f>J27</f>
        <v>100</v>
      </c>
      <c r="X27" s="1354"/>
      <c r="Y27" s="3702"/>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09"/>
      <c r="Q28" s="1342" t="str">
        <f t="shared" si="11"/>
        <v>朝向</v>
      </c>
      <c r="R28" s="701" t="s">
        <v>14</v>
      </c>
      <c r="S28" s="702">
        <f>F28</f>
        <v>100</v>
      </c>
      <c r="T28" s="701" t="s">
        <v>14</v>
      </c>
      <c r="U28" s="702">
        <f>H28</f>
        <v>100</v>
      </c>
      <c r="V28" s="701" t="s">
        <v>14</v>
      </c>
      <c r="W28" s="702">
        <f>J28</f>
        <v>100</v>
      </c>
      <c r="X28" s="703"/>
      <c r="Y28" s="3702"/>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09"/>
      <c r="Q29" s="1351">
        <f t="shared" si="11"/>
        <v>111</v>
      </c>
      <c r="R29" s="705" t="s">
        <v>14</v>
      </c>
      <c r="S29" s="706">
        <f t="shared" ref="S29:S47" si="12">F29</f>
        <v>100</v>
      </c>
      <c r="T29" s="705" t="s">
        <v>14</v>
      </c>
      <c r="U29" s="706">
        <f t="shared" ref="U29:U47" si="13">H29</f>
        <v>100</v>
      </c>
      <c r="V29" s="705" t="s">
        <v>14</v>
      </c>
      <c r="W29" s="706">
        <f t="shared" ref="W29:W47" si="14">J29</f>
        <v>100</v>
      </c>
      <c r="X29" s="1354"/>
      <c r="Y29" s="3702"/>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09"/>
      <c r="Q30" s="1351">
        <f t="shared" si="11"/>
        <v>111</v>
      </c>
      <c r="R30" s="705" t="s">
        <v>14</v>
      </c>
      <c r="S30" s="706">
        <f t="shared" si="12"/>
        <v>100</v>
      </c>
      <c r="T30" s="705" t="s">
        <v>14</v>
      </c>
      <c r="U30" s="706">
        <f t="shared" si="13"/>
        <v>100</v>
      </c>
      <c r="V30" s="705" t="s">
        <v>14</v>
      </c>
      <c r="W30" s="706">
        <f t="shared" si="14"/>
        <v>100</v>
      </c>
      <c r="X30" s="1354"/>
      <c r="Y30" s="3702"/>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09"/>
      <c r="Q31" s="1351">
        <f t="shared" si="11"/>
        <v>111</v>
      </c>
      <c r="R31" s="705" t="s">
        <v>14</v>
      </c>
      <c r="S31" s="706">
        <f t="shared" si="12"/>
        <v>100</v>
      </c>
      <c r="T31" s="705" t="s">
        <v>14</v>
      </c>
      <c r="U31" s="706">
        <f t="shared" si="13"/>
        <v>100</v>
      </c>
      <c r="V31" s="705" t="s">
        <v>14</v>
      </c>
      <c r="W31" s="706">
        <f t="shared" si="14"/>
        <v>100</v>
      </c>
      <c r="X31" s="1354"/>
      <c r="Y31" s="3702"/>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09"/>
      <c r="Q32" s="1351">
        <f t="shared" si="11"/>
        <v>111</v>
      </c>
      <c r="R32" s="705" t="s">
        <v>14</v>
      </c>
      <c r="S32" s="706">
        <f t="shared" si="12"/>
        <v>100</v>
      </c>
      <c r="T32" s="705" t="s">
        <v>14</v>
      </c>
      <c r="U32" s="706">
        <f t="shared" si="13"/>
        <v>100</v>
      </c>
      <c r="V32" s="705" t="s">
        <v>14</v>
      </c>
      <c r="W32" s="706">
        <f t="shared" si="14"/>
        <v>100</v>
      </c>
      <c r="X32" s="1354"/>
      <c r="Y32" s="3702"/>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03" t="s">
        <v>1696</v>
      </c>
      <c r="Q33" s="1351" t="str">
        <f t="shared" si="11"/>
        <v>建筑类型</v>
      </c>
      <c r="R33" s="705" t="s">
        <v>14</v>
      </c>
      <c r="S33" s="706">
        <f t="shared" si="12"/>
        <v>100</v>
      </c>
      <c r="T33" s="705" t="s">
        <v>14</v>
      </c>
      <c r="U33" s="706">
        <f t="shared" si="13"/>
        <v>100</v>
      </c>
      <c r="V33" s="705" t="s">
        <v>14</v>
      </c>
      <c r="W33" s="706">
        <f t="shared" si="14"/>
        <v>100</v>
      </c>
      <c r="X33" s="1354"/>
      <c r="Y33" s="3706"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4"/>
      <c r="Q35" s="1351" t="str">
        <f t="shared" si="11"/>
        <v>建筑结构</v>
      </c>
      <c r="R35" s="705" t="s">
        <v>14</v>
      </c>
      <c r="S35" s="706">
        <f t="shared" si="12"/>
        <v>100</v>
      </c>
      <c r="T35" s="705" t="s">
        <v>14</v>
      </c>
      <c r="U35" s="706">
        <f t="shared" si="13"/>
        <v>100</v>
      </c>
      <c r="V35" s="705" t="s">
        <v>14</v>
      </c>
      <c r="W35" s="706">
        <f t="shared" si="14"/>
        <v>100</v>
      </c>
      <c r="X35" s="1354"/>
      <c r="Y35" s="3706"/>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4"/>
      <c r="Q36" s="1351" t="str">
        <f t="shared" si="11"/>
        <v>公共部分装修</v>
      </c>
      <c r="R36" s="705" t="s">
        <v>14</v>
      </c>
      <c r="S36" s="706">
        <f t="shared" si="12"/>
        <v>100</v>
      </c>
      <c r="T36" s="705" t="s">
        <v>14</v>
      </c>
      <c r="U36" s="706">
        <f t="shared" si="13"/>
        <v>100</v>
      </c>
      <c r="V36" s="705" t="s">
        <v>14</v>
      </c>
      <c r="W36" s="706">
        <f t="shared" si="14"/>
        <v>100</v>
      </c>
      <c r="X36" s="1354"/>
      <c r="Y36" s="3706"/>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4"/>
      <c r="Q37" s="1351" t="str">
        <f t="shared" si="11"/>
        <v>成新度</v>
      </c>
      <c r="R37" s="705" t="s">
        <v>14</v>
      </c>
      <c r="S37" s="706" t="e">
        <f t="shared" si="12"/>
        <v>#N/A</v>
      </c>
      <c r="T37" s="705" t="s">
        <v>14</v>
      </c>
      <c r="U37" s="706" t="e">
        <f t="shared" si="13"/>
        <v>#N/A</v>
      </c>
      <c r="V37" s="705" t="s">
        <v>14</v>
      </c>
      <c r="W37" s="706" t="e">
        <f t="shared" si="14"/>
        <v>#N/A</v>
      </c>
      <c r="X37" s="1354"/>
      <c r="Y37" s="3706"/>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4"/>
      <c r="Q38" s="1342"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4" t="s">
        <v>1696</v>
      </c>
      <c r="Q39" s="1351" t="str">
        <f t="shared" si="11"/>
        <v>物业管理</v>
      </c>
      <c r="R39" s="705" t="s">
        <v>14</v>
      </c>
      <c r="S39" s="706">
        <f t="shared" si="12"/>
        <v>100</v>
      </c>
      <c r="T39" s="705" t="s">
        <v>14</v>
      </c>
      <c r="U39" s="706">
        <f t="shared" si="13"/>
        <v>100</v>
      </c>
      <c r="V39" s="705" t="s">
        <v>14</v>
      </c>
      <c r="W39" s="706">
        <f t="shared" si="14"/>
        <v>100</v>
      </c>
      <c r="X39" s="1354"/>
      <c r="Y39" s="3706"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4"/>
      <c r="Q40" s="1351" t="str">
        <f t="shared" si="11"/>
        <v>市政基础设施</v>
      </c>
      <c r="R40" s="705" t="s">
        <v>14</v>
      </c>
      <c r="S40" s="706">
        <f t="shared" si="12"/>
        <v>100</v>
      </c>
      <c r="T40" s="705" t="s">
        <v>14</v>
      </c>
      <c r="U40" s="706">
        <f t="shared" si="13"/>
        <v>100</v>
      </c>
      <c r="V40" s="705" t="s">
        <v>14</v>
      </c>
      <c r="W40" s="706">
        <f t="shared" si="14"/>
        <v>100</v>
      </c>
      <c r="X40" s="1354"/>
      <c r="Y40" s="3706"/>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4"/>
      <c r="Q41" s="1351" t="str">
        <f t="shared" si="11"/>
        <v>层高</v>
      </c>
      <c r="R41" s="705" t="s">
        <v>14</v>
      </c>
      <c r="S41" s="706">
        <f t="shared" si="12"/>
        <v>100</v>
      </c>
      <c r="T41" s="705" t="s">
        <v>14</v>
      </c>
      <c r="U41" s="706">
        <f t="shared" si="13"/>
        <v>100</v>
      </c>
      <c r="V41" s="705" t="s">
        <v>14</v>
      </c>
      <c r="W41" s="706">
        <f t="shared" si="14"/>
        <v>100</v>
      </c>
      <c r="X41" s="1354"/>
      <c r="Y41" s="3706"/>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4"/>
      <c r="Q43" s="1351" t="str">
        <f t="shared" si="11"/>
        <v>内部装修</v>
      </c>
      <c r="R43" s="705" t="s">
        <v>14</v>
      </c>
      <c r="S43" s="706">
        <f t="shared" si="12"/>
        <v>100</v>
      </c>
      <c r="T43" s="705" t="s">
        <v>14</v>
      </c>
      <c r="U43" s="706">
        <f t="shared" si="13"/>
        <v>100</v>
      </c>
      <c r="V43" s="705" t="s">
        <v>14</v>
      </c>
      <c r="W43" s="706">
        <f t="shared" si="14"/>
        <v>100</v>
      </c>
      <c r="X43" s="1354"/>
      <c r="Y43" s="3706"/>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04"/>
      <c r="Q44" s="1351" t="str">
        <f t="shared" si="11"/>
        <v>内部装修维护情况</v>
      </c>
      <c r="R44" s="705" t="s">
        <v>14</v>
      </c>
      <c r="S44" s="706">
        <f t="shared" si="12"/>
        <v>100</v>
      </c>
      <c r="T44" s="705" t="s">
        <v>14</v>
      </c>
      <c r="U44" s="706">
        <f t="shared" si="13"/>
        <v>100</v>
      </c>
      <c r="V44" s="705" t="s">
        <v>14</v>
      </c>
      <c r="W44" s="706">
        <f t="shared" si="14"/>
        <v>100</v>
      </c>
      <c r="X44" s="1354"/>
      <c r="Y44" s="3706"/>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4"/>
      <c r="Q45" s="1342">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4"/>
      <c r="Q46" s="1351">
        <f t="shared" si="11"/>
        <v>111</v>
      </c>
      <c r="R46" s="705" t="s">
        <v>14</v>
      </c>
      <c r="S46" s="706">
        <f t="shared" si="12"/>
        <v>100</v>
      </c>
      <c r="T46" s="705" t="s">
        <v>14</v>
      </c>
      <c r="U46" s="706">
        <f t="shared" si="13"/>
        <v>100</v>
      </c>
      <c r="V46" s="705" t="s">
        <v>14</v>
      </c>
      <c r="W46" s="706">
        <f t="shared" si="14"/>
        <v>100</v>
      </c>
      <c r="X46" s="1354"/>
      <c r="Y46" s="3706"/>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5"/>
      <c r="Q47" s="1351">
        <f t="shared" si="11"/>
        <v>111</v>
      </c>
      <c r="R47" s="705" t="s">
        <v>14</v>
      </c>
      <c r="S47" s="706">
        <f t="shared" si="12"/>
        <v>100</v>
      </c>
      <c r="T47" s="705" t="s">
        <v>14</v>
      </c>
      <c r="U47" s="706">
        <f t="shared" si="13"/>
        <v>100</v>
      </c>
      <c r="V47" s="705" t="s">
        <v>14</v>
      </c>
      <c r="W47" s="706">
        <f t="shared" si="14"/>
        <v>100</v>
      </c>
      <c r="X47" s="1354"/>
      <c r="Y47" s="3707"/>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9"/>
      <c r="M48" s="2711"/>
      <c r="N48" s="2711"/>
      <c r="O48" s="2711"/>
      <c r="P48" s="3710"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9"/>
      <c r="M49" s="2711"/>
      <c r="N49" s="2711"/>
      <c r="O49" s="2711"/>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289.64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913"/>
      <c r="M5" s="914"/>
      <c r="N5" s="914"/>
      <c r="O5" s="914"/>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913"/>
      <c r="M6" s="914"/>
      <c r="N6" s="914"/>
      <c r="O6" s="914"/>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9"/>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2"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99"/>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1" t="str">
        <f t="shared" si="6"/>
        <v>产业集聚程度</v>
      </c>
      <c r="R15" s="705" t="s">
        <v>14</v>
      </c>
      <c r="S15" s="706">
        <f t="shared" si="0"/>
        <v>100</v>
      </c>
      <c r="T15" s="705" t="s">
        <v>14</v>
      </c>
      <c r="U15" s="706">
        <f t="shared" si="1"/>
        <v>100</v>
      </c>
      <c r="V15" s="705" t="s">
        <v>14</v>
      </c>
      <c r="W15" s="706">
        <f t="shared" si="2"/>
        <v>100</v>
      </c>
      <c r="X15" s="1354"/>
      <c r="Y15" s="370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2"/>
      <c r="Q16" s="1351"/>
      <c r="R16" s="705"/>
      <c r="S16" s="706"/>
      <c r="T16" s="705"/>
      <c r="U16" s="706"/>
      <c r="V16" s="705"/>
      <c r="W16" s="706"/>
      <c r="X16" s="1354"/>
      <c r="Y16" s="3702"/>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02"/>
      <c r="Q18" s="1351"/>
      <c r="R18" s="705"/>
      <c r="S18" s="706"/>
      <c r="T18" s="705"/>
      <c r="U18" s="706"/>
      <c r="V18" s="705"/>
      <c r="W18" s="706"/>
      <c r="X18" s="1354"/>
      <c r="Y18" s="3702"/>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02"/>
      <c r="Q20" s="1351"/>
      <c r="R20" s="705"/>
      <c r="S20" s="706"/>
      <c r="T20" s="705"/>
      <c r="U20" s="706"/>
      <c r="V20" s="705"/>
      <c r="W20" s="706"/>
      <c r="X20" s="1354"/>
      <c r="Y20" s="3702"/>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02"/>
      <c r="Q22" s="1351"/>
      <c r="R22" s="705"/>
      <c r="S22" s="706"/>
      <c r="T22" s="705"/>
      <c r="U22" s="706"/>
      <c r="V22" s="705"/>
      <c r="W22" s="706"/>
      <c r="X22" s="1354"/>
      <c r="Y22" s="3702"/>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1" t="str">
        <f>B23</f>
        <v>环境质量</v>
      </c>
      <c r="R23" s="705" t="s">
        <v>14</v>
      </c>
      <c r="S23" s="706">
        <f>F23</f>
        <v>100</v>
      </c>
      <c r="T23" s="705" t="s">
        <v>14</v>
      </c>
      <c r="U23" s="706">
        <f>H23</f>
        <v>100</v>
      </c>
      <c r="V23" s="705" t="s">
        <v>14</v>
      </c>
      <c r="W23" s="706">
        <f>J23</f>
        <v>100</v>
      </c>
      <c r="X23" s="1354"/>
      <c r="Y23" s="3702"/>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02"/>
      <c r="Q24" s="1351"/>
      <c r="R24" s="705"/>
      <c r="S24" s="706"/>
      <c r="T24" s="705"/>
      <c r="U24" s="706"/>
      <c r="V24" s="705"/>
      <c r="W24" s="706"/>
      <c r="X24" s="1354"/>
      <c r="Y24" s="370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1">
        <f>B25</f>
        <v>111</v>
      </c>
      <c r="R25" s="705" t="s">
        <v>14</v>
      </c>
      <c r="S25" s="706">
        <f>F25</f>
        <v>100</v>
      </c>
      <c r="T25" s="705" t="s">
        <v>14</v>
      </c>
      <c r="U25" s="706">
        <f>H25</f>
        <v>100</v>
      </c>
      <c r="V25" s="705" t="s">
        <v>14</v>
      </c>
      <c r="W25" s="706">
        <f>J25</f>
        <v>100</v>
      </c>
      <c r="X25" s="1354"/>
      <c r="Y25" s="370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1">
        <f t="shared" ref="Q26:Q40" si="11">B26</f>
        <v>111</v>
      </c>
      <c r="R26" s="705" t="s">
        <v>14</v>
      </c>
      <c r="S26" s="706">
        <f>F26</f>
        <v>100</v>
      </c>
      <c r="T26" s="705" t="s">
        <v>14</v>
      </c>
      <c r="U26" s="706">
        <f>H26</f>
        <v>100</v>
      </c>
      <c r="V26" s="705" t="s">
        <v>14</v>
      </c>
      <c r="W26" s="706">
        <f>J26</f>
        <v>100</v>
      </c>
      <c r="X26" s="1354"/>
      <c r="Y26" s="370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2">
        <f t="shared" si="11"/>
        <v>111</v>
      </c>
      <c r="R27" s="701" t="s">
        <v>14</v>
      </c>
      <c r="S27" s="702">
        <f>F27</f>
        <v>100</v>
      </c>
      <c r="T27" s="701" t="s">
        <v>14</v>
      </c>
      <c r="U27" s="702">
        <f>H27</f>
        <v>100</v>
      </c>
      <c r="V27" s="701" t="s">
        <v>14</v>
      </c>
      <c r="W27" s="702">
        <f>J27</f>
        <v>100</v>
      </c>
      <c r="X27" s="703"/>
      <c r="Y27" s="370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1">
        <f t="shared" si="11"/>
        <v>111</v>
      </c>
      <c r="R28" s="705" t="s">
        <v>14</v>
      </c>
      <c r="S28" s="706">
        <f t="shared" ref="S28:S40" si="12">F28</f>
        <v>100</v>
      </c>
      <c r="T28" s="705" t="s">
        <v>14</v>
      </c>
      <c r="U28" s="706">
        <f t="shared" ref="U28:U40" si="13">H28</f>
        <v>100</v>
      </c>
      <c r="V28" s="705" t="s">
        <v>14</v>
      </c>
      <c r="W28" s="706">
        <f t="shared" ref="W28:W40" si="14">J28</f>
        <v>100</v>
      </c>
      <c r="X28" s="1354"/>
      <c r="Y28" s="3702"/>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58" t="s">
        <v>1696</v>
      </c>
      <c r="Q29" s="1351" t="str">
        <f t="shared" si="11"/>
        <v>建筑类型</v>
      </c>
      <c r="R29" s="705" t="s">
        <v>14</v>
      </c>
      <c r="S29" s="706">
        <f t="shared" si="12"/>
        <v>100</v>
      </c>
      <c r="T29" s="705" t="s">
        <v>14</v>
      </c>
      <c r="U29" s="706">
        <f t="shared" si="13"/>
        <v>100</v>
      </c>
      <c r="V29" s="705" t="s">
        <v>14</v>
      </c>
      <c r="W29" s="706">
        <f t="shared" si="14"/>
        <v>100</v>
      </c>
      <c r="X29" s="1354"/>
      <c r="Y29" s="370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1" t="str">
        <f t="shared" si="11"/>
        <v>建筑结构</v>
      </c>
      <c r="R31" s="705" t="s">
        <v>14</v>
      </c>
      <c r="S31" s="706">
        <f t="shared" si="12"/>
        <v>100</v>
      </c>
      <c r="T31" s="705" t="s">
        <v>14</v>
      </c>
      <c r="U31" s="706">
        <f t="shared" si="13"/>
        <v>100</v>
      </c>
      <c r="V31" s="705" t="s">
        <v>14</v>
      </c>
      <c r="W31" s="706">
        <f t="shared" si="14"/>
        <v>100</v>
      </c>
      <c r="X31" s="1354"/>
      <c r="Y31" s="370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1" t="str">
        <f t="shared" si="11"/>
        <v>公共部分装修</v>
      </c>
      <c r="R32" s="705" t="s">
        <v>14</v>
      </c>
      <c r="S32" s="706">
        <f t="shared" si="12"/>
        <v>100</v>
      </c>
      <c r="T32" s="705" t="s">
        <v>14</v>
      </c>
      <c r="U32" s="706">
        <f t="shared" si="13"/>
        <v>100</v>
      </c>
      <c r="V32" s="705" t="s">
        <v>14</v>
      </c>
      <c r="W32" s="706">
        <f t="shared" si="14"/>
        <v>100</v>
      </c>
      <c r="X32" s="1354"/>
      <c r="Y32" s="370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1" t="str">
        <f t="shared" si="11"/>
        <v>成新度</v>
      </c>
      <c r="R33" s="705" t="s">
        <v>14</v>
      </c>
      <c r="S33" s="706" t="e">
        <f t="shared" si="12"/>
        <v>#N/A</v>
      </c>
      <c r="T33" s="705" t="s">
        <v>14</v>
      </c>
      <c r="U33" s="706" t="e">
        <f t="shared" si="13"/>
        <v>#N/A</v>
      </c>
      <c r="V33" s="705" t="s">
        <v>14</v>
      </c>
      <c r="W33" s="706"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2"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1" t="str">
        <f t="shared" si="11"/>
        <v>市政基础设施</v>
      </c>
      <c r="R35" s="705" t="s">
        <v>14</v>
      </c>
      <c r="S35" s="706">
        <f t="shared" si="12"/>
        <v>100</v>
      </c>
      <c r="T35" s="705" t="s">
        <v>14</v>
      </c>
      <c r="U35" s="706">
        <f t="shared" si="13"/>
        <v>100</v>
      </c>
      <c r="V35" s="705" t="s">
        <v>14</v>
      </c>
      <c r="W35" s="706">
        <f t="shared" si="14"/>
        <v>100</v>
      </c>
      <c r="X35" s="1354"/>
      <c r="Y35" s="370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1" t="str">
        <f t="shared" si="11"/>
        <v>内部装修</v>
      </c>
      <c r="R36" s="705" t="s">
        <v>14</v>
      </c>
      <c r="S36" s="706">
        <f t="shared" si="12"/>
        <v>100</v>
      </c>
      <c r="T36" s="705" t="s">
        <v>14</v>
      </c>
      <c r="U36" s="706">
        <f t="shared" si="13"/>
        <v>100</v>
      </c>
      <c r="V36" s="705" t="s">
        <v>14</v>
      </c>
      <c r="W36" s="706">
        <f t="shared" si="14"/>
        <v>100</v>
      </c>
      <c r="X36" s="1354"/>
      <c r="Y36" s="370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1" t="str">
        <f t="shared" si="11"/>
        <v>内部装修状况</v>
      </c>
      <c r="R37" s="705" t="s">
        <v>14</v>
      </c>
      <c r="S37" s="706">
        <f t="shared" si="12"/>
        <v>100</v>
      </c>
      <c r="T37" s="705" t="s">
        <v>14</v>
      </c>
      <c r="U37" s="706">
        <f t="shared" si="13"/>
        <v>100</v>
      </c>
      <c r="V37" s="705" t="s">
        <v>14</v>
      </c>
      <c r="W37" s="706">
        <f t="shared" si="14"/>
        <v>100</v>
      </c>
      <c r="X37" s="1354"/>
      <c r="Y37" s="370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1">
        <f t="shared" si="11"/>
        <v>111</v>
      </c>
      <c r="R39" s="705" t="s">
        <v>14</v>
      </c>
      <c r="S39" s="706">
        <f t="shared" si="12"/>
        <v>100</v>
      </c>
      <c r="T39" s="705" t="s">
        <v>14</v>
      </c>
      <c r="U39" s="706">
        <f t="shared" si="13"/>
        <v>100</v>
      </c>
      <c r="V39" s="705" t="s">
        <v>14</v>
      </c>
      <c r="W39" s="706">
        <f t="shared" si="14"/>
        <v>100</v>
      </c>
      <c r="X39" s="1354"/>
      <c r="Y39" s="3706"/>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1">
        <f t="shared" si="11"/>
        <v>111</v>
      </c>
      <c r="R40" s="705" t="s">
        <v>14</v>
      </c>
      <c r="S40" s="706">
        <f t="shared" si="12"/>
        <v>100</v>
      </c>
      <c r="T40" s="705" t="s">
        <v>14</v>
      </c>
      <c r="U40" s="706">
        <f t="shared" si="13"/>
        <v>100</v>
      </c>
      <c r="V40" s="705" t="s">
        <v>14</v>
      </c>
      <c r="W40" s="706">
        <f t="shared" si="14"/>
        <v>100</v>
      </c>
      <c r="X40" s="1354"/>
      <c r="Y40" s="370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9" t="s">
        <v>1686</v>
      </c>
      <c r="Q9" s="1342"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9"/>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9"/>
      <c r="Q11" s="1342">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14">
      <c r="A14" s="355" t="s">
        <v>1690</v>
      </c>
      <c r="B14" s="577" t="s">
        <v>1833</v>
      </c>
      <c r="C14" s="1967" t="str">
        <f>IF(B1="工业",估价对象房地状况!G4,估价对象房地状况!C6)</f>
        <v>周边有3路、24路、110路、117路、120路等多条公交线路及地铁10号线农业展览馆站，综合评价交通便捷度较好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1" t="s">
        <v>1691</v>
      </c>
      <c r="Q14" s="1351" t="str">
        <f t="shared" si="6"/>
        <v>交通便捷度</v>
      </c>
      <c r="R14" s="705" t="s">
        <v>14</v>
      </c>
      <c r="S14" s="706">
        <f t="shared" si="0"/>
        <v>100</v>
      </c>
      <c r="T14" s="705" t="s">
        <v>14</v>
      </c>
      <c r="U14" s="706">
        <f t="shared" si="1"/>
        <v>100</v>
      </c>
      <c r="V14" s="705" t="s">
        <v>14</v>
      </c>
      <c r="W14" s="706">
        <f t="shared" si="2"/>
        <v>100</v>
      </c>
      <c r="X14" s="1354"/>
      <c r="Y14" s="370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02"/>
      <c r="Q15" s="1351"/>
      <c r="R15" s="705"/>
      <c r="S15" s="706"/>
      <c r="T15" s="705"/>
      <c r="U15" s="706"/>
      <c r="V15" s="705"/>
      <c r="W15" s="706"/>
      <c r="X15" s="1354"/>
      <c r="Y15" s="3702"/>
      <c r="Z15" s="1355"/>
      <c r="AA15" s="1352">
        <v>1</v>
      </c>
      <c r="AB15" s="1352">
        <v>1</v>
      </c>
      <c r="AC15" s="1352">
        <v>1</v>
      </c>
    </row>
    <row r="16" spans="1:29" ht="342">
      <c r="A16" s="358"/>
      <c r="B16" s="579"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2"/>
      <c r="Q16" s="1351" t="str">
        <f>B16</f>
        <v>公共配套设施</v>
      </c>
      <c r="R16" s="705" t="s">
        <v>14</v>
      </c>
      <c r="S16" s="706">
        <f>F16</f>
        <v>100</v>
      </c>
      <c r="T16" s="705" t="s">
        <v>14</v>
      </c>
      <c r="U16" s="706">
        <f>H16</f>
        <v>100</v>
      </c>
      <c r="V16" s="705" t="s">
        <v>14</v>
      </c>
      <c r="W16" s="706">
        <f>J16</f>
        <v>100</v>
      </c>
      <c r="X16" s="1354"/>
      <c r="Y16" s="3702"/>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02"/>
      <c r="Q17" s="1351"/>
      <c r="R17" s="705"/>
      <c r="S17" s="706"/>
      <c r="T17" s="705"/>
      <c r="U17" s="706"/>
      <c r="V17" s="705"/>
      <c r="W17" s="706"/>
      <c r="X17" s="1354"/>
      <c r="Y17" s="3702"/>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2"/>
      <c r="Q18" s="1351" t="str">
        <f>B18</f>
        <v>基础设施水平</v>
      </c>
      <c r="R18" s="705" t="s">
        <v>14</v>
      </c>
      <c r="S18" s="706">
        <f>F18</f>
        <v>100</v>
      </c>
      <c r="T18" s="705" t="s">
        <v>14</v>
      </c>
      <c r="U18" s="706">
        <f>H18</f>
        <v>100</v>
      </c>
      <c r="V18" s="705" t="s">
        <v>14</v>
      </c>
      <c r="W18" s="706">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02"/>
      <c r="Q19" s="1351"/>
      <c r="R19" s="705"/>
      <c r="S19" s="706"/>
      <c r="T19" s="705"/>
      <c r="U19" s="706"/>
      <c r="V19" s="705"/>
      <c r="W19" s="706"/>
      <c r="X19" s="1354"/>
      <c r="Y19" s="3702"/>
      <c r="Z19" s="1355"/>
      <c r="AA19" s="1352">
        <v>1</v>
      </c>
      <c r="AB19" s="1352">
        <v>1</v>
      </c>
      <c r="AC19" s="1352">
        <v>1</v>
      </c>
    </row>
    <row r="20" spans="1:29" ht="128.25">
      <c r="A20" s="358"/>
      <c r="B20" s="579"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2"/>
      <c r="Q20" s="1351" t="str">
        <f>B20</f>
        <v>自然及人文环境</v>
      </c>
      <c r="R20" s="705" t="s">
        <v>14</v>
      </c>
      <c r="S20" s="706">
        <f>F20</f>
        <v>100</v>
      </c>
      <c r="T20" s="705" t="s">
        <v>14</v>
      </c>
      <c r="U20" s="706">
        <f>H20</f>
        <v>100</v>
      </c>
      <c r="V20" s="705" t="s">
        <v>14</v>
      </c>
      <c r="W20" s="706">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02"/>
      <c r="Q21" s="1351"/>
      <c r="R21" s="705"/>
      <c r="S21" s="706"/>
      <c r="T21" s="705"/>
      <c r="U21" s="706"/>
      <c r="V21" s="705"/>
      <c r="W21" s="706"/>
      <c r="X21" s="1354"/>
      <c r="Y21" s="370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2"/>
      <c r="Q22" s="1351" t="str">
        <f>B22</f>
        <v>楼层</v>
      </c>
      <c r="R22" s="705" t="s">
        <v>14</v>
      </c>
      <c r="S22" s="706">
        <f>F22</f>
        <v>100</v>
      </c>
      <c r="T22" s="705" t="s">
        <v>14</v>
      </c>
      <c r="U22" s="706">
        <f>H22</f>
        <v>100</v>
      </c>
      <c r="V22" s="705" t="s">
        <v>14</v>
      </c>
      <c r="W22" s="706">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2"/>
      <c r="Q23" s="1351">
        <f>B23</f>
        <v>111</v>
      </c>
      <c r="R23" s="705" t="s">
        <v>14</v>
      </c>
      <c r="S23" s="706">
        <f>F23</f>
        <v>100</v>
      </c>
      <c r="T23" s="705" t="s">
        <v>14</v>
      </c>
      <c r="U23" s="706">
        <f>H23</f>
        <v>100</v>
      </c>
      <c r="V23" s="705" t="s">
        <v>14</v>
      </c>
      <c r="W23" s="706">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2"/>
      <c r="Q24" s="1351">
        <f t="shared" ref="Q24:Q36" si="11">B24</f>
        <v>111</v>
      </c>
      <c r="R24" s="705" t="s">
        <v>14</v>
      </c>
      <c r="S24" s="706">
        <f>F24</f>
        <v>100</v>
      </c>
      <c r="T24" s="705" t="s">
        <v>14</v>
      </c>
      <c r="U24" s="706">
        <f>H24</f>
        <v>100</v>
      </c>
      <c r="V24" s="705" t="s">
        <v>14</v>
      </c>
      <c r="W24" s="706">
        <f>J24</f>
        <v>100</v>
      </c>
      <c r="X24" s="1354"/>
      <c r="Y24" s="370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2"/>
      <c r="Q25" s="1342">
        <f t="shared" si="11"/>
        <v>111</v>
      </c>
      <c r="R25" s="701" t="s">
        <v>14</v>
      </c>
      <c r="S25" s="702">
        <f>F25</f>
        <v>100</v>
      </c>
      <c r="T25" s="701" t="s">
        <v>14</v>
      </c>
      <c r="U25" s="702">
        <f>H25</f>
        <v>100</v>
      </c>
      <c r="V25" s="701" t="s">
        <v>14</v>
      </c>
      <c r="W25" s="702">
        <f>J25</f>
        <v>100</v>
      </c>
      <c r="X25" s="703"/>
      <c r="Y25" s="3702"/>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6"/>
      <c r="Q28" s="1351" t="str">
        <f t="shared" si="11"/>
        <v>公共部分装修</v>
      </c>
      <c r="R28" s="705" t="s">
        <v>14</v>
      </c>
      <c r="S28" s="706">
        <f t="shared" si="12"/>
        <v>100</v>
      </c>
      <c r="T28" s="705" t="s">
        <v>14</v>
      </c>
      <c r="U28" s="706">
        <f t="shared" si="13"/>
        <v>100</v>
      </c>
      <c r="V28" s="705" t="s">
        <v>14</v>
      </c>
      <c r="W28" s="706">
        <f t="shared" si="14"/>
        <v>100</v>
      </c>
      <c r="X28" s="1354"/>
      <c r="Y28" s="370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6"/>
      <c r="Q29" s="1351" t="str">
        <f t="shared" si="11"/>
        <v>成新率</v>
      </c>
      <c r="R29" s="705" t="s">
        <v>14</v>
      </c>
      <c r="S29" s="706" t="e">
        <f t="shared" si="12"/>
        <v>#N/A</v>
      </c>
      <c r="T29" s="705" t="s">
        <v>14</v>
      </c>
      <c r="U29" s="706" t="e">
        <f t="shared" si="13"/>
        <v>#N/A</v>
      </c>
      <c r="V29" s="705" t="s">
        <v>14</v>
      </c>
      <c r="W29" s="706" t="e">
        <f t="shared" si="14"/>
        <v>#N/A</v>
      </c>
      <c r="X29" s="1354"/>
      <c r="Y29" s="370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6"/>
      <c r="Q30" s="1351" t="str">
        <f t="shared" si="11"/>
        <v>物业等级</v>
      </c>
      <c r="R30" s="705" t="s">
        <v>14</v>
      </c>
      <c r="S30" s="706">
        <f t="shared" si="12"/>
        <v>100</v>
      </c>
      <c r="T30" s="705" t="s">
        <v>14</v>
      </c>
      <c r="U30" s="706">
        <f t="shared" si="13"/>
        <v>100</v>
      </c>
      <c r="V30" s="705" t="s">
        <v>14</v>
      </c>
      <c r="W30" s="706">
        <f t="shared" si="14"/>
        <v>100</v>
      </c>
      <c r="X30" s="1354"/>
      <c r="Y30" s="370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6"/>
      <c r="Q31" s="1342"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6" t="s">
        <v>1696</v>
      </c>
      <c r="Q32" s="1351" t="str">
        <f t="shared" si="11"/>
        <v>车位类型</v>
      </c>
      <c r="R32" s="705" t="s">
        <v>14</v>
      </c>
      <c r="S32" s="706">
        <f t="shared" si="12"/>
        <v>100</v>
      </c>
      <c r="T32" s="705" t="s">
        <v>14</v>
      </c>
      <c r="U32" s="706">
        <f t="shared" si="13"/>
        <v>100</v>
      </c>
      <c r="V32" s="705" t="s">
        <v>14</v>
      </c>
      <c r="W32" s="706">
        <f t="shared" si="14"/>
        <v>100</v>
      </c>
      <c r="X32" s="1354"/>
      <c r="Y32" s="370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6"/>
      <c r="Q33" s="1351" t="str">
        <f t="shared" si="11"/>
        <v>是否直接入户</v>
      </c>
      <c r="R33" s="705" t="s">
        <v>14</v>
      </c>
      <c r="S33" s="706">
        <f t="shared" si="12"/>
        <v>100</v>
      </c>
      <c r="T33" s="705" t="s">
        <v>14</v>
      </c>
      <c r="U33" s="706">
        <f t="shared" si="13"/>
        <v>100</v>
      </c>
      <c r="V33" s="705" t="s">
        <v>14</v>
      </c>
      <c r="W33" s="706">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6"/>
      <c r="Q36" s="1351">
        <f t="shared" si="11"/>
        <v>111</v>
      </c>
      <c r="R36" s="705" t="s">
        <v>14</v>
      </c>
      <c r="S36" s="706">
        <f t="shared" si="12"/>
        <v>100</v>
      </c>
      <c r="T36" s="705" t="s">
        <v>14</v>
      </c>
      <c r="U36" s="706">
        <f t="shared" si="13"/>
        <v>100</v>
      </c>
      <c r="V36" s="705" t="s">
        <v>14</v>
      </c>
      <c r="W36" s="706">
        <f t="shared" si="14"/>
        <v>100</v>
      </c>
      <c r="X36" s="1354"/>
      <c r="Y36" s="3706"/>
      <c r="Z36" s="1355">
        <f t="shared" si="15"/>
        <v>111</v>
      </c>
      <c r="AA36" s="1352">
        <f t="shared" si="3"/>
        <v>1</v>
      </c>
      <c r="AB36" s="1352">
        <f t="shared" si="4"/>
        <v>1</v>
      </c>
      <c r="AC36" s="1352">
        <f t="shared" si="5"/>
        <v>1</v>
      </c>
    </row>
    <row r="37" spans="1:29" ht="15">
      <c r="A37" s="430" t="s">
        <v>1844</v>
      </c>
      <c r="B37" s="1969" t="s">
        <v>3357</v>
      </c>
      <c r="C37" s="1154" t="s">
        <v>0</v>
      </c>
      <c r="D37" s="1155"/>
      <c r="E37" s="1156"/>
      <c r="F37" s="1157"/>
      <c r="G37" s="1158"/>
      <c r="H37" s="1159"/>
      <c r="I37" s="1156"/>
      <c r="J37" s="1159"/>
      <c r="K37" s="568"/>
      <c r="L37" s="2719"/>
      <c r="M37" s="2720"/>
      <c r="N37" s="2711"/>
      <c r="O37" s="2720"/>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96" t="str">
        <f>A39</f>
        <v>估价对象XX用房的比较价值（楼面单价，元/平方米）</v>
      </c>
      <c r="Q39" s="3697"/>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估价对象为北京市房地产，为所有。根据《国有土地使用证》[]，估价对象（分摊）出让国有建设用地使用权面积为0平方米，建筑面积为289.64平方米。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估价对象为北京市房地产,属开发建设的，该项目尚在开发建设中。根据《国有土地使用证》[]，估价对象（分摊）出让国有建设用地使用权面积为0平方米，规划建筑面积为289.64平方米。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2023年10月18日（评估专业人员实地查勘之日）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9" t="s">
        <v>1686</v>
      </c>
      <c r="Q9" s="1342"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9"/>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9"/>
      <c r="Q11" s="1342">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14">
      <c r="A14" s="391" t="s">
        <v>1690</v>
      </c>
      <c r="B14" s="61" t="s">
        <v>1833</v>
      </c>
      <c r="C14" s="1967" t="str">
        <f>IF(B1="工业",估价对象房地状况!G4,估价对象房地状况!C6)</f>
        <v>周边有3路、24路、110路、117路、120路等多条公交线路及地铁10号线农业展览馆站，综合评价交通便捷度较好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1" t="s">
        <v>1691</v>
      </c>
      <c r="Q14" s="1351" t="str">
        <f t="shared" si="6"/>
        <v>交通便捷度</v>
      </c>
      <c r="R14" s="705" t="s">
        <v>14</v>
      </c>
      <c r="S14" s="706">
        <f t="shared" si="0"/>
        <v>100</v>
      </c>
      <c r="T14" s="705" t="s">
        <v>14</v>
      </c>
      <c r="U14" s="706">
        <f t="shared" si="1"/>
        <v>100</v>
      </c>
      <c r="V14" s="705" t="s">
        <v>14</v>
      </c>
      <c r="W14" s="706">
        <f t="shared" si="2"/>
        <v>100</v>
      </c>
      <c r="X14" s="1354"/>
      <c r="Y14" s="370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02"/>
      <c r="Q15" s="1351"/>
      <c r="R15" s="705"/>
      <c r="S15" s="706"/>
      <c r="T15" s="705"/>
      <c r="U15" s="706"/>
      <c r="V15" s="705"/>
      <c r="W15" s="706"/>
      <c r="X15" s="1354"/>
      <c r="Y15" s="3702"/>
      <c r="Z15" s="1355"/>
      <c r="AA15" s="1352">
        <v>1</v>
      </c>
      <c r="AB15" s="1352">
        <v>1</v>
      </c>
      <c r="AC15" s="1352">
        <v>1</v>
      </c>
    </row>
    <row r="16" spans="1:29" ht="342">
      <c r="A16" s="379"/>
      <c r="B16" s="402"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2"/>
      <c r="Q16" s="1351" t="str">
        <f>B16</f>
        <v>公共配套设施</v>
      </c>
      <c r="R16" s="705" t="s">
        <v>14</v>
      </c>
      <c r="S16" s="706">
        <f>F16</f>
        <v>100</v>
      </c>
      <c r="T16" s="705" t="s">
        <v>14</v>
      </c>
      <c r="U16" s="706">
        <f>H16</f>
        <v>100</v>
      </c>
      <c r="V16" s="705" t="s">
        <v>14</v>
      </c>
      <c r="W16" s="706">
        <f>J16</f>
        <v>100</v>
      </c>
      <c r="X16" s="1354"/>
      <c r="Y16" s="3702"/>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02"/>
      <c r="Q17" s="1351"/>
      <c r="R17" s="705"/>
      <c r="S17" s="706"/>
      <c r="T17" s="705"/>
      <c r="U17" s="706"/>
      <c r="V17" s="705"/>
      <c r="W17" s="706"/>
      <c r="X17" s="1354"/>
      <c r="Y17" s="3702"/>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2"/>
      <c r="Q18" s="1351" t="str">
        <f>B18</f>
        <v>基础设施水平</v>
      </c>
      <c r="R18" s="705" t="s">
        <v>14</v>
      </c>
      <c r="S18" s="706">
        <f>F18</f>
        <v>100</v>
      </c>
      <c r="T18" s="705" t="s">
        <v>14</v>
      </c>
      <c r="U18" s="706">
        <f>H18</f>
        <v>100</v>
      </c>
      <c r="V18" s="705" t="s">
        <v>14</v>
      </c>
      <c r="W18" s="706">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02"/>
      <c r="Q19" s="1351"/>
      <c r="R19" s="705"/>
      <c r="S19" s="706"/>
      <c r="T19" s="705"/>
      <c r="U19" s="706"/>
      <c r="V19" s="705"/>
      <c r="W19" s="706"/>
      <c r="X19" s="1354"/>
      <c r="Y19" s="3702"/>
      <c r="Z19" s="1355"/>
      <c r="AA19" s="1352">
        <v>1</v>
      </c>
      <c r="AB19" s="1352">
        <v>1</v>
      </c>
      <c r="AC19" s="1352">
        <v>1</v>
      </c>
    </row>
    <row r="20" spans="1:29" ht="128.25">
      <c r="A20" s="379"/>
      <c r="B20" s="402"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2"/>
      <c r="Q20" s="1351" t="str">
        <f>B20</f>
        <v>自然及人文环境</v>
      </c>
      <c r="R20" s="705" t="s">
        <v>14</v>
      </c>
      <c r="S20" s="706">
        <f>F20</f>
        <v>100</v>
      </c>
      <c r="T20" s="705" t="s">
        <v>14</v>
      </c>
      <c r="U20" s="706">
        <f>H20</f>
        <v>100</v>
      </c>
      <c r="V20" s="705" t="s">
        <v>14</v>
      </c>
      <c r="W20" s="706">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02"/>
      <c r="Q21" s="1351"/>
      <c r="R21" s="705"/>
      <c r="S21" s="706"/>
      <c r="T21" s="705"/>
      <c r="U21" s="706"/>
      <c r="V21" s="705"/>
      <c r="W21" s="706"/>
      <c r="X21" s="1354"/>
      <c r="Y21" s="370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2"/>
      <c r="Q22" s="1351" t="str">
        <f>B22</f>
        <v>楼层</v>
      </c>
      <c r="R22" s="705" t="s">
        <v>14</v>
      </c>
      <c r="S22" s="706">
        <f>F22</f>
        <v>100</v>
      </c>
      <c r="T22" s="705" t="s">
        <v>14</v>
      </c>
      <c r="U22" s="706">
        <f>H22</f>
        <v>100</v>
      </c>
      <c r="V22" s="705" t="s">
        <v>14</v>
      </c>
      <c r="W22" s="706">
        <f>J22</f>
        <v>100</v>
      </c>
      <c r="X22" s="1354"/>
      <c r="Y22" s="370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2"/>
      <c r="Q23" s="1351">
        <f>B23</f>
        <v>111</v>
      </c>
      <c r="R23" s="705" t="s">
        <v>14</v>
      </c>
      <c r="S23" s="706">
        <f>F23</f>
        <v>100</v>
      </c>
      <c r="T23" s="705" t="s">
        <v>14</v>
      </c>
      <c r="U23" s="706">
        <f>H23</f>
        <v>100</v>
      </c>
      <c r="V23" s="705" t="s">
        <v>14</v>
      </c>
      <c r="W23" s="706">
        <f>J23</f>
        <v>100</v>
      </c>
      <c r="X23" s="1354"/>
      <c r="Y23" s="370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2"/>
      <c r="Q24" s="1351">
        <f t="shared" ref="Q24:Q34" si="11">B24</f>
        <v>111</v>
      </c>
      <c r="R24" s="705" t="s">
        <v>14</v>
      </c>
      <c r="S24" s="706">
        <f>F24</f>
        <v>100</v>
      </c>
      <c r="T24" s="705" t="s">
        <v>14</v>
      </c>
      <c r="U24" s="706">
        <f>H24</f>
        <v>100</v>
      </c>
      <c r="V24" s="705" t="s">
        <v>14</v>
      </c>
      <c r="W24" s="706">
        <f>J24</f>
        <v>100</v>
      </c>
      <c r="X24" s="1354"/>
      <c r="Y24" s="3702"/>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02"/>
      <c r="Q25" s="1342">
        <f t="shared" si="11"/>
        <v>111</v>
      </c>
      <c r="R25" s="701" t="s">
        <v>14</v>
      </c>
      <c r="S25" s="702">
        <f>F25</f>
        <v>100</v>
      </c>
      <c r="T25" s="701" t="s">
        <v>14</v>
      </c>
      <c r="U25" s="702">
        <f>H25</f>
        <v>100</v>
      </c>
      <c r="V25" s="701" t="s">
        <v>14</v>
      </c>
      <c r="W25" s="702">
        <f>J25</f>
        <v>100</v>
      </c>
      <c r="X25" s="703"/>
      <c r="Y25" s="3702"/>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5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6"/>
      <c r="Q28" s="1351" t="str">
        <f t="shared" si="11"/>
        <v>物业等级</v>
      </c>
      <c r="R28" s="705" t="s">
        <v>14</v>
      </c>
      <c r="S28" s="706">
        <f t="shared" si="12"/>
        <v>100</v>
      </c>
      <c r="T28" s="705" t="s">
        <v>14</v>
      </c>
      <c r="U28" s="706">
        <f t="shared" si="13"/>
        <v>100</v>
      </c>
      <c r="V28" s="705" t="s">
        <v>14</v>
      </c>
      <c r="W28" s="706">
        <f t="shared" si="14"/>
        <v>100</v>
      </c>
      <c r="X28" s="1354"/>
      <c r="Y28" s="370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6"/>
      <c r="Q29" s="1351" t="str">
        <f t="shared" si="11"/>
        <v>有无电梯</v>
      </c>
      <c r="R29" s="705" t="s">
        <v>14</v>
      </c>
      <c r="S29" s="706">
        <f t="shared" si="12"/>
        <v>100</v>
      </c>
      <c r="T29" s="705" t="s">
        <v>14</v>
      </c>
      <c r="U29" s="706">
        <f t="shared" si="13"/>
        <v>100</v>
      </c>
      <c r="V29" s="705" t="s">
        <v>14</v>
      </c>
      <c r="W29" s="706">
        <f t="shared" si="14"/>
        <v>100</v>
      </c>
      <c r="X29" s="1354"/>
      <c r="Y29" s="370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6"/>
      <c r="Q30" s="1351" t="str">
        <f t="shared" si="11"/>
        <v>建筑面积</v>
      </c>
      <c r="R30" s="705" t="s">
        <v>14</v>
      </c>
      <c r="S30" s="706" t="e">
        <f t="shared" si="12"/>
        <v>#N/A</v>
      </c>
      <c r="T30" s="705" t="s">
        <v>14</v>
      </c>
      <c r="U30" s="706" t="e">
        <f t="shared" si="13"/>
        <v>#N/A</v>
      </c>
      <c r="V30" s="705" t="s">
        <v>14</v>
      </c>
      <c r="W30" s="706"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6"/>
      <c r="Q31" s="1342"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6" t="s">
        <v>1696</v>
      </c>
      <c r="Q32" s="1351">
        <f t="shared" si="11"/>
        <v>111</v>
      </c>
      <c r="R32" s="705" t="s">
        <v>14</v>
      </c>
      <c r="S32" s="706">
        <f t="shared" si="12"/>
        <v>100</v>
      </c>
      <c r="T32" s="705" t="s">
        <v>14</v>
      </c>
      <c r="U32" s="706">
        <f t="shared" si="13"/>
        <v>100</v>
      </c>
      <c r="V32" s="705" t="s">
        <v>14</v>
      </c>
      <c r="W32" s="706">
        <f t="shared" si="14"/>
        <v>100</v>
      </c>
      <c r="X32" s="1354"/>
      <c r="Y32" s="3706"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6"/>
      <c r="Q33" s="1351">
        <f t="shared" si="11"/>
        <v>111</v>
      </c>
      <c r="R33" s="705" t="s">
        <v>14</v>
      </c>
      <c r="S33" s="706">
        <f t="shared" si="12"/>
        <v>100</v>
      </c>
      <c r="T33" s="705" t="s">
        <v>14</v>
      </c>
      <c r="U33" s="706">
        <f t="shared" si="13"/>
        <v>100</v>
      </c>
      <c r="V33" s="705" t="s">
        <v>14</v>
      </c>
      <c r="W33" s="706">
        <f t="shared" si="14"/>
        <v>100</v>
      </c>
      <c r="X33" s="1354"/>
      <c r="Y33" s="3706"/>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96" t="str">
        <f>A37</f>
        <v>估价对象XX用房的比较价值（楼面单价，元/平方米）</v>
      </c>
      <c r="Q37" s="3697"/>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30"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30"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13"/>
      <c r="AC6" s="3713"/>
    </row>
    <row r="7" spans="1:30" s="108" customFormat="1" ht="15.75" thickBot="1">
      <c r="A7" s="362" t="s">
        <v>1679</v>
      </c>
      <c r="B7" s="363"/>
      <c r="C7" s="364">
        <f>'数据-取费表'!B2</f>
        <v>45217</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699"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4"/>
      <c r="M10" s="2715"/>
      <c r="N10" s="2715"/>
      <c r="O10" s="2768"/>
      <c r="P10" s="3699"/>
      <c r="Q10" s="1342" t="str">
        <f t="shared" si="6"/>
        <v>土地使用年限（年）</v>
      </c>
      <c r="R10" s="701" t="s">
        <v>14</v>
      </c>
      <c r="S10" s="702">
        <f t="shared" si="0"/>
        <v>104</v>
      </c>
      <c r="T10" s="701" t="s">
        <v>14</v>
      </c>
      <c r="U10" s="702">
        <f t="shared" si="1"/>
        <v>104</v>
      </c>
      <c r="V10" s="701" t="s">
        <v>14</v>
      </c>
      <c r="W10" s="702">
        <f t="shared" si="2"/>
        <v>104</v>
      </c>
      <c r="X10" s="703"/>
      <c r="Y10" s="3574"/>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99"/>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9"/>
      <c r="Q12" s="1342"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9"/>
      <c r="Q14" s="1342">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1690</v>
      </c>
      <c r="B15" s="61" t="s">
        <v>1257</v>
      </c>
      <c r="C15" s="1894" t="str">
        <f>估价对象房地状况!C15</f>
        <v>周边有首开幸福广场、海晟名苑、三里屯北里、幸福二村社区等住宅小区，居住社区成熟度较好。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1" t="s">
        <v>1691</v>
      </c>
      <c r="Q15" s="1351" t="str">
        <f t="shared" si="6"/>
        <v>居住社区成熟度</v>
      </c>
      <c r="R15" s="705" t="s">
        <v>14</v>
      </c>
      <c r="S15" s="706">
        <f t="shared" si="0"/>
        <v>100</v>
      </c>
      <c r="T15" s="705" t="s">
        <v>14</v>
      </c>
      <c r="U15" s="706">
        <f t="shared" si="1"/>
        <v>100</v>
      </c>
      <c r="V15" s="705" t="s">
        <v>14</v>
      </c>
      <c r="W15" s="706">
        <f t="shared" si="2"/>
        <v>100</v>
      </c>
      <c r="X15" s="1354"/>
      <c r="Y15" s="3701"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02"/>
      <c r="Q16" s="1351"/>
      <c r="R16" s="705"/>
      <c r="S16" s="706"/>
      <c r="T16" s="705"/>
      <c r="U16" s="706"/>
      <c r="V16" s="705"/>
      <c r="W16" s="706"/>
      <c r="X16" s="1354"/>
      <c r="Y16" s="3702"/>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2"/>
      <c r="Q17" s="1351" t="str">
        <f>B17</f>
        <v>商业繁华度</v>
      </c>
      <c r="R17" s="705" t="s">
        <v>14</v>
      </c>
      <c r="S17" s="706">
        <f>F17</f>
        <v>100</v>
      </c>
      <c r="T17" s="705" t="s">
        <v>14</v>
      </c>
      <c r="U17" s="706">
        <f>H17</f>
        <v>100</v>
      </c>
      <c r="V17" s="705" t="s">
        <v>14</v>
      </c>
      <c r="W17" s="706">
        <f>J17</f>
        <v>100</v>
      </c>
      <c r="X17" s="1354"/>
      <c r="Y17" s="3702"/>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02"/>
      <c r="Q18" s="1351"/>
      <c r="R18" s="705"/>
      <c r="S18" s="706"/>
      <c r="T18" s="705"/>
      <c r="U18" s="706"/>
      <c r="V18" s="705"/>
      <c r="W18" s="706"/>
      <c r="X18" s="1354"/>
      <c r="Y18" s="3702"/>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2"/>
      <c r="Q19" s="1351" t="str">
        <f>B19</f>
        <v>办公集聚程度</v>
      </c>
      <c r="R19" s="705" t="s">
        <v>14</v>
      </c>
      <c r="S19" s="706">
        <f>F19</f>
        <v>100</v>
      </c>
      <c r="T19" s="705" t="s">
        <v>14</v>
      </c>
      <c r="U19" s="706">
        <f>H19</f>
        <v>100</v>
      </c>
      <c r="V19" s="705" t="s">
        <v>14</v>
      </c>
      <c r="W19" s="706">
        <f>J19</f>
        <v>100</v>
      </c>
      <c r="X19" s="1354"/>
      <c r="Y19" s="3702"/>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02"/>
      <c r="Q20" s="1351"/>
      <c r="R20" s="705"/>
      <c r="S20" s="706"/>
      <c r="T20" s="705"/>
      <c r="U20" s="706"/>
      <c r="V20" s="705"/>
      <c r="W20" s="706"/>
      <c r="X20" s="1354"/>
      <c r="Y20" s="3702"/>
      <c r="Z20" s="1355"/>
      <c r="AA20" s="1352">
        <v>1</v>
      </c>
      <c r="AB20" s="1352">
        <v>1</v>
      </c>
      <c r="AC20" s="1352">
        <v>1</v>
      </c>
    </row>
    <row r="21" spans="1:29" ht="114">
      <c r="A21" s="379"/>
      <c r="B21" s="402" t="s">
        <v>1833</v>
      </c>
      <c r="C21" s="1898" t="str">
        <f>估价对象房地状况!C18</f>
        <v>周边有3路、24路、110路、117路、120路等多条公交线路及地铁10号线农业展览馆站，综合评价交通便捷度较好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2"/>
      <c r="Q21" s="1351" t="str">
        <f>B21</f>
        <v>交通便捷度</v>
      </c>
      <c r="R21" s="705" t="s">
        <v>14</v>
      </c>
      <c r="S21" s="706">
        <f>F21</f>
        <v>100</v>
      </c>
      <c r="T21" s="705" t="s">
        <v>14</v>
      </c>
      <c r="U21" s="706">
        <f>H21</f>
        <v>100</v>
      </c>
      <c r="V21" s="705" t="s">
        <v>14</v>
      </c>
      <c r="W21" s="706">
        <f>J21</f>
        <v>100</v>
      </c>
      <c r="X21" s="1354"/>
      <c r="Y21" s="3702"/>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02"/>
      <c r="Q22" s="1351"/>
      <c r="R22" s="705"/>
      <c r="S22" s="706"/>
      <c r="T22" s="705"/>
      <c r="U22" s="706"/>
      <c r="V22" s="705"/>
      <c r="W22" s="706"/>
      <c r="X22" s="1354"/>
      <c r="Y22" s="370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2"/>
      <c r="Q23" s="1351" t="str">
        <f t="shared" ref="Q23:Q37" si="8">B23</f>
        <v>区域土地利用方向</v>
      </c>
      <c r="R23" s="705" t="s">
        <v>14</v>
      </c>
      <c r="S23" s="706">
        <f>F23</f>
        <v>100</v>
      </c>
      <c r="T23" s="705" t="s">
        <v>14</v>
      </c>
      <c r="U23" s="706">
        <f>H23</f>
        <v>100</v>
      </c>
      <c r="V23" s="705" t="s">
        <v>14</v>
      </c>
      <c r="W23" s="706">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02"/>
      <c r="Q24" s="1351"/>
      <c r="R24" s="705"/>
      <c r="S24" s="706"/>
      <c r="T24" s="705"/>
      <c r="U24" s="706"/>
      <c r="V24" s="705"/>
      <c r="W24" s="706"/>
      <c r="X24" s="1354"/>
      <c r="Y24" s="3702"/>
      <c r="Z24" s="1355"/>
      <c r="AA24" s="1352"/>
      <c r="AB24" s="1352"/>
      <c r="AC24" s="1352"/>
    </row>
    <row r="25" spans="1:29" ht="128.25">
      <c r="A25" s="358"/>
      <c r="B25" s="1131" t="s">
        <v>1872</v>
      </c>
      <c r="C25" s="1951" t="str">
        <f>估价对象房地状况!C20</f>
        <v>自然环境：亮马河等自然水系景观；
人文环境：北京工人体育场、全国农业展览馆等人文场所；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2"/>
      <c r="Q25" s="1351" t="str">
        <f t="shared" si="8"/>
        <v>自然及人文环境状况</v>
      </c>
      <c r="R25" s="705" t="s">
        <v>14</v>
      </c>
      <c r="S25" s="706">
        <f>F25</f>
        <v>100</v>
      </c>
      <c r="T25" s="705" t="s">
        <v>14</v>
      </c>
      <c r="U25" s="706">
        <f>H25</f>
        <v>100</v>
      </c>
      <c r="V25" s="705" t="s">
        <v>14</v>
      </c>
      <c r="W25" s="706">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02"/>
      <c r="Q26" s="1351"/>
      <c r="R26" s="705"/>
      <c r="S26" s="706"/>
      <c r="T26" s="705"/>
      <c r="U26" s="706"/>
      <c r="V26" s="705"/>
      <c r="W26" s="706"/>
      <c r="X26" s="1354"/>
      <c r="Y26" s="3702"/>
      <c r="Z26" s="1355"/>
      <c r="AA26" s="1352">
        <v>1</v>
      </c>
      <c r="AB26" s="1352">
        <v>1</v>
      </c>
      <c r="AC26" s="1352">
        <v>1</v>
      </c>
    </row>
    <row r="27" spans="1:29" s="108" customFormat="1" ht="342">
      <c r="A27" s="597"/>
      <c r="B27" s="1131" t="s">
        <v>1778</v>
      </c>
      <c r="C27" s="1898"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2"/>
      <c r="Q27" s="1342" t="str">
        <f t="shared" si="8"/>
        <v>公共配套设施</v>
      </c>
      <c r="R27" s="701" t="s">
        <v>14</v>
      </c>
      <c r="S27" s="702">
        <f>F27</f>
        <v>100</v>
      </c>
      <c r="T27" s="701" t="s">
        <v>14</v>
      </c>
      <c r="U27" s="702">
        <f>H27</f>
        <v>100</v>
      </c>
      <c r="V27" s="701" t="s">
        <v>14</v>
      </c>
      <c r="W27" s="702">
        <f>J27</f>
        <v>100</v>
      </c>
      <c r="X27" s="703"/>
      <c r="Y27" s="3702"/>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02"/>
      <c r="Q28" s="1342"/>
      <c r="R28" s="701"/>
      <c r="S28" s="702"/>
      <c r="T28" s="701"/>
      <c r="U28" s="702"/>
      <c r="V28" s="701"/>
      <c r="W28" s="702"/>
      <c r="X28" s="703"/>
      <c r="Y28" s="3702"/>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2"/>
      <c r="Q29" s="1342"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02"/>
      <c r="Q30" s="1342"/>
      <c r="R30" s="701"/>
      <c r="S30" s="702"/>
      <c r="T30" s="701"/>
      <c r="U30" s="702"/>
      <c r="V30" s="701"/>
      <c r="W30" s="702"/>
      <c r="X30" s="703"/>
      <c r="Y30" s="370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2"/>
      <c r="Q32" s="1351" t="str">
        <f t="shared" si="8"/>
        <v>毗邻道路的类型与等级</v>
      </c>
      <c r="R32" s="705" t="s">
        <v>14</v>
      </c>
      <c r="S32" s="706">
        <f t="shared" si="10"/>
        <v>100</v>
      </c>
      <c r="T32" s="705" t="s">
        <v>14</v>
      </c>
      <c r="U32" s="706">
        <f t="shared" si="11"/>
        <v>100</v>
      </c>
      <c r="V32" s="705" t="s">
        <v>14</v>
      </c>
      <c r="W32" s="706">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02"/>
      <c r="Q33" s="1351"/>
      <c r="R33" s="705"/>
      <c r="S33" s="706"/>
      <c r="T33" s="705"/>
      <c r="U33" s="706"/>
      <c r="V33" s="705"/>
      <c r="W33" s="706"/>
      <c r="X33" s="1354"/>
      <c r="Y33" s="370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2"/>
      <c r="Q34" s="1351" t="str">
        <f t="shared" si="8"/>
        <v>土地级别</v>
      </c>
      <c r="R34" s="705" t="s">
        <v>14</v>
      </c>
      <c r="S34" s="706">
        <f t="shared" si="10"/>
        <v>100</v>
      </c>
      <c r="T34" s="705" t="s">
        <v>14</v>
      </c>
      <c r="U34" s="706">
        <f t="shared" si="11"/>
        <v>100</v>
      </c>
      <c r="V34" s="705" t="s">
        <v>14</v>
      </c>
      <c r="W34" s="706">
        <f t="shared" si="12"/>
        <v>100</v>
      </c>
      <c r="X34" s="1354"/>
      <c r="Y34" s="370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2"/>
      <c r="Q35" s="1351">
        <f t="shared" si="8"/>
        <v>111</v>
      </c>
      <c r="R35" s="705" t="s">
        <v>14</v>
      </c>
      <c r="S35" s="706">
        <f t="shared" si="10"/>
        <v>100</v>
      </c>
      <c r="T35" s="705" t="s">
        <v>14</v>
      </c>
      <c r="U35" s="706">
        <f t="shared" si="11"/>
        <v>100</v>
      </c>
      <c r="V35" s="705" t="s">
        <v>14</v>
      </c>
      <c r="W35" s="706">
        <f t="shared" si="12"/>
        <v>100</v>
      </c>
      <c r="X35" s="1354"/>
      <c r="Y35" s="370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8" t="s">
        <v>1696</v>
      </c>
      <c r="Q36" s="1351">
        <f t="shared" si="8"/>
        <v>111</v>
      </c>
      <c r="R36" s="705" t="s">
        <v>14</v>
      </c>
      <c r="S36" s="706">
        <f t="shared" si="10"/>
        <v>100</v>
      </c>
      <c r="T36" s="705" t="s">
        <v>14</v>
      </c>
      <c r="U36" s="706">
        <f t="shared" si="11"/>
        <v>100</v>
      </c>
      <c r="V36" s="705" t="s">
        <v>14</v>
      </c>
      <c r="W36" s="706">
        <f t="shared" si="12"/>
        <v>100</v>
      </c>
      <c r="X36" s="1354"/>
      <c r="Y36" s="370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6"/>
      <c r="Q37" s="1351">
        <f t="shared" si="8"/>
        <v>111</v>
      </c>
      <c r="R37" s="708" t="s">
        <v>14</v>
      </c>
      <c r="S37" s="709">
        <f t="shared" si="10"/>
        <v>100</v>
      </c>
      <c r="T37" s="708" t="s">
        <v>14</v>
      </c>
      <c r="U37" s="709">
        <f t="shared" si="11"/>
        <v>100</v>
      </c>
      <c r="V37" s="708" t="s">
        <v>14</v>
      </c>
      <c r="W37" s="709">
        <f t="shared" si="12"/>
        <v>100</v>
      </c>
      <c r="X37" s="710"/>
      <c r="Y37" s="370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06"/>
      <c r="Q38" s="1351" t="str">
        <f>B38</f>
        <v>宗地面积</v>
      </c>
      <c r="R38" s="705" t="s">
        <v>14</v>
      </c>
      <c r="S38" s="706" t="e">
        <f t="shared" si="10"/>
        <v>#N/A</v>
      </c>
      <c r="T38" s="705" t="s">
        <v>14</v>
      </c>
      <c r="U38" s="706" t="e">
        <f t="shared" si="11"/>
        <v>#N/A</v>
      </c>
      <c r="V38" s="705" t="s">
        <v>14</v>
      </c>
      <c r="W38" s="706" t="e">
        <f t="shared" si="12"/>
        <v>#N/A</v>
      </c>
      <c r="X38" s="1354"/>
      <c r="Y38" s="3706"/>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06"/>
      <c r="Q39" s="1351" t="str">
        <f t="shared" ref="Q39:Q45" si="14">B39</f>
        <v>宗地形状</v>
      </c>
      <c r="R39" s="705" t="s">
        <v>14</v>
      </c>
      <c r="S39" s="706">
        <f t="shared" si="10"/>
        <v>100</v>
      </c>
      <c r="T39" s="705" t="s">
        <v>14</v>
      </c>
      <c r="U39" s="706">
        <f t="shared" si="11"/>
        <v>100</v>
      </c>
      <c r="V39" s="705" t="s">
        <v>14</v>
      </c>
      <c r="W39" s="706">
        <f t="shared" si="12"/>
        <v>100</v>
      </c>
      <c r="X39" s="1354"/>
      <c r="Y39" s="3706"/>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06"/>
      <c r="Q40" s="1351" t="str">
        <f t="shared" si="14"/>
        <v>临街宽度及深度</v>
      </c>
      <c r="R40" s="705" t="s">
        <v>14</v>
      </c>
      <c r="S40" s="706">
        <f t="shared" si="10"/>
        <v>100</v>
      </c>
      <c r="T40" s="705" t="s">
        <v>14</v>
      </c>
      <c r="U40" s="706">
        <f t="shared" si="11"/>
        <v>100</v>
      </c>
      <c r="V40" s="705" t="s">
        <v>14</v>
      </c>
      <c r="W40" s="706">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06"/>
      <c r="Q41" s="1351"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06" t="s">
        <v>1696</v>
      </c>
      <c r="Q42" s="1351" t="str">
        <f t="shared" si="14"/>
        <v>工程地质条件</v>
      </c>
      <c r="R42" s="705" t="s">
        <v>14</v>
      </c>
      <c r="S42" s="706">
        <f t="shared" si="10"/>
        <v>100</v>
      </c>
      <c r="T42" s="705" t="s">
        <v>14</v>
      </c>
      <c r="U42" s="706">
        <f t="shared" si="11"/>
        <v>100</v>
      </c>
      <c r="V42" s="705" t="s">
        <v>14</v>
      </c>
      <c r="W42" s="706">
        <f t="shared" si="12"/>
        <v>100</v>
      </c>
      <c r="X42" s="1354"/>
      <c r="Y42" s="370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6"/>
      <c r="Q43" s="1351">
        <f t="shared" si="14"/>
        <v>111</v>
      </c>
      <c r="R43" s="705" t="s">
        <v>14</v>
      </c>
      <c r="S43" s="706">
        <f t="shared" si="10"/>
        <v>100</v>
      </c>
      <c r="T43" s="705" t="s">
        <v>14</v>
      </c>
      <c r="U43" s="706">
        <f t="shared" si="11"/>
        <v>100</v>
      </c>
      <c r="V43" s="705" t="s">
        <v>14</v>
      </c>
      <c r="W43" s="706">
        <f t="shared" si="12"/>
        <v>100</v>
      </c>
      <c r="X43" s="1354"/>
      <c r="Y43" s="370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6"/>
      <c r="Q44" s="1351">
        <f t="shared" si="14"/>
        <v>111</v>
      </c>
      <c r="R44" s="705" t="s">
        <v>14</v>
      </c>
      <c r="S44" s="706">
        <f t="shared" si="10"/>
        <v>100</v>
      </c>
      <c r="T44" s="705" t="s">
        <v>14</v>
      </c>
      <c r="U44" s="706">
        <f t="shared" si="11"/>
        <v>100</v>
      </c>
      <c r="V44" s="705" t="s">
        <v>14</v>
      </c>
      <c r="W44" s="706">
        <f t="shared" si="12"/>
        <v>100</v>
      </c>
      <c r="X44" s="1354"/>
      <c r="Y44" s="3706"/>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6"/>
      <c r="Q45" s="1351">
        <f t="shared" si="14"/>
        <v>111</v>
      </c>
      <c r="R45" s="708" t="s">
        <v>14</v>
      </c>
      <c r="S45" s="709">
        <f t="shared" si="10"/>
        <v>100</v>
      </c>
      <c r="T45" s="708" t="s">
        <v>14</v>
      </c>
      <c r="U45" s="709">
        <f t="shared" si="11"/>
        <v>100</v>
      </c>
      <c r="V45" s="708" t="s">
        <v>14</v>
      </c>
      <c r="W45" s="709">
        <f t="shared" si="12"/>
        <v>100</v>
      </c>
      <c r="X45" s="710"/>
      <c r="Y45" s="3706"/>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699" t="str">
        <f>A46</f>
        <v>成交单价</v>
      </c>
      <c r="Q46" s="3699"/>
      <c r="R46" s="3730">
        <f>E46</f>
        <v>0</v>
      </c>
      <c r="S46" s="3730"/>
      <c r="T46" s="3730">
        <f>G46</f>
        <v>0</v>
      </c>
      <c r="U46" s="3730"/>
      <c r="V46" s="3730">
        <f>I46</f>
        <v>0</v>
      </c>
      <c r="W46" s="3730"/>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699" t="str">
        <f>A47</f>
        <v>比较价值（元/平方米）</v>
      </c>
      <c r="Q47" s="3699"/>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96" t="str">
        <f>A48</f>
        <v>估价对象XX用房的比较价值（楼面单价，元/平方米）</v>
      </c>
      <c r="Q48" s="3697"/>
      <c r="R48" s="3761" t="e">
        <f>ROUND(IF(D47="简单平均",AVERAGE(R47:W47),R47*F47+T47*H47+V47*J47),0)</f>
        <v>#DIV/0!</v>
      </c>
      <c r="S48" s="3761"/>
      <c r="T48" s="3761"/>
      <c r="U48" s="3761"/>
      <c r="V48" s="3761"/>
      <c r="W48" s="376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14" t="s">
        <v>1887</v>
      </c>
      <c r="H55" s="3762"/>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289.64</v>
      </c>
      <c r="F56" s="886" t="e">
        <f t="shared" ref="F56:F64" si="15">ROUND(B56*E56/10000,0)</f>
        <v>#DIV/0!</v>
      </c>
      <c r="G56" s="3710"/>
      <c r="H56" s="369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289.64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63" t="s">
        <v>1919</v>
      </c>
      <c r="D6" s="3764"/>
      <c r="E6" s="3765" t="s">
        <v>1919</v>
      </c>
      <c r="F6" s="3766"/>
      <c r="G6" s="3763" t="s">
        <v>1919</v>
      </c>
      <c r="H6" s="3764"/>
      <c r="I6" s="3763" t="s">
        <v>1919</v>
      </c>
      <c r="J6" s="3764"/>
      <c r="K6" s="55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699"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4"/>
      <c r="M10" s="2715"/>
      <c r="N10" s="2715"/>
      <c r="O10" s="2768"/>
      <c r="P10" s="3699"/>
      <c r="Q10" s="1342" t="str">
        <f t="shared" si="6"/>
        <v>土地使用年限（年）</v>
      </c>
      <c r="R10" s="701" t="s">
        <v>14</v>
      </c>
      <c r="S10" s="702">
        <f t="shared" si="0"/>
        <v>104</v>
      </c>
      <c r="T10" s="701" t="s">
        <v>14</v>
      </c>
      <c r="U10" s="702">
        <f t="shared" si="1"/>
        <v>104</v>
      </c>
      <c r="V10" s="701" t="s">
        <v>14</v>
      </c>
      <c r="W10" s="702">
        <f t="shared" si="2"/>
        <v>104</v>
      </c>
      <c r="X10" s="703"/>
      <c r="Y10" s="3574"/>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9"/>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9"/>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1" t="s">
        <v>1691</v>
      </c>
      <c r="Q15" s="1351" t="str">
        <f t="shared" si="6"/>
        <v>产业集聚程度</v>
      </c>
      <c r="R15" s="705" t="s">
        <v>14</v>
      </c>
      <c r="S15" s="706">
        <f t="shared" si="0"/>
        <v>100</v>
      </c>
      <c r="T15" s="705" t="s">
        <v>14</v>
      </c>
      <c r="U15" s="706">
        <f t="shared" si="1"/>
        <v>100</v>
      </c>
      <c r="V15" s="705" t="s">
        <v>14</v>
      </c>
      <c r="W15" s="706">
        <f t="shared" si="2"/>
        <v>100</v>
      </c>
      <c r="X15" s="1354"/>
      <c r="Y15" s="3701"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02"/>
      <c r="Q16" s="1351"/>
      <c r="R16" s="705"/>
      <c r="S16" s="706"/>
      <c r="T16" s="705"/>
      <c r="U16" s="706"/>
      <c r="V16" s="705"/>
      <c r="W16" s="706"/>
      <c r="X16" s="1354"/>
      <c r="Y16" s="3702"/>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2"/>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02"/>
      <c r="Q18" s="1351"/>
      <c r="R18" s="705"/>
      <c r="S18" s="706"/>
      <c r="T18" s="705"/>
      <c r="U18" s="706"/>
      <c r="V18" s="705"/>
      <c r="W18" s="706"/>
      <c r="X18" s="1354"/>
      <c r="Y18" s="3702"/>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2"/>
      <c r="Q19" s="1351" t="str">
        <f t="shared" ref="Q19:Q33" si="8">B19</f>
        <v>区域土地利用方向</v>
      </c>
      <c r="R19" s="705" t="s">
        <v>14</v>
      </c>
      <c r="S19" s="706">
        <f>F19</f>
        <v>100</v>
      </c>
      <c r="T19" s="705" t="s">
        <v>14</v>
      </c>
      <c r="U19" s="706">
        <f>H19</f>
        <v>100</v>
      </c>
      <c r="V19" s="705" t="s">
        <v>14</v>
      </c>
      <c r="W19" s="706">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02"/>
      <c r="Q20" s="1351"/>
      <c r="R20" s="705"/>
      <c r="S20" s="706"/>
      <c r="T20" s="705"/>
      <c r="U20" s="706"/>
      <c r="V20" s="705"/>
      <c r="W20" s="706"/>
      <c r="X20" s="1354"/>
      <c r="Y20" s="3702"/>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2"/>
      <c r="Q21" s="1351" t="str">
        <f t="shared" si="8"/>
        <v>环境状况</v>
      </c>
      <c r="R21" s="705" t="s">
        <v>14</v>
      </c>
      <c r="S21" s="706">
        <f>F21</f>
        <v>100</v>
      </c>
      <c r="T21" s="705" t="s">
        <v>14</v>
      </c>
      <c r="U21" s="706">
        <f>H21</f>
        <v>100</v>
      </c>
      <c r="V21" s="705" t="s">
        <v>14</v>
      </c>
      <c r="W21" s="706">
        <f>J21</f>
        <v>100</v>
      </c>
      <c r="X21" s="1354"/>
      <c r="Y21" s="3702"/>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02"/>
      <c r="Q22" s="1351"/>
      <c r="R22" s="705"/>
      <c r="S22" s="706"/>
      <c r="T22" s="705"/>
      <c r="U22" s="706"/>
      <c r="V22" s="705"/>
      <c r="W22" s="706"/>
      <c r="X22" s="1354"/>
      <c r="Y22" s="3702"/>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2"/>
      <c r="Q23" s="1342" t="str">
        <f t="shared" si="8"/>
        <v>公共配套设施</v>
      </c>
      <c r="R23" s="701" t="s">
        <v>14</v>
      </c>
      <c r="S23" s="702">
        <f>F23</f>
        <v>100</v>
      </c>
      <c r="T23" s="701" t="s">
        <v>14</v>
      </c>
      <c r="U23" s="702">
        <f>H23</f>
        <v>100</v>
      </c>
      <c r="V23" s="701" t="s">
        <v>14</v>
      </c>
      <c r="W23" s="702">
        <f>J23</f>
        <v>100</v>
      </c>
      <c r="X23" s="703"/>
      <c r="Y23" s="3702"/>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02"/>
      <c r="Q24" s="1342"/>
      <c r="R24" s="701"/>
      <c r="S24" s="702"/>
      <c r="T24" s="701"/>
      <c r="U24" s="702"/>
      <c r="V24" s="701"/>
      <c r="W24" s="702"/>
      <c r="X24" s="703"/>
      <c r="Y24" s="370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2"/>
      <c r="Q25" s="1342"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02"/>
      <c r="Q26" s="1342"/>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2"/>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2"/>
      <c r="Q28" s="1351" t="str">
        <f t="shared" si="8"/>
        <v>毗邻道路的类型与等级</v>
      </c>
      <c r="R28" s="705" t="s">
        <v>14</v>
      </c>
      <c r="S28" s="706">
        <f t="shared" si="10"/>
        <v>100</v>
      </c>
      <c r="T28" s="705" t="s">
        <v>14</v>
      </c>
      <c r="U28" s="706">
        <f t="shared" si="11"/>
        <v>100</v>
      </c>
      <c r="V28" s="705" t="s">
        <v>14</v>
      </c>
      <c r="W28" s="706">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02"/>
      <c r="Q29" s="1351"/>
      <c r="R29" s="705"/>
      <c r="S29" s="706"/>
      <c r="T29" s="705"/>
      <c r="U29" s="706"/>
      <c r="V29" s="705"/>
      <c r="W29" s="706"/>
      <c r="X29" s="1354"/>
      <c r="Y29" s="370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2"/>
      <c r="Q30" s="1351" t="str">
        <f t="shared" si="8"/>
        <v>土地级别</v>
      </c>
      <c r="R30" s="705" t="s">
        <v>14</v>
      </c>
      <c r="S30" s="706">
        <f t="shared" si="10"/>
        <v>100</v>
      </c>
      <c r="T30" s="705" t="s">
        <v>14</v>
      </c>
      <c r="U30" s="706">
        <f t="shared" si="11"/>
        <v>100</v>
      </c>
      <c r="V30" s="705" t="s">
        <v>14</v>
      </c>
      <c r="W30" s="706">
        <f t="shared" si="12"/>
        <v>100</v>
      </c>
      <c r="X30" s="1354"/>
      <c r="Y30" s="3702"/>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2"/>
      <c r="Q31" s="1351">
        <f t="shared" si="8"/>
        <v>111</v>
      </c>
      <c r="R31" s="705" t="s">
        <v>14</v>
      </c>
      <c r="S31" s="706">
        <f t="shared" si="10"/>
        <v>100</v>
      </c>
      <c r="T31" s="705" t="s">
        <v>14</v>
      </c>
      <c r="U31" s="706">
        <f t="shared" si="11"/>
        <v>100</v>
      </c>
      <c r="V31" s="705" t="s">
        <v>14</v>
      </c>
      <c r="W31" s="706">
        <f t="shared" si="12"/>
        <v>100</v>
      </c>
      <c r="X31" s="1354"/>
      <c r="Y31" s="3702"/>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8" t="s">
        <v>1696</v>
      </c>
      <c r="Q32" s="1351">
        <f t="shared" si="8"/>
        <v>111</v>
      </c>
      <c r="R32" s="705" t="s">
        <v>14</v>
      </c>
      <c r="S32" s="706">
        <f t="shared" si="10"/>
        <v>100</v>
      </c>
      <c r="T32" s="705" t="s">
        <v>14</v>
      </c>
      <c r="U32" s="706">
        <f t="shared" si="11"/>
        <v>100</v>
      </c>
      <c r="V32" s="705" t="s">
        <v>14</v>
      </c>
      <c r="W32" s="706">
        <f t="shared" si="12"/>
        <v>100</v>
      </c>
      <c r="X32" s="1354"/>
      <c r="Y32" s="3706"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6"/>
      <c r="Q33" s="1351">
        <f t="shared" si="8"/>
        <v>111</v>
      </c>
      <c r="R33" s="708" t="s">
        <v>14</v>
      </c>
      <c r="S33" s="709">
        <f t="shared" si="10"/>
        <v>100</v>
      </c>
      <c r="T33" s="708" t="s">
        <v>14</v>
      </c>
      <c r="U33" s="709">
        <f t="shared" si="11"/>
        <v>100</v>
      </c>
      <c r="V33" s="708" t="s">
        <v>14</v>
      </c>
      <c r="W33" s="709">
        <f t="shared" si="12"/>
        <v>100</v>
      </c>
      <c r="X33" s="710"/>
      <c r="Y33" s="370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6"/>
      <c r="Q34" s="1351" t="str">
        <f>B34</f>
        <v>宗地面积</v>
      </c>
      <c r="R34" s="705" t="s">
        <v>14</v>
      </c>
      <c r="S34" s="706" t="e">
        <f t="shared" si="10"/>
        <v>#N/A</v>
      </c>
      <c r="T34" s="705" t="s">
        <v>14</v>
      </c>
      <c r="U34" s="706" t="e">
        <f t="shared" si="11"/>
        <v>#N/A</v>
      </c>
      <c r="V34" s="705" t="s">
        <v>14</v>
      </c>
      <c r="W34" s="706" t="e">
        <f t="shared" si="12"/>
        <v>#N/A</v>
      </c>
      <c r="X34" s="1354"/>
      <c r="Y34" s="3706"/>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06"/>
      <c r="Q35" s="1351" t="str">
        <f t="shared" ref="Q35:Q40" si="14">B35</f>
        <v>宗地形状</v>
      </c>
      <c r="R35" s="705" t="s">
        <v>14</v>
      </c>
      <c r="S35" s="706">
        <f t="shared" si="10"/>
        <v>100</v>
      </c>
      <c r="T35" s="705" t="s">
        <v>14</v>
      </c>
      <c r="U35" s="706">
        <f t="shared" si="11"/>
        <v>100</v>
      </c>
      <c r="V35" s="705" t="s">
        <v>14</v>
      </c>
      <c r="W35" s="706">
        <f t="shared" si="12"/>
        <v>100</v>
      </c>
      <c r="X35" s="1354"/>
      <c r="Y35" s="3706"/>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06"/>
      <c r="Q36" s="1351"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06" t="s">
        <v>1696</v>
      </c>
      <c r="Q37" s="1351" t="str">
        <f t="shared" si="14"/>
        <v>工程地质条件</v>
      </c>
      <c r="R37" s="705" t="s">
        <v>14</v>
      </c>
      <c r="S37" s="706">
        <f t="shared" si="10"/>
        <v>100</v>
      </c>
      <c r="T37" s="705" t="s">
        <v>14</v>
      </c>
      <c r="U37" s="706">
        <f t="shared" si="11"/>
        <v>100</v>
      </c>
      <c r="V37" s="705" t="s">
        <v>14</v>
      </c>
      <c r="W37" s="706">
        <f t="shared" si="12"/>
        <v>100</v>
      </c>
      <c r="X37" s="1354"/>
      <c r="Y37" s="370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6"/>
      <c r="Q38" s="1351">
        <f t="shared" si="14"/>
        <v>111</v>
      </c>
      <c r="R38" s="705" t="s">
        <v>14</v>
      </c>
      <c r="S38" s="706">
        <f t="shared" si="10"/>
        <v>100</v>
      </c>
      <c r="T38" s="705" t="s">
        <v>14</v>
      </c>
      <c r="U38" s="706">
        <f t="shared" si="11"/>
        <v>100</v>
      </c>
      <c r="V38" s="705" t="s">
        <v>14</v>
      </c>
      <c r="W38" s="706">
        <f t="shared" si="12"/>
        <v>100</v>
      </c>
      <c r="X38" s="1354"/>
      <c r="Y38" s="370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6"/>
      <c r="Q39" s="1351">
        <f t="shared" si="14"/>
        <v>111</v>
      </c>
      <c r="R39" s="705" t="s">
        <v>14</v>
      </c>
      <c r="S39" s="706">
        <f t="shared" si="10"/>
        <v>100</v>
      </c>
      <c r="T39" s="705" t="s">
        <v>14</v>
      </c>
      <c r="U39" s="706">
        <f t="shared" si="11"/>
        <v>100</v>
      </c>
      <c r="V39" s="705" t="s">
        <v>14</v>
      </c>
      <c r="W39" s="706">
        <f t="shared" si="12"/>
        <v>100</v>
      </c>
      <c r="X39" s="1354"/>
      <c r="Y39" s="3706"/>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6"/>
      <c r="Q40" s="1351">
        <f t="shared" si="14"/>
        <v>111</v>
      </c>
      <c r="R40" s="708" t="s">
        <v>14</v>
      </c>
      <c r="S40" s="709">
        <f t="shared" si="10"/>
        <v>100</v>
      </c>
      <c r="T40" s="708" t="s">
        <v>14</v>
      </c>
      <c r="U40" s="709">
        <f t="shared" si="11"/>
        <v>100</v>
      </c>
      <c r="V40" s="708" t="s">
        <v>14</v>
      </c>
      <c r="W40" s="709">
        <f t="shared" si="12"/>
        <v>100</v>
      </c>
      <c r="X40" s="710"/>
      <c r="Y40" s="3706"/>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699" t="str">
        <f>A41</f>
        <v>成交单价</v>
      </c>
      <c r="Q41" s="3699"/>
      <c r="R41" s="3730">
        <f>E41</f>
        <v>0</v>
      </c>
      <c r="S41" s="3730"/>
      <c r="T41" s="3730">
        <f>G41</f>
        <v>0</v>
      </c>
      <c r="U41" s="3730"/>
      <c r="V41" s="3730">
        <f>I41</f>
        <v>0</v>
      </c>
      <c r="W41" s="3730"/>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699" t="str">
        <f>A42</f>
        <v>比较价值（元/平方米）</v>
      </c>
      <c r="Q42" s="3699"/>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96" t="str">
        <f>A43</f>
        <v>估价对象XX用房的比较价值（楼面单价，元/平方米）</v>
      </c>
      <c r="Q43" s="3697"/>
      <c r="R43" s="3761" t="e">
        <f>ROUND(IF(D42="简单平均",AVERAGE(R42:W42),R42*F42+T42*H42+V42*J42),0)</f>
        <v>#DIV/0!</v>
      </c>
      <c r="S43" s="3761"/>
      <c r="T43" s="3761"/>
      <c r="U43" s="3761"/>
      <c r="V43" s="3761"/>
      <c r="W43" s="376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14" t="s">
        <v>1887</v>
      </c>
      <c r="H50" s="3762"/>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289.64</v>
      </c>
      <c r="F51" s="639" t="e">
        <f t="shared" ref="F51:F60" si="15">ROUND(B51*E51/10000,0)</f>
        <v>#DIV/0!</v>
      </c>
      <c r="G51" s="3710"/>
      <c r="H51" s="369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1006</v>
      </c>
      <c r="C2" s="2141" t="s">
        <v>2074</v>
      </c>
      <c r="D2" s="2141" t="s">
        <v>2075</v>
      </c>
      <c r="E2" s="2607">
        <f ca="1">SUMIF(E6:E13,"&lt;&gt;#ref!",E6:E13)</f>
        <v>289.64</v>
      </c>
      <c r="F2" s="2788"/>
      <c r="G2" s="2788"/>
      <c r="H2" s="2788"/>
      <c r="I2" s="2788"/>
      <c r="J2" s="2788"/>
      <c r="K2" s="2788"/>
      <c r="L2" s="2788"/>
      <c r="M2" s="2788"/>
      <c r="N2" s="2788"/>
      <c r="O2" s="2788"/>
      <c r="P2" s="2788"/>
    </row>
    <row r="3" spans="1:16" ht="15.75">
      <c r="A3" s="2141" t="s">
        <v>2076</v>
      </c>
      <c r="B3" s="2597">
        <f ca="1">ROUND(B2*10000/E2,0)</f>
        <v>34733</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1006</v>
      </c>
      <c r="C6" s="2141" t="s">
        <v>2074</v>
      </c>
      <c r="D6" s="2788"/>
      <c r="E6" s="2607">
        <f ca="1">SUMIF(INDIRECT("'"&amp;A6&amp;"'"&amp;"!C:C"),"建筑面积",INDIRECT("'"&amp;A6&amp;"'"&amp;"!D:D"))</f>
        <v>289.64</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topLeftCell="A22" workbookViewId="0">
      <selection activeCell="G7" sqref="G7:L7"/>
    </sheetView>
  </sheetViews>
  <sheetFormatPr defaultRowHeight="13.5"/>
  <cols>
    <col min="1" max="1" width="9" style="3451"/>
    <col min="2" max="2" width="34.25" style="3451" customWidth="1"/>
    <col min="3" max="10" width="9" style="3451"/>
    <col min="11" max="11" width="11" style="3451" customWidth="1"/>
    <col min="12" max="12" width="10.5" style="3451" bestFit="1" customWidth="1"/>
    <col min="13" max="13" width="6.875" style="3451" customWidth="1"/>
    <col min="14" max="16" width="9" style="3451"/>
    <col min="17" max="17" width="15.5" style="3451" customWidth="1"/>
    <col min="18" max="18" width="9" style="3451"/>
    <col min="19" max="19" width="10.5" style="3451" bestFit="1" customWidth="1"/>
    <col min="20" max="20" width="9.5" style="3451" bestFit="1" customWidth="1"/>
    <col min="21" max="21" width="10.5" style="3451" bestFit="1" customWidth="1"/>
    <col min="22" max="16384" width="9" style="3451"/>
  </cols>
  <sheetData>
    <row r="1" spans="1:32">
      <c r="B1" s="3466" t="s">
        <v>3379</v>
      </c>
      <c r="C1" s="3466" t="s">
        <v>669</v>
      </c>
      <c r="D1" s="3466" t="s">
        <v>3380</v>
      </c>
      <c r="E1" s="3466" t="s">
        <v>3381</v>
      </c>
      <c r="F1" s="3466" t="s">
        <v>3385</v>
      </c>
      <c r="G1" s="3466" t="s">
        <v>3382</v>
      </c>
      <c r="H1" s="3466" t="s">
        <v>3383</v>
      </c>
      <c r="I1" s="3466" t="s">
        <v>3384</v>
      </c>
      <c r="J1" s="3466" t="s">
        <v>3386</v>
      </c>
      <c r="K1" s="3466" t="s">
        <v>3387</v>
      </c>
      <c r="L1" s="3466" t="s">
        <v>3388</v>
      </c>
      <c r="M1" s="3466" t="s">
        <v>3394</v>
      </c>
      <c r="N1" s="3466" t="s">
        <v>3395</v>
      </c>
      <c r="O1" s="3466" t="s">
        <v>3437</v>
      </c>
    </row>
    <row r="2" spans="1:32" s="3468" customFormat="1" ht="24.75" customHeight="1">
      <c r="A2" s="3456">
        <v>1</v>
      </c>
      <c r="B2" s="3467" t="s">
        <v>3432</v>
      </c>
      <c r="C2" s="3467" t="s">
        <v>3430</v>
      </c>
      <c r="D2" s="3467" t="s">
        <v>3431</v>
      </c>
      <c r="E2" s="3468">
        <v>128.66999999999999</v>
      </c>
      <c r="F2" s="3469" t="s">
        <v>3433</v>
      </c>
      <c r="G2" s="3468">
        <v>18</v>
      </c>
      <c r="H2" s="3468">
        <v>8</v>
      </c>
      <c r="I2" s="3468">
        <v>2011</v>
      </c>
      <c r="J2" s="3468">
        <v>78107</v>
      </c>
      <c r="K2" s="3468">
        <v>76327</v>
      </c>
      <c r="L2" s="3470">
        <v>45197</v>
      </c>
      <c r="M2" s="3467" t="s">
        <v>3435</v>
      </c>
      <c r="N2" s="3467" t="s">
        <v>3436</v>
      </c>
      <c r="O2" s="3467" t="s">
        <v>3438</v>
      </c>
    </row>
    <row r="3" spans="1:32" ht="34.5" customHeight="1">
      <c r="A3" s="3445">
        <v>2</v>
      </c>
      <c r="B3" s="3467" t="s">
        <v>3441</v>
      </c>
      <c r="C3" s="3467" t="s">
        <v>3430</v>
      </c>
      <c r="D3" s="3467" t="s">
        <v>3431</v>
      </c>
      <c r="E3" s="3451">
        <v>321.08999999999997</v>
      </c>
      <c r="F3" s="3467" t="s">
        <v>3440</v>
      </c>
      <c r="G3" s="3468">
        <v>18</v>
      </c>
      <c r="H3" s="3471" t="s">
        <v>3443</v>
      </c>
      <c r="I3" s="3468">
        <v>2011</v>
      </c>
      <c r="J3" s="3451">
        <v>71631</v>
      </c>
      <c r="K3" s="3467" t="s">
        <v>3442</v>
      </c>
      <c r="L3" s="3470">
        <v>44648</v>
      </c>
      <c r="M3" s="3467" t="s">
        <v>3445</v>
      </c>
      <c r="N3" s="3467" t="s">
        <v>3436</v>
      </c>
      <c r="O3" s="3451" t="s">
        <v>3439</v>
      </c>
      <c r="P3" s="3468"/>
      <c r="Q3" s="3468"/>
      <c r="R3" s="3468"/>
      <c r="S3" s="3468"/>
      <c r="T3" s="3468"/>
      <c r="U3" s="3468"/>
      <c r="V3" s="3468"/>
      <c r="W3" s="3468"/>
      <c r="X3" s="3468"/>
      <c r="Y3" s="3468"/>
      <c r="Z3" s="3468"/>
      <c r="AA3" s="3468"/>
      <c r="AB3" s="3468"/>
      <c r="AC3" s="3468"/>
      <c r="AD3" s="3468"/>
      <c r="AE3" s="3468"/>
      <c r="AF3" s="3468"/>
    </row>
    <row r="4" spans="1:32">
      <c r="A4" s="3451">
        <v>3</v>
      </c>
      <c r="B4" s="3467" t="s">
        <v>3447</v>
      </c>
      <c r="C4" s="3467" t="s">
        <v>3430</v>
      </c>
      <c r="D4" s="3467" t="s">
        <v>3431</v>
      </c>
      <c r="E4" s="3451">
        <v>205.41</v>
      </c>
      <c r="F4" s="3469" t="s">
        <v>3433</v>
      </c>
      <c r="G4" s="3468">
        <v>16</v>
      </c>
      <c r="H4" s="3468">
        <v>16</v>
      </c>
      <c r="I4" s="3468">
        <v>2011</v>
      </c>
      <c r="J4" s="3451">
        <v>85195</v>
      </c>
      <c r="K4" s="3467" t="s">
        <v>3442</v>
      </c>
      <c r="L4" s="3470">
        <v>44629</v>
      </c>
      <c r="M4" s="3467" t="s">
        <v>3445</v>
      </c>
      <c r="N4" s="3467" t="s">
        <v>3436</v>
      </c>
      <c r="O4" s="3451" t="s">
        <v>3439</v>
      </c>
      <c r="P4" s="3468"/>
      <c r="Q4" s="3468"/>
      <c r="R4" s="3468"/>
      <c r="S4" s="3468"/>
      <c r="T4" s="3468"/>
      <c r="U4" s="3468"/>
      <c r="V4" s="3468"/>
      <c r="W4" s="3468"/>
      <c r="X4" s="3468"/>
      <c r="Y4" s="3468"/>
      <c r="Z4" s="3468"/>
      <c r="AA4" s="3468"/>
      <c r="AB4" s="3468"/>
      <c r="AC4" s="3468"/>
      <c r="AD4" s="3468"/>
      <c r="AE4" s="3468"/>
      <c r="AF4" s="3468"/>
    </row>
    <row r="5" spans="1:32">
      <c r="A5" s="3445">
        <v>4</v>
      </c>
      <c r="B5" s="3467" t="s">
        <v>3446</v>
      </c>
      <c r="C5" s="3467" t="s">
        <v>3430</v>
      </c>
      <c r="D5" s="3467" t="s">
        <v>3431</v>
      </c>
      <c r="E5" s="3451">
        <v>125.55</v>
      </c>
      <c r="F5" s="3469" t="s">
        <v>3433</v>
      </c>
      <c r="G5" s="3468">
        <v>18</v>
      </c>
      <c r="H5" s="3468">
        <v>12</v>
      </c>
      <c r="I5" s="3468">
        <v>2011</v>
      </c>
      <c r="J5" s="3451">
        <v>81243</v>
      </c>
      <c r="K5" s="3467" t="s">
        <v>3442</v>
      </c>
      <c r="L5" s="3470">
        <v>44621</v>
      </c>
      <c r="M5" s="3467" t="s">
        <v>3435</v>
      </c>
      <c r="N5" s="3467" t="s">
        <v>3436</v>
      </c>
      <c r="O5" s="3451" t="s">
        <v>3439</v>
      </c>
      <c r="P5" s="3468"/>
      <c r="Q5" s="3468"/>
      <c r="R5" s="3468"/>
      <c r="S5" s="3468"/>
      <c r="T5" s="3468"/>
      <c r="U5" s="3468"/>
      <c r="V5" s="3468"/>
      <c r="W5" s="3468"/>
      <c r="X5" s="3468"/>
      <c r="Y5" s="3468"/>
      <c r="Z5" s="3468"/>
      <c r="AA5" s="3468"/>
      <c r="AB5" s="3468"/>
      <c r="AC5" s="3468"/>
      <c r="AD5" s="3468"/>
      <c r="AE5" s="3468"/>
      <c r="AF5" s="3468"/>
    </row>
    <row r="6" spans="1:32" s="3468" customFormat="1">
      <c r="A6" s="3456"/>
    </row>
    <row r="7" spans="1:32" ht="43.5" customHeight="1">
      <c r="A7" s="3445"/>
      <c r="B7" s="3468"/>
      <c r="C7" s="3468"/>
      <c r="D7" s="3468"/>
      <c r="E7" s="3468"/>
      <c r="F7" s="3468"/>
      <c r="G7" s="3468"/>
      <c r="H7" s="3468"/>
      <c r="I7" s="3468"/>
      <c r="J7" s="3468"/>
      <c r="K7" s="3468"/>
      <c r="L7" s="3468"/>
      <c r="M7" s="3468"/>
      <c r="N7" s="3468"/>
      <c r="O7" s="3468"/>
      <c r="P7" s="3468"/>
      <c r="Q7" s="3468"/>
      <c r="R7" s="3468"/>
      <c r="S7" s="3468"/>
      <c r="T7" s="3468"/>
      <c r="U7" s="3468"/>
      <c r="V7" s="3468"/>
      <c r="W7" s="3468"/>
      <c r="X7" s="3468"/>
      <c r="Y7" s="3468"/>
      <c r="Z7" s="3468"/>
      <c r="AA7" s="3468"/>
      <c r="AB7" s="3468"/>
      <c r="AC7" s="3468"/>
      <c r="AD7" s="3468"/>
      <c r="AE7" s="3468"/>
      <c r="AF7" s="3468"/>
    </row>
    <row r="8" spans="1:32">
      <c r="A8" s="3468"/>
      <c r="B8" s="3468"/>
      <c r="C8" s="3468"/>
      <c r="D8" s="3468"/>
      <c r="E8" s="3468"/>
      <c r="F8" s="3468"/>
      <c r="G8" s="3468"/>
      <c r="H8" s="3468"/>
      <c r="I8" s="3468"/>
      <c r="J8" s="3468"/>
      <c r="K8" s="3468"/>
      <c r="L8" s="3468"/>
      <c r="M8" s="3468"/>
      <c r="N8" s="3468"/>
      <c r="O8" s="3468"/>
      <c r="P8" s="3468"/>
      <c r="Q8" s="3468"/>
      <c r="R8" s="3468"/>
      <c r="S8" s="3468"/>
      <c r="T8" s="3468"/>
      <c r="U8" s="3468"/>
      <c r="V8" s="3468"/>
      <c r="W8" s="3468"/>
      <c r="X8" s="3468"/>
      <c r="Y8" s="3468"/>
      <c r="Z8" s="3468"/>
      <c r="AA8" s="3468"/>
      <c r="AB8" s="3468"/>
      <c r="AC8" s="3468"/>
      <c r="AD8" s="3468"/>
      <c r="AE8" s="3468"/>
      <c r="AF8" s="3468"/>
    </row>
    <row r="9" spans="1:32">
      <c r="A9" s="3468"/>
      <c r="B9" s="3468"/>
      <c r="C9" s="3468"/>
      <c r="D9" s="3468"/>
      <c r="E9" s="3468"/>
      <c r="F9" s="3468"/>
      <c r="G9" s="3468"/>
      <c r="H9" s="3468"/>
      <c r="I9" s="3468"/>
      <c r="J9" s="3468"/>
      <c r="K9" s="3468"/>
      <c r="L9" s="3468"/>
      <c r="M9" s="3468"/>
      <c r="N9" s="3468"/>
      <c r="O9" s="3468"/>
      <c r="P9" s="3468"/>
      <c r="Q9" s="3468"/>
      <c r="R9" s="3468"/>
      <c r="S9" s="3468"/>
      <c r="T9" s="3468"/>
      <c r="U9" s="3468"/>
      <c r="V9" s="3468"/>
      <c r="W9" s="3468"/>
      <c r="X9" s="3468"/>
      <c r="Y9" s="3468"/>
      <c r="Z9" s="3468"/>
      <c r="AA9" s="3468"/>
      <c r="AB9" s="3468"/>
      <c r="AC9" s="3468"/>
      <c r="AD9" s="3468"/>
      <c r="AE9" s="3468"/>
      <c r="AF9" s="3468"/>
    </row>
    <row r="10" spans="1:32">
      <c r="A10" s="3468"/>
      <c r="B10" s="3468"/>
      <c r="C10" s="3468"/>
      <c r="D10" s="3468"/>
      <c r="E10" s="3468"/>
      <c r="F10" s="3468"/>
      <c r="G10" s="3468"/>
      <c r="H10" s="3468"/>
      <c r="I10" s="3468"/>
      <c r="J10" s="3468"/>
      <c r="K10" s="3468"/>
      <c r="L10" s="3468"/>
      <c r="M10" s="3468"/>
      <c r="N10" s="3468"/>
      <c r="O10" s="3468"/>
      <c r="P10" s="3468"/>
      <c r="Q10" s="3468"/>
      <c r="R10" s="3468"/>
      <c r="S10" s="3468"/>
      <c r="T10" s="3468"/>
      <c r="U10" s="3468"/>
      <c r="V10" s="3468"/>
      <c r="W10" s="3468"/>
      <c r="X10" s="3468"/>
      <c r="Y10" s="3468"/>
      <c r="Z10" s="3468"/>
      <c r="AA10" s="3468"/>
      <c r="AB10" s="3468"/>
      <c r="AC10" s="3468"/>
      <c r="AD10" s="3468"/>
      <c r="AE10" s="3468"/>
      <c r="AF10" s="3468"/>
    </row>
    <row r="11" spans="1:32" s="3468" customFormat="1"/>
    <row r="12" spans="1:32">
      <c r="A12" s="3468"/>
      <c r="B12" s="3468"/>
      <c r="C12" s="3468"/>
      <c r="D12" s="3468"/>
      <c r="E12" s="3468"/>
      <c r="F12" s="3468"/>
      <c r="G12" s="3468"/>
      <c r="H12" s="3468"/>
      <c r="I12" s="3468"/>
      <c r="J12" s="3468"/>
      <c r="K12" s="3468"/>
      <c r="L12" s="3468"/>
      <c r="M12" s="3468"/>
      <c r="N12" s="3468"/>
      <c r="O12" s="3468"/>
      <c r="P12" s="3468"/>
      <c r="Q12" s="3468"/>
      <c r="R12" s="3468"/>
      <c r="S12" s="3468"/>
      <c r="T12" s="3468"/>
      <c r="U12" s="3468"/>
      <c r="V12" s="3468"/>
      <c r="W12" s="3468"/>
      <c r="X12" s="3468"/>
      <c r="Y12" s="3468"/>
      <c r="Z12" s="3468"/>
      <c r="AA12" s="3468"/>
      <c r="AB12" s="3468"/>
      <c r="AC12" s="3468"/>
      <c r="AD12" s="3468"/>
      <c r="AE12" s="3468"/>
      <c r="AF12" s="3468"/>
    </row>
    <row r="13" spans="1:32">
      <c r="A13" s="3468"/>
      <c r="B13" s="3468"/>
      <c r="C13" s="3468"/>
      <c r="D13" s="3468"/>
      <c r="E13" s="3468"/>
      <c r="F13" s="3468"/>
      <c r="G13" s="3468"/>
      <c r="H13" s="3468"/>
      <c r="I13" s="3468"/>
      <c r="J13" s="3468"/>
      <c r="K13" s="3468"/>
      <c r="L13" s="3468"/>
      <c r="M13" s="3468"/>
      <c r="N13" s="3468"/>
      <c r="O13" s="3468"/>
      <c r="P13" s="3468"/>
      <c r="Q13" s="3468"/>
      <c r="R13" s="3468"/>
      <c r="S13" s="3468"/>
      <c r="T13" s="3468"/>
      <c r="U13" s="3468"/>
      <c r="V13" s="3468"/>
      <c r="W13" s="3468"/>
      <c r="X13" s="3468"/>
      <c r="Y13" s="3468"/>
      <c r="Z13" s="3468"/>
      <c r="AA13" s="3468"/>
      <c r="AB13" s="3468"/>
      <c r="AC13" s="3468"/>
      <c r="AD13" s="3468"/>
      <c r="AE13" s="3468"/>
      <c r="AF13" s="3468"/>
    </row>
    <row r="14" spans="1:32" ht="24.75" customHeight="1">
      <c r="A14" s="3468"/>
      <c r="B14" s="3468"/>
      <c r="C14" s="3468"/>
      <c r="D14" s="3468"/>
      <c r="E14" s="3468"/>
      <c r="F14" s="3468"/>
      <c r="G14" s="3468"/>
      <c r="H14" s="3468"/>
      <c r="I14" s="3468"/>
      <c r="J14" s="3468"/>
      <c r="K14" s="3468"/>
      <c r="L14" s="3468"/>
      <c r="M14" s="3468"/>
      <c r="N14" s="3468"/>
      <c r="O14" s="3468"/>
      <c r="P14" s="3468"/>
      <c r="Q14" s="3468"/>
      <c r="R14" s="3468"/>
      <c r="S14" s="3468"/>
      <c r="T14" s="3468"/>
      <c r="U14" s="3468"/>
      <c r="V14" s="3468"/>
      <c r="W14" s="3468"/>
      <c r="X14" s="3468"/>
      <c r="Y14" s="3468"/>
      <c r="Z14" s="3468"/>
      <c r="AA14" s="3468"/>
      <c r="AB14" s="3468"/>
      <c r="AC14" s="3468"/>
      <c r="AD14" s="3468"/>
      <c r="AE14" s="3468"/>
      <c r="AF14" s="3468"/>
    </row>
    <row r="15" spans="1:32" ht="24.75" customHeight="1">
      <c r="A15" s="3468"/>
      <c r="B15" s="3468"/>
      <c r="C15" s="3468"/>
      <c r="D15" s="3468"/>
      <c r="E15" s="3468"/>
      <c r="F15" s="3468"/>
      <c r="G15" s="3468"/>
      <c r="H15" s="3468"/>
      <c r="I15" s="3468"/>
      <c r="J15" s="3468"/>
      <c r="K15" s="3468"/>
      <c r="L15" s="3468"/>
      <c r="M15" s="3468"/>
      <c r="N15" s="3468"/>
      <c r="O15" s="3468"/>
      <c r="P15" s="3468"/>
      <c r="Q15" s="3468"/>
      <c r="R15" s="3468"/>
      <c r="S15" s="3468"/>
      <c r="T15" s="3468"/>
      <c r="U15" s="3468"/>
      <c r="V15" s="3468"/>
      <c r="W15" s="3468"/>
      <c r="X15" s="3468"/>
      <c r="Y15" s="3468"/>
      <c r="Z15" s="3468"/>
      <c r="AA15" s="3468"/>
      <c r="AB15" s="3468"/>
      <c r="AC15" s="3468"/>
      <c r="AD15" s="3468"/>
      <c r="AE15" s="3468"/>
      <c r="AF15" s="3468"/>
    </row>
    <row r="16" spans="1:32" ht="24.75" customHeight="1">
      <c r="A16" s="3468"/>
      <c r="B16" s="3468"/>
      <c r="C16" s="3468"/>
      <c r="D16" s="3468"/>
      <c r="E16" s="3468"/>
      <c r="F16" s="3468"/>
      <c r="G16" s="3468"/>
      <c r="H16" s="3468"/>
      <c r="I16" s="3468"/>
      <c r="J16" s="3468"/>
      <c r="K16" s="3468"/>
      <c r="L16" s="3468"/>
      <c r="M16" s="3468"/>
      <c r="N16" s="3468"/>
      <c r="O16" s="3468"/>
      <c r="P16" s="3468"/>
      <c r="Q16" s="3468"/>
      <c r="R16" s="3468"/>
      <c r="S16" s="3468"/>
      <c r="T16" s="3468"/>
      <c r="U16" s="3468"/>
      <c r="V16" s="3468"/>
      <c r="W16" s="3468"/>
      <c r="X16" s="3468"/>
      <c r="Y16" s="3468"/>
      <c r="Z16" s="3468"/>
      <c r="AA16" s="3468"/>
      <c r="AB16" s="3468"/>
      <c r="AC16" s="3468"/>
      <c r="AD16" s="3468"/>
      <c r="AE16" s="3468"/>
      <c r="AF16" s="3468"/>
    </row>
    <row r="17" spans="1:32" ht="24.75" customHeight="1">
      <c r="A17" s="3468"/>
      <c r="B17" s="3468"/>
      <c r="C17" s="3468"/>
      <c r="D17" s="3468"/>
      <c r="E17" s="3468"/>
      <c r="F17" s="3468"/>
      <c r="G17" s="3468"/>
      <c r="H17" s="3468"/>
      <c r="I17" s="3468"/>
      <c r="J17" s="3468"/>
      <c r="K17" s="3468"/>
      <c r="L17" s="3468"/>
      <c r="M17" s="3468"/>
      <c r="N17" s="3468"/>
      <c r="O17" s="3468"/>
      <c r="P17" s="3468"/>
      <c r="Q17" s="3468"/>
      <c r="R17" s="3468"/>
      <c r="S17" s="3468"/>
      <c r="T17" s="3468"/>
      <c r="U17" s="3468"/>
      <c r="V17" s="3468"/>
      <c r="W17" s="3468"/>
      <c r="X17" s="3468"/>
      <c r="Y17" s="3468"/>
      <c r="Z17" s="3468"/>
      <c r="AA17" s="3468"/>
      <c r="AB17" s="3468"/>
      <c r="AC17" s="3468"/>
      <c r="AD17" s="3468"/>
      <c r="AE17" s="3468"/>
      <c r="AF17" s="3468"/>
    </row>
    <row r="18" spans="1:32" ht="24.75" customHeight="1">
      <c r="A18" s="3468"/>
      <c r="B18" s="3468"/>
      <c r="C18" s="3468"/>
      <c r="D18" s="3468"/>
      <c r="E18" s="3468"/>
      <c r="F18" s="3468"/>
      <c r="G18" s="3468"/>
      <c r="H18" s="3468"/>
      <c r="I18" s="3468"/>
      <c r="J18" s="3468"/>
      <c r="K18" s="3468"/>
      <c r="L18" s="3468"/>
      <c r="M18" s="3468"/>
      <c r="N18" s="3468"/>
      <c r="O18" s="3468"/>
      <c r="P18" s="3468"/>
      <c r="Q18" s="3468"/>
      <c r="R18" s="3468"/>
      <c r="S18" s="3468"/>
      <c r="T18" s="3468"/>
      <c r="U18" s="3468"/>
      <c r="V18" s="3468"/>
      <c r="W18" s="3468"/>
      <c r="X18" s="3468"/>
      <c r="Y18" s="3468"/>
      <c r="Z18" s="3468"/>
      <c r="AA18" s="3468"/>
      <c r="AB18" s="3468"/>
      <c r="AC18" s="3468"/>
      <c r="AD18" s="3468"/>
      <c r="AE18" s="3468"/>
      <c r="AF18" s="3468"/>
    </row>
    <row r="19" spans="1:32" ht="24.75" customHeight="1">
      <c r="A19" s="3468"/>
      <c r="B19" s="3468"/>
      <c r="C19" s="3468"/>
      <c r="D19" s="3468"/>
      <c r="E19" s="3468"/>
      <c r="F19" s="3468"/>
      <c r="G19" s="3468"/>
      <c r="H19" s="3468"/>
      <c r="I19" s="3468"/>
      <c r="J19" s="3468"/>
      <c r="K19" s="3468"/>
      <c r="L19" s="3468"/>
      <c r="M19" s="3468"/>
      <c r="N19" s="3468"/>
      <c r="O19" s="3468"/>
      <c r="P19" s="3468"/>
      <c r="Q19" s="3468"/>
      <c r="R19" s="3468"/>
      <c r="S19" s="3468"/>
      <c r="T19" s="3468"/>
      <c r="U19" s="3468"/>
      <c r="V19" s="3468"/>
      <c r="W19" s="3468"/>
      <c r="X19" s="3468"/>
      <c r="Y19" s="3468"/>
      <c r="Z19" s="3468"/>
      <c r="AA19" s="3468"/>
      <c r="AB19" s="3468"/>
      <c r="AC19" s="3468"/>
      <c r="AD19" s="3468"/>
      <c r="AE19" s="3468"/>
      <c r="AF19" s="3468"/>
    </row>
    <row r="20" spans="1:32" ht="24.75" customHeight="1">
      <c r="A20" s="3468"/>
      <c r="B20" s="3468"/>
      <c r="C20" s="3468"/>
      <c r="D20" s="3468"/>
      <c r="E20" s="3468"/>
      <c r="F20" s="3468"/>
      <c r="G20" s="3468"/>
      <c r="H20" s="3468"/>
      <c r="I20" s="3468"/>
      <c r="J20" s="3468"/>
      <c r="K20" s="3468"/>
      <c r="L20" s="3468"/>
      <c r="M20" s="3468"/>
      <c r="N20" s="3468"/>
      <c r="O20" s="3468"/>
      <c r="P20" s="3468"/>
      <c r="Q20" s="3468"/>
      <c r="R20" s="3468"/>
      <c r="S20" s="3468"/>
      <c r="T20" s="3468"/>
      <c r="U20" s="3468"/>
      <c r="V20" s="3468"/>
      <c r="W20" s="3468"/>
      <c r="X20" s="3468"/>
      <c r="Y20" s="3468"/>
      <c r="Z20" s="3468"/>
      <c r="AA20" s="3468"/>
      <c r="AB20" s="3468"/>
      <c r="AC20" s="3468"/>
      <c r="AD20" s="3468"/>
      <c r="AE20" s="3468"/>
      <c r="AF20" s="3468"/>
    </row>
    <row r="21" spans="1:32" ht="24.75" customHeight="1">
      <c r="A21" s="3468"/>
      <c r="B21" s="3468"/>
      <c r="C21" s="3468"/>
      <c r="D21" s="3468"/>
      <c r="E21" s="3468"/>
      <c r="F21" s="3468"/>
      <c r="G21" s="3468"/>
      <c r="H21" s="3468"/>
      <c r="I21" s="3468"/>
      <c r="J21" s="3468"/>
      <c r="K21" s="3468"/>
      <c r="L21" s="3468"/>
      <c r="M21" s="3468"/>
      <c r="N21" s="3468"/>
      <c r="O21" s="3468"/>
      <c r="P21" s="3468"/>
      <c r="Q21" s="3468"/>
      <c r="R21" s="3468"/>
      <c r="S21" s="3468"/>
      <c r="T21" s="3468"/>
      <c r="U21" s="3468"/>
      <c r="V21" s="3468"/>
      <c r="W21" s="3468"/>
      <c r="X21" s="3468"/>
      <c r="Y21" s="3468"/>
      <c r="Z21" s="3468"/>
      <c r="AA21" s="3468"/>
      <c r="AB21" s="3468"/>
      <c r="AC21" s="3468"/>
      <c r="AD21" s="3468"/>
      <c r="AE21" s="3468"/>
      <c r="AF21" s="3468"/>
    </row>
    <row r="22" spans="1:32" ht="24.75" customHeight="1">
      <c r="A22" s="3468"/>
      <c r="B22" s="3468"/>
      <c r="C22" s="3468"/>
      <c r="D22" s="3468"/>
      <c r="E22" s="3468"/>
      <c r="F22" s="3468"/>
      <c r="G22" s="3468"/>
      <c r="H22" s="3468"/>
      <c r="I22" s="3468"/>
      <c r="J22" s="3468"/>
      <c r="K22" s="3468"/>
      <c r="L22" s="3468"/>
      <c r="M22" s="3468"/>
      <c r="N22" s="3468"/>
      <c r="O22" s="3468"/>
      <c r="P22" s="3468"/>
    </row>
    <row r="23" spans="1:32" ht="24.75" customHeight="1">
      <c r="A23" s="3468"/>
      <c r="B23" s="3468"/>
      <c r="C23" s="3468"/>
      <c r="D23" s="3468"/>
      <c r="E23" s="3468"/>
      <c r="F23" s="3468"/>
      <c r="G23" s="3468"/>
      <c r="H23" s="3468"/>
      <c r="I23" s="3467" t="s">
        <v>3452</v>
      </c>
      <c r="J23" s="3468"/>
      <c r="K23" s="3468"/>
      <c r="L23" s="3468"/>
      <c r="M23" s="3468"/>
      <c r="N23" s="3468"/>
      <c r="O23" s="3468"/>
      <c r="P23" s="3468"/>
    </row>
    <row r="24" spans="1:32" ht="24.75" customHeight="1">
      <c r="A24" s="3468"/>
      <c r="B24" s="3468"/>
      <c r="C24" s="3468"/>
      <c r="D24" s="3468"/>
      <c r="E24" s="3468"/>
      <c r="F24" s="3468"/>
      <c r="G24" s="3468"/>
      <c r="H24" s="3468"/>
      <c r="I24" s="3467" t="s">
        <v>3448</v>
      </c>
      <c r="J24" s="3467" t="s">
        <v>3449</v>
      </c>
      <c r="K24" s="3467" t="s">
        <v>3450</v>
      </c>
      <c r="L24" s="3468"/>
      <c r="M24" s="3468"/>
      <c r="N24" s="3468"/>
      <c r="O24" s="3468"/>
      <c r="P24" s="3468"/>
    </row>
    <row r="25" spans="1:32" ht="24.75" customHeight="1">
      <c r="A25" s="3468"/>
      <c r="B25" s="3468"/>
      <c r="C25" s="3468"/>
      <c r="D25" s="3468"/>
      <c r="E25" s="3468"/>
      <c r="F25" s="3468"/>
      <c r="G25" s="3468"/>
      <c r="H25" s="3468"/>
      <c r="I25" s="3468">
        <v>38000</v>
      </c>
      <c r="J25" s="3468">
        <v>317.26</v>
      </c>
      <c r="K25" s="3468">
        <f>ROUND(I25/J25,2)</f>
        <v>119.78</v>
      </c>
      <c r="L25" s="3468"/>
      <c r="M25" s="3468">
        <f>130*289.64</f>
        <v>37653.199999999997</v>
      </c>
      <c r="N25" s="3468"/>
      <c r="O25" s="3468"/>
      <c r="P25" s="3468"/>
    </row>
    <row r="26" spans="1:32" ht="24.75" customHeight="1">
      <c r="A26" s="3468"/>
      <c r="B26" s="3468"/>
      <c r="C26" s="3468"/>
      <c r="D26" s="3468"/>
      <c r="E26" s="3468"/>
      <c r="F26" s="3468"/>
      <c r="G26" s="3468"/>
      <c r="H26" s="3468"/>
      <c r="I26" s="3468">
        <v>50000</v>
      </c>
      <c r="J26" s="3468">
        <v>316.3</v>
      </c>
      <c r="K26" s="3468">
        <f>ROUND(I26/J26,2)</f>
        <v>158.08000000000001</v>
      </c>
      <c r="L26" s="3468"/>
      <c r="M26" s="3468"/>
      <c r="N26" s="3468"/>
      <c r="O26" s="3468"/>
      <c r="P26" s="3468"/>
    </row>
    <row r="27" spans="1:32" ht="24.75" customHeight="1">
      <c r="A27" s="3468"/>
      <c r="B27" s="3468"/>
      <c r="C27" s="3468"/>
      <c r="D27" s="3468"/>
      <c r="E27" s="3468"/>
      <c r="F27" s="3468"/>
      <c r="G27" s="3468"/>
      <c r="H27" s="3468"/>
      <c r="I27" s="3773" t="s">
        <v>3451</v>
      </c>
      <c r="J27" s="3774"/>
      <c r="K27" s="3468">
        <f>ROUND(AVERAGE(K25:K26),2)</f>
        <v>138.93</v>
      </c>
      <c r="L27" s="3468"/>
      <c r="M27" s="3468"/>
      <c r="N27" s="3468"/>
      <c r="O27" s="3468"/>
      <c r="P27" s="3468"/>
    </row>
    <row r="28" spans="1:32" ht="24.75" customHeight="1">
      <c r="A28" s="3468"/>
      <c r="B28" s="3468"/>
      <c r="C28" s="3468"/>
      <c r="D28" s="3468"/>
      <c r="E28" s="3468"/>
      <c r="F28" s="3468"/>
      <c r="G28" s="3468"/>
      <c r="H28" s="3468"/>
      <c r="I28" s="3467" t="s">
        <v>3453</v>
      </c>
      <c r="J28" s="3468"/>
      <c r="K28" s="3468"/>
      <c r="L28" s="3468"/>
      <c r="M28" s="3468"/>
      <c r="N28" s="3468"/>
      <c r="O28" s="3468"/>
      <c r="P28" s="3468"/>
    </row>
    <row r="29" spans="1:32" ht="24.75" customHeight="1">
      <c r="A29" s="3468"/>
      <c r="B29" s="3468"/>
      <c r="C29" s="3468"/>
      <c r="D29" s="3468"/>
      <c r="E29" s="3468"/>
      <c r="F29" s="3468"/>
      <c r="G29" s="3468"/>
      <c r="H29" s="3468"/>
      <c r="I29" s="3467" t="s">
        <v>3448</v>
      </c>
      <c r="J29" s="3467" t="s">
        <v>3449</v>
      </c>
      <c r="K29" s="3467" t="s">
        <v>3450</v>
      </c>
      <c r="L29" s="3468"/>
      <c r="M29" s="3468"/>
      <c r="N29" s="3468"/>
      <c r="O29" s="3468"/>
      <c r="P29" s="3468"/>
    </row>
    <row r="30" spans="1:32" ht="24.75" customHeight="1">
      <c r="A30" s="3468"/>
      <c r="B30" s="3468"/>
      <c r="C30" s="3468"/>
      <c r="D30" s="3468"/>
      <c r="E30" s="3468"/>
      <c r="F30" s="3468"/>
      <c r="G30" s="3468"/>
      <c r="H30" s="3468"/>
      <c r="I30" s="3468">
        <v>7660</v>
      </c>
      <c r="J30" s="3468">
        <v>60.03</v>
      </c>
      <c r="K30" s="3468">
        <f>ROUND(I30/J30,2)</f>
        <v>127.6</v>
      </c>
      <c r="L30" s="3468"/>
      <c r="M30" s="3468"/>
      <c r="N30" s="3468"/>
      <c r="O30" s="3468"/>
      <c r="P30" s="3468"/>
    </row>
    <row r="31" spans="1:32" ht="24.75" customHeight="1">
      <c r="A31" s="3468"/>
      <c r="B31" s="3468"/>
      <c r="C31" s="3468"/>
      <c r="D31" s="3468"/>
      <c r="E31" s="3468"/>
      <c r="F31" s="3468"/>
      <c r="G31" s="3468"/>
      <c r="H31" s="3468"/>
      <c r="I31" s="3468">
        <v>8600</v>
      </c>
      <c r="J31" s="3468">
        <v>57</v>
      </c>
      <c r="K31" s="3468">
        <f>ROUND(I31/J31,2)</f>
        <v>150.88</v>
      </c>
      <c r="L31" s="3468"/>
      <c r="M31" s="3468"/>
      <c r="N31" s="3468"/>
      <c r="O31" s="3468"/>
      <c r="P31" s="3468"/>
    </row>
    <row r="32" spans="1:32" ht="24.75" customHeight="1">
      <c r="A32" s="3468"/>
      <c r="B32" s="3468"/>
      <c r="C32" s="3468"/>
      <c r="D32" s="3468"/>
      <c r="E32" s="3468"/>
      <c r="F32" s="3468"/>
      <c r="G32" s="3468"/>
      <c r="H32" s="3468"/>
      <c r="I32" s="3468">
        <v>8500</v>
      </c>
      <c r="J32" s="3468">
        <v>57</v>
      </c>
      <c r="K32" s="3468">
        <f>ROUND(I32/J32,2)</f>
        <v>149.12</v>
      </c>
      <c r="L32" s="3468"/>
      <c r="M32" s="3468"/>
      <c r="N32" s="3468"/>
      <c r="O32" s="3468"/>
      <c r="P32" s="3468"/>
    </row>
    <row r="33" spans="1:16">
      <c r="A33" s="3468"/>
      <c r="B33" s="3468"/>
      <c r="C33" s="3468"/>
      <c r="D33" s="3468"/>
      <c r="E33" s="3468"/>
      <c r="F33" s="3468"/>
      <c r="G33" s="3468"/>
      <c r="H33" s="3468"/>
      <c r="I33" s="3451">
        <v>8000</v>
      </c>
      <c r="J33" s="3451">
        <v>50.36</v>
      </c>
      <c r="K33" s="3468">
        <f t="shared" ref="K33:K38" si="0">ROUND(I33/J33,2)</f>
        <v>158.86000000000001</v>
      </c>
      <c r="L33" s="3468"/>
      <c r="M33" s="3468"/>
      <c r="N33" s="3468"/>
      <c r="O33" s="3468"/>
      <c r="P33" s="3468"/>
    </row>
    <row r="34" spans="1:16">
      <c r="A34" s="3468"/>
      <c r="B34" s="3468"/>
      <c r="C34" s="3468"/>
      <c r="D34" s="3468"/>
      <c r="E34" s="3468"/>
      <c r="F34" s="3468"/>
      <c r="G34" s="3468"/>
      <c r="H34" s="3468"/>
      <c r="I34" s="3451">
        <v>9000</v>
      </c>
      <c r="J34" s="3451">
        <v>58.26</v>
      </c>
      <c r="K34" s="3468">
        <f t="shared" si="0"/>
        <v>154.47999999999999</v>
      </c>
      <c r="L34" s="3468"/>
      <c r="M34" s="3468"/>
      <c r="N34" s="3468"/>
      <c r="O34" s="3468"/>
      <c r="P34" s="3468"/>
    </row>
    <row r="35" spans="1:16">
      <c r="A35" s="3468"/>
      <c r="B35" s="3468"/>
      <c r="C35" s="3468"/>
      <c r="D35" s="3468"/>
      <c r="E35" s="3468"/>
      <c r="F35" s="3468"/>
      <c r="G35" s="3468"/>
      <c r="H35" s="3468"/>
      <c r="I35" s="3451">
        <v>8800</v>
      </c>
      <c r="J35" s="3451">
        <v>60</v>
      </c>
      <c r="K35" s="3468">
        <f t="shared" si="0"/>
        <v>146.66999999999999</v>
      </c>
      <c r="L35" s="3468"/>
      <c r="M35" s="3468"/>
      <c r="N35" s="3468"/>
      <c r="O35" s="3468"/>
      <c r="P35" s="3468"/>
    </row>
    <row r="36" spans="1:16">
      <c r="A36" s="3468"/>
      <c r="B36" s="3468"/>
      <c r="C36" s="3468"/>
      <c r="D36" s="3468"/>
      <c r="E36" s="3468"/>
      <c r="F36" s="3468"/>
      <c r="G36" s="3468"/>
      <c r="H36" s="3468"/>
      <c r="I36" s="3451">
        <v>7000</v>
      </c>
      <c r="J36" s="3451">
        <v>46.54</v>
      </c>
      <c r="K36" s="3468">
        <f t="shared" si="0"/>
        <v>150.41</v>
      </c>
      <c r="L36" s="3468"/>
      <c r="M36" s="3468"/>
      <c r="N36" s="3468"/>
      <c r="O36" s="3468"/>
      <c r="P36" s="3468"/>
    </row>
    <row r="37" spans="1:16">
      <c r="A37" s="3468"/>
      <c r="B37" s="3468"/>
      <c r="C37" s="3468"/>
      <c r="D37" s="3468"/>
      <c r="E37" s="3468"/>
      <c r="F37" s="3468"/>
      <c r="G37" s="3468"/>
      <c r="H37" s="3468"/>
      <c r="I37" s="3451">
        <v>7000</v>
      </c>
      <c r="J37" s="3451">
        <v>47.9</v>
      </c>
      <c r="K37" s="3468">
        <f t="shared" si="0"/>
        <v>146.13999999999999</v>
      </c>
      <c r="L37" s="3468"/>
      <c r="M37" s="3468"/>
      <c r="N37" s="3468"/>
      <c r="O37" s="3468"/>
      <c r="P37" s="3468"/>
    </row>
    <row r="38" spans="1:16">
      <c r="A38" s="3468"/>
      <c r="B38" s="3468"/>
      <c r="C38" s="3468"/>
      <c r="D38" s="3468"/>
      <c r="E38" s="3468"/>
      <c r="F38" s="3468"/>
      <c r="G38" s="3468"/>
      <c r="H38" s="3468"/>
      <c r="I38" s="3451">
        <v>7000</v>
      </c>
      <c r="J38" s="3451">
        <v>44.76</v>
      </c>
      <c r="K38" s="3468">
        <f t="shared" si="0"/>
        <v>156.38999999999999</v>
      </c>
      <c r="L38" s="3468"/>
      <c r="M38" s="3468"/>
      <c r="N38" s="3468"/>
      <c r="O38" s="3468"/>
      <c r="P38" s="3468"/>
    </row>
    <row r="39" spans="1:16">
      <c r="A39" s="3468"/>
      <c r="B39" s="3468"/>
      <c r="C39" s="3468"/>
      <c r="D39" s="3468"/>
      <c r="E39" s="3468"/>
      <c r="F39" s="3468"/>
      <c r="G39" s="3468"/>
      <c r="H39" s="3468"/>
      <c r="I39" s="3773" t="s">
        <v>3451</v>
      </c>
      <c r="J39" s="3774"/>
      <c r="K39" s="3468">
        <f>ROUND(AVERAGE(K30:K38),2)</f>
        <v>148.94999999999999</v>
      </c>
      <c r="L39" s="3468"/>
      <c r="M39" s="3468"/>
      <c r="N39" s="3468"/>
      <c r="O39" s="3468"/>
      <c r="P39" s="3468"/>
    </row>
    <row r="40" spans="1:16">
      <c r="A40" s="3468"/>
      <c r="B40" s="3468"/>
      <c r="C40" s="3468"/>
      <c r="D40" s="3468"/>
      <c r="E40" s="3468"/>
      <c r="F40" s="3468"/>
      <c r="G40" s="3468"/>
      <c r="H40" s="3468"/>
      <c r="I40" s="3468"/>
      <c r="J40" s="3468"/>
      <c r="K40" s="3468"/>
      <c r="L40" s="3468"/>
      <c r="M40" s="3468"/>
      <c r="N40" s="3468"/>
      <c r="O40" s="3468"/>
      <c r="P40" s="3468"/>
    </row>
    <row r="41" spans="1:16">
      <c r="A41" s="3468"/>
      <c r="B41" s="3468"/>
      <c r="C41" s="3468"/>
      <c r="D41" s="3468"/>
      <c r="E41" s="3468"/>
      <c r="F41" s="3468"/>
      <c r="G41" s="3468"/>
      <c r="H41" s="3468"/>
      <c r="I41" s="3468"/>
      <c r="J41" s="3468"/>
      <c r="K41" s="3468">
        <f>ROUND(AVERAGE(K25:K26,K30:K38),2)</f>
        <v>147.13</v>
      </c>
      <c r="L41" s="3468"/>
      <c r="M41" s="3468"/>
      <c r="N41" s="3468"/>
      <c r="O41" s="3468"/>
      <c r="P41" s="3468"/>
    </row>
    <row r="42" spans="1:16">
      <c r="A42" s="3468"/>
      <c r="B42" s="3468"/>
      <c r="C42" s="3468"/>
      <c r="D42" s="3468"/>
      <c r="E42" s="3468"/>
      <c r="F42" s="3468"/>
      <c r="G42" s="3468"/>
      <c r="H42" s="3468"/>
      <c r="I42" s="3468"/>
      <c r="J42" s="3468"/>
      <c r="K42" s="3468"/>
      <c r="L42" s="3468"/>
      <c r="M42" s="3468"/>
      <c r="N42" s="3468"/>
      <c r="O42" s="3468"/>
      <c r="P42" s="3468"/>
    </row>
    <row r="43" spans="1:16">
      <c r="A43" s="3468"/>
      <c r="B43" s="3468"/>
      <c r="C43" s="3468"/>
      <c r="D43" s="3468"/>
      <c r="E43" s="3468"/>
      <c r="F43" s="3468"/>
      <c r="G43" s="3468"/>
      <c r="H43" s="3468"/>
      <c r="I43" s="3468"/>
      <c r="J43" s="3468"/>
      <c r="K43" s="3468"/>
      <c r="L43" s="3468"/>
      <c r="M43" s="3468"/>
      <c r="N43" s="3468"/>
      <c r="O43" s="3468"/>
      <c r="P43" s="3468"/>
    </row>
  </sheetData>
  <mergeCells count="2">
    <mergeCell ref="I27:J27"/>
    <mergeCell ref="I39:J39"/>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1664.8620000000001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57480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10410852</v>
      </c>
      <c r="D5" s="211" t="s">
        <v>1469</v>
      </c>
      <c r="E5" s="212" t="s">
        <v>1470</v>
      </c>
      <c r="F5" s="212" t="s">
        <v>1471</v>
      </c>
      <c r="G5" s="213"/>
    </row>
    <row r="6" spans="1:8" s="214" customFormat="1" ht="13.5" customHeight="1">
      <c r="A6" s="778" t="s">
        <v>1472</v>
      </c>
      <c r="B6" s="215" t="s">
        <v>1473</v>
      </c>
      <c r="C6" s="216">
        <f>基准地价修正!C33*基准地价修正!D33</f>
        <v>10057749</v>
      </c>
      <c r="D6" s="217"/>
      <c r="E6" s="218"/>
      <c r="F6" s="218"/>
      <c r="G6" s="219"/>
    </row>
    <row r="7" spans="1:8" s="214" customFormat="1" ht="13.5" customHeight="1">
      <c r="A7" s="778" t="s">
        <v>1474</v>
      </c>
      <c r="B7" s="215" t="s">
        <v>1475</v>
      </c>
      <c r="C7" s="220">
        <f>ROUND(C6*F7,0)</f>
        <v>306761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46342</v>
      </c>
      <c r="D8" s="222"/>
      <c r="E8" s="220"/>
      <c r="F8" s="221"/>
      <c r="G8" s="1855" t="s">
        <v>3413</v>
      </c>
    </row>
    <row r="9" spans="1:8" s="214" customFormat="1" ht="13.5" customHeight="1">
      <c r="A9" s="779" t="s">
        <v>355</v>
      </c>
      <c r="B9" s="224" t="s">
        <v>1478</v>
      </c>
      <c r="C9" s="225">
        <f ca="1">ROUND(D9*E9,0)</f>
        <v>46342</v>
      </c>
      <c r="D9" s="845">
        <f ca="1">IF(B1="",'数据-汇总表'!E5,IF(INDIRECT("'数据-取费表'!c"&amp;$G$1)="住宅",INDIRECT("'数据-取费表'!k"&amp;$G$1),0))</f>
        <v>289.64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289.64</v>
      </c>
      <c r="E19" s="211">
        <f>'数据-取费表'!B31</f>
        <v>200</v>
      </c>
      <c r="F19" s="231"/>
      <c r="G19" s="1855" t="s">
        <v>3414</v>
      </c>
    </row>
    <row r="20" spans="1:7" s="214" customFormat="1" ht="13.5" customHeight="1">
      <c r="A20" s="255" t="s">
        <v>1574</v>
      </c>
      <c r="B20" s="210" t="s">
        <v>1575</v>
      </c>
      <c r="C20" s="232">
        <f ca="1">ROUND((C5+C19)*F20,0)</f>
        <v>208217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757888</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750513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7375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2654767</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2654767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15235314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1167973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1013740</v>
      </c>
      <c r="D34" s="217"/>
      <c r="E34" s="220"/>
      <c r="F34" s="257"/>
      <c r="G34" s="219"/>
    </row>
    <row r="35" spans="1:7" ht="13.5" customHeight="1">
      <c r="A35" s="780" t="s">
        <v>351</v>
      </c>
      <c r="B35" s="215" t="s">
        <v>1527</v>
      </c>
      <c r="C35" s="220">
        <f ca="1">ROUND(C34*F35,0)</f>
        <v>30412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50687</v>
      </c>
      <c r="D36" s="220"/>
      <c r="E36" s="220"/>
      <c r="F36" s="259">
        <f>'数据-取费表'!B34</f>
        <v>0.05</v>
      </c>
      <c r="G36" s="260" t="s">
        <v>1530</v>
      </c>
    </row>
    <row r="37" spans="1:7" s="258" customFormat="1" ht="13.5" customHeight="1">
      <c r="A37" s="780" t="s">
        <v>353</v>
      </c>
      <c r="B37" s="215" t="s">
        <v>1531</v>
      </c>
      <c r="C37" s="249">
        <f ca="1">ROUND(E37*D37,0)</f>
        <v>57928</v>
      </c>
      <c r="D37" s="217">
        <f ca="1">D19</f>
        <v>289.64</v>
      </c>
      <c r="E37" s="249">
        <f>'数据-取费表'!B35</f>
        <v>200</v>
      </c>
      <c r="F37" s="259"/>
      <c r="G37" s="261"/>
    </row>
    <row r="38" spans="1:7" ht="13.5" customHeight="1">
      <c r="A38" s="780" t="s">
        <v>354</v>
      </c>
      <c r="B38" s="215" t="s">
        <v>1533</v>
      </c>
      <c r="C38" s="220">
        <f ca="1">ROUND(C34*F38,0)</f>
        <v>15206</v>
      </c>
      <c r="D38" s="220"/>
      <c r="E38" s="220"/>
      <c r="F38" s="259">
        <f>'数据-取费表'!B36</f>
        <v>1.4999999999999999E-2</v>
      </c>
      <c r="G38" s="219" t="s">
        <v>1528</v>
      </c>
    </row>
    <row r="39" spans="1:7" s="214" customFormat="1" ht="13.5" customHeight="1">
      <c r="A39" s="255" t="s">
        <v>1534</v>
      </c>
      <c r="B39" s="210" t="s">
        <v>1535</v>
      </c>
      <c r="C39" s="232">
        <f ca="1">ROUND(C33*F20,0)</f>
        <v>23359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42194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41367</v>
      </c>
      <c r="D42" s="238"/>
      <c r="E42" s="238"/>
      <c r="F42" s="239"/>
      <c r="G42" s="3667" t="s">
        <v>1591</v>
      </c>
    </row>
    <row r="43" spans="1:7" ht="13.5" customHeight="1">
      <c r="A43" s="780" t="s">
        <v>347</v>
      </c>
      <c r="B43" s="215" t="s">
        <v>1545</v>
      </c>
      <c r="C43" s="238">
        <f ca="1">ROUND(IF('数据-取费表'!B22&lt;=1,C39*F22*'数据-取费表'!B20/2,C39*(POWER((1+F22),'数据-取费表'!B20/2)-1)),0)</f>
        <v>827</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297833</v>
      </c>
      <c r="D45" s="235">
        <f ca="1">C47</f>
        <v>5.0000000000000001E-3</v>
      </c>
      <c r="E45" s="236" t="s">
        <v>1539</v>
      </c>
      <c r="F45" s="246">
        <f ca="1">F27</f>
        <v>0.25</v>
      </c>
      <c r="G45" s="247" t="s">
        <v>1548</v>
      </c>
    </row>
    <row r="46" spans="1:7" s="214" customFormat="1" ht="13.5" customHeight="1">
      <c r="A46" s="780" t="s">
        <v>346</v>
      </c>
      <c r="B46" s="248" t="s">
        <v>1549</v>
      </c>
      <c r="C46" s="249">
        <f ca="1">ROUND((C33+C39)*F27,0)</f>
        <v>297833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1662713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1413306</v>
      </c>
      <c r="D51" s="232"/>
      <c r="E51" s="232"/>
      <c r="F51" s="264"/>
      <c r="G51" s="234" t="s">
        <v>1560</v>
      </c>
    </row>
    <row r="52" spans="1:7" s="208" customFormat="1" ht="16.5" thickBot="1">
      <c r="A52" s="265" t="s">
        <v>1561</v>
      </c>
      <c r="B52" s="266"/>
      <c r="C52" s="267">
        <f ca="1">C31+C51</f>
        <v>16648620</v>
      </c>
      <c r="D52" s="266"/>
      <c r="E52" s="266"/>
      <c r="F52" s="266"/>
      <c r="G52" s="268"/>
    </row>
    <row r="55" spans="1:7" ht="15">
      <c r="B55" s="270" t="s">
        <v>1562</v>
      </c>
      <c r="C55" s="271"/>
    </row>
    <row r="56" spans="1:7">
      <c r="B56" s="273" t="s">
        <v>802</v>
      </c>
      <c r="C56" s="275">
        <f ca="1">1-C57</f>
        <v>0.91500000000000004</v>
      </c>
    </row>
    <row r="57" spans="1:7">
      <c r="B57" s="273" t="s">
        <v>803</v>
      </c>
      <c r="C57" s="274">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289.64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1006</v>
      </c>
      <c r="C2" s="1995" t="s">
        <v>1935</v>
      </c>
      <c r="D2" s="1996" t="s">
        <v>1936</v>
      </c>
      <c r="E2" s="3417" t="s">
        <v>3378</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55506</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34733</v>
      </c>
      <c r="C3" s="1995" t="s">
        <v>1941</v>
      </c>
      <c r="D3" s="1996" t="s">
        <v>1942</v>
      </c>
      <c r="E3" s="3415" t="s">
        <v>3408</v>
      </c>
      <c r="F3" s="2000" t="s">
        <v>3409</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44066</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82"/>
      <c r="B4" s="3783"/>
      <c r="C4" s="3783"/>
      <c r="D4" s="3784"/>
      <c r="E4" s="3784"/>
      <c r="F4" s="3784"/>
      <c r="G4" s="3784"/>
      <c r="H4" s="3784"/>
      <c r="I4" s="3784"/>
      <c r="J4" s="3785"/>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38076</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34455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32838</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3240</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79" t="s">
        <v>1960</v>
      </c>
      <c r="X8" s="378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8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8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3245</v>
      </c>
      <c r="B13" s="2030" t="s">
        <v>1982</v>
      </c>
      <c r="C13" s="755">
        <f>ROUND(C16*D16*E16*F16*G16*H16*I16*J16,4)</f>
        <v>1.05</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3246</v>
      </c>
      <c r="G14" s="3307" t="s">
        <v>3246</v>
      </c>
      <c r="H14" s="3307" t="s">
        <v>3246</v>
      </c>
      <c r="I14" s="3307" t="s">
        <v>3246</v>
      </c>
      <c r="J14" s="3307" t="s">
        <v>3246</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3405</v>
      </c>
      <c r="D15" s="2040" t="s">
        <v>3405</v>
      </c>
      <c r="E15" s="2041" t="s">
        <v>3406</v>
      </c>
      <c r="F15" s="3308" t="s">
        <v>3247</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f>ROUND(G18/I18,2)</f>
        <v>0</v>
      </c>
      <c r="F17" s="3317" t="s">
        <v>3253</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3251</v>
      </c>
      <c r="E18" s="3324"/>
      <c r="F18" s="3319" t="s">
        <v>3254</v>
      </c>
      <c r="G18" s="3323">
        <f>ROUND(1-(1/(POWER(1+G24,E18))),4)</f>
        <v>0</v>
      </c>
      <c r="H18" s="3319" t="s">
        <v>3256</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3252</v>
      </c>
      <c r="E19" s="3333"/>
      <c r="F19" s="3334" t="s">
        <v>3255</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86" t="s">
        <v>3257</v>
      </c>
      <c r="B20" s="167" t="s">
        <v>1994</v>
      </c>
      <c r="C20" s="3320">
        <f>ROUND(IF(F21="与级别开发程度一致",0,(G21-E21)/C21),0)</f>
        <v>0</v>
      </c>
      <c r="D20" s="3336" t="s">
        <v>1998</v>
      </c>
      <c r="E20" s="3337"/>
      <c r="F20" s="3792" t="s">
        <v>1995</v>
      </c>
      <c r="G20" s="3793"/>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87"/>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45217</v>
      </c>
      <c r="H23" s="3338" t="s">
        <v>3259</v>
      </c>
      <c r="I23" s="3339" t="str">
        <f>IF(H23="季度增幅（自定义）",SUMIF(N25:N28,E2,O25:O28),"")</f>
        <v/>
      </c>
      <c r="J23" s="3441" t="s">
        <v>3258</v>
      </c>
      <c r="K23" s="1125"/>
      <c r="L23" s="2051" t="s">
        <v>2004</v>
      </c>
      <c r="M23" s="1327">
        <f>ROUND(SUMIF(地价!B2:G2,E2,地价!B16:G16),0)</f>
        <v>687</v>
      </c>
      <c r="N23" s="2052" t="s">
        <v>2005</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0.9667</v>
      </c>
      <c r="D24" s="2056" t="s">
        <v>2007</v>
      </c>
      <c r="E24" s="1334">
        <f>存贷款利率!E22/100</f>
        <v>4.3499999999999997E-2</v>
      </c>
      <c r="F24" s="2056" t="s">
        <v>1999</v>
      </c>
      <c r="G24" s="768">
        <f>SUMIF(M30:Q30,E2,M33:Q33)</f>
        <v>0.05</v>
      </c>
      <c r="H24" s="2056" t="s">
        <v>2008</v>
      </c>
      <c r="I24" s="769">
        <f>SUMIF('数据-取费表'!C6:C15,E2,'数据-取费表'!F6:F15)/COUNTIF('数据-取费表'!C6:C15,E2)</f>
        <v>56</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3338</v>
      </c>
      <c r="C25" s="771">
        <f>IF(B25="容积率修正",IF(G3&lt;10,D26,J26),C27)</f>
        <v>0.95130000000000003</v>
      </c>
      <c r="D25" s="2063"/>
      <c r="E25" s="2063"/>
      <c r="F25" s="2063"/>
      <c r="G25" s="2063"/>
      <c r="H25" s="2063"/>
      <c r="I25" s="2063"/>
      <c r="J25" s="2064"/>
      <c r="K25" s="1125"/>
      <c r="L25" s="2783"/>
      <c r="M25" s="2783"/>
      <c r="N25" s="2065"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3260</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3261</v>
      </c>
      <c r="J26" s="772" t="str">
        <f>IF(G3&gt;=10,D115,"——")</f>
        <v>——</v>
      </c>
      <c r="K26" s="1125"/>
      <c r="L26" s="2783"/>
      <c r="M26" s="2783"/>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3"/>
      <c r="M28" s="2783"/>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1006</v>
      </c>
      <c r="D30" s="2079"/>
      <c r="E30" s="2042"/>
      <c r="F30" s="2080"/>
      <c r="G30" s="2042"/>
      <c r="H30" s="2042"/>
      <c r="I30" s="2042"/>
      <c r="J30" s="2081"/>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34725</v>
      </c>
      <c r="D33" s="2094">
        <f>'数据-汇总表'!F19</f>
        <v>289.64</v>
      </c>
      <c r="E33" s="773">
        <f>ROUND(C33*D33/10000,0)</f>
        <v>1006</v>
      </c>
      <c r="F33" s="3341" t="s">
        <v>3263</v>
      </c>
      <c r="G33" s="2095"/>
      <c r="H33" s="2095"/>
      <c r="I33" s="2095"/>
      <c r="J33" s="2096"/>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8681</v>
      </c>
      <c r="D34" s="2099"/>
      <c r="E34" s="773">
        <f>ROUND(IF(B25="楼层修正",SUM(V2:V16)*M40,C34*D34/10000),0)</f>
        <v>0</v>
      </c>
      <c r="F34" s="2100" t="s">
        <v>2032</v>
      </c>
      <c r="G34" s="2101"/>
      <c r="H34" s="2101"/>
      <c r="I34" s="2101"/>
      <c r="J34" s="2102"/>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3264</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3268</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90"/>
      <c r="B37" s="2109" t="s">
        <v>2036</v>
      </c>
      <c r="C37" s="175">
        <f>ROUND(D5*C22*C23*C24*C28*F37,0)</f>
        <v>24335</v>
      </c>
      <c r="D37" s="2094"/>
      <c r="E37" s="171">
        <f>ROUND(C37*D37/10000,0)</f>
        <v>0</v>
      </c>
      <c r="F37" s="171">
        <f>SUMIF(修正!A57:A68,G2,修正!B57:B68)</f>
        <v>0.7</v>
      </c>
      <c r="G37" s="171">
        <f>ROUND(IF(E2="工业",C37*$M$42,C37*$M$41),0)</f>
        <v>6084</v>
      </c>
      <c r="H37" s="171">
        <f>D37</f>
        <v>0</v>
      </c>
      <c r="I37" s="171">
        <f>ROUND(G37*H37/10000,0)</f>
        <v>0</v>
      </c>
      <c r="J37" s="3007"/>
      <c r="K37" s="3354" t="s">
        <v>3269</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1"/>
      <c r="B38" s="2037" t="s">
        <v>2037</v>
      </c>
      <c r="C38" s="175">
        <f>ROUND(D5*C22*C23*C24*C28*F38,0)</f>
        <v>13906</v>
      </c>
      <c r="D38" s="2094"/>
      <c r="E38" s="171">
        <f t="shared" ref="E38:E42" si="4">ROUND(C38*D38/10000,0)</f>
        <v>0</v>
      </c>
      <c r="F38" s="171">
        <f>SUMIF(修正!A57:A68,G2,修正!C57:C68)</f>
        <v>0.4</v>
      </c>
      <c r="G38" s="171">
        <f>ROUND(IF(E2="工业",C38*$M$42,C38*$M$41),0)</f>
        <v>3477</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91"/>
      <c r="B39" s="2037" t="s">
        <v>3262</v>
      </c>
      <c r="C39" s="175">
        <f>ROUND(D5*C22*C23*C24*C28*F39,0)</f>
        <v>10429</v>
      </c>
      <c r="D39" s="2094"/>
      <c r="E39" s="171">
        <f t="shared" si="4"/>
        <v>0</v>
      </c>
      <c r="F39" s="171">
        <f>SUMIF(修正!A57:A68,G2,修正!D57:D68)</f>
        <v>0.3</v>
      </c>
      <c r="G39" s="171">
        <f>ROUND(IF(E2="工业",C39*$M$42,C39*$M$41),0)</f>
        <v>2607</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10429</v>
      </c>
      <c r="D40" s="2094"/>
      <c r="E40" s="171">
        <f t="shared" si="4"/>
        <v>0</v>
      </c>
      <c r="F40" s="175">
        <f>SUMIF(修正!A57:A68,G2,修正!E57:E68)</f>
        <v>0.3</v>
      </c>
      <c r="G40" s="171">
        <f>ROUND(IF(E2="工业",C40*$M$42,C40*$M$41),0)</f>
        <v>2607</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3270</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1" hidden="1">
      <c r="A51" s="2126" t="s">
        <v>2053</v>
      </c>
      <c r="B51" s="2130" t="str">
        <f>估价对象房地状况!C18</f>
        <v>周边有3路、24路、110路、117路、120路等多条公交线路及地铁10号线农业展览馆站，综合评价交通便捷度较好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3272</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65.75" hidden="1">
      <c r="A56" s="2133" t="s">
        <v>2059</v>
      </c>
      <c r="B5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4" t="s">
        <v>2061</v>
      </c>
      <c r="B58" s="2135" t="str">
        <f>估价对象房地状况!C20</f>
        <v>自然环境：亮马河等自然水系景观；
人文环境：北京工人体育场、全国农业展览馆等人文场所；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hidden="1">
      <c r="A62" s="2126" t="s">
        <v>2053</v>
      </c>
      <c r="B62" s="2130" t="str">
        <f>估价对象房地状况!C18</f>
        <v>周边有3路、24路、110路、117路、120路等多条公交线路及地铁10号线农业展览馆站，综合评价交通便捷度较好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3272</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65.75" hidden="1">
      <c r="A67" s="2126" t="s">
        <v>2059</v>
      </c>
      <c r="B67"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4" t="s">
        <v>2061</v>
      </c>
      <c r="B69" s="2136" t="str">
        <f>估价对象房地状况!C20</f>
        <v>自然环境：亮马河等自然水系景观；
人文环境：北京工人体育场、全国农业展览馆等人文场所；
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周边有首开幸福广场、海晟名苑、三里屯北里、幸福二村社区等住宅小区，居住社区成熟度较好。</v>
      </c>
      <c r="C72" s="2040" t="s">
        <v>3410</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51">
      <c r="A73" s="2126" t="s">
        <v>2053</v>
      </c>
      <c r="B73" s="2130" t="str">
        <f>估价对象房地状况!C18</f>
        <v>周边有3路、24路、110路、117路、120路等多条公交线路及地铁10号线农业展览馆站，综合评价交通便捷度较好</v>
      </c>
      <c r="C73" s="2040" t="s">
        <v>3410</v>
      </c>
      <c r="D73" s="1065">
        <f t="shared" si="17"/>
        <v>1.2699999999999999E-2</v>
      </c>
      <c r="E73" s="747"/>
      <c r="F73" s="1813"/>
      <c r="G73" s="1063">
        <v>1.2699999999999999E-2</v>
      </c>
      <c r="H73" s="1066">
        <f t="shared" si="18"/>
        <v>1.2699999999999999E-2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3272</v>
      </c>
      <c r="B74" s="2130">
        <f>估价对象房地状况!C19</f>
        <v>0</v>
      </c>
      <c r="C74" s="2040" t="s">
        <v>3410</v>
      </c>
      <c r="D74" s="1065">
        <f t="shared" si="17"/>
        <v>4.8999999999999998E-3</v>
      </c>
      <c r="E74" s="747"/>
      <c r="F74" s="1813"/>
      <c r="G74" s="1063">
        <v>4.8999999999999998E-3</v>
      </c>
      <c r="H74" s="1066">
        <f t="shared" si="18"/>
        <v>4.8999999999999998E-3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3411</v>
      </c>
      <c r="D75" s="1065">
        <f t="shared" si="17"/>
        <v>0</v>
      </c>
      <c r="E75" s="747"/>
      <c r="F75" s="1813"/>
      <c r="G75" s="1063">
        <v>2.3999999999999998E-3</v>
      </c>
      <c r="H75" s="1066">
        <f t="shared" si="18"/>
        <v>2.3999999999999998E-3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65.75">
      <c r="A76" s="2126" t="s">
        <v>2059</v>
      </c>
      <c r="B7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76" s="2040" t="s">
        <v>3410</v>
      </c>
      <c r="D76" s="1065">
        <f t="shared" si="17"/>
        <v>3.8999999999999998E-3</v>
      </c>
      <c r="E76" s="747"/>
      <c r="F76" s="1813"/>
      <c r="G76" s="1063">
        <v>3.8999999999999998E-3</v>
      </c>
      <c r="H76" s="1066">
        <f t="shared" si="18"/>
        <v>3.8999999999999998E-3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3412</v>
      </c>
      <c r="D77" s="1065">
        <f t="shared" si="17"/>
        <v>8.8000000000000005E-3</v>
      </c>
      <c r="E77" s="747"/>
      <c r="F77" s="1813"/>
      <c r="G77" s="1063">
        <v>4.4000000000000003E-3</v>
      </c>
      <c r="H77" s="1066">
        <f t="shared" si="18"/>
        <v>4.4000000000000003E-3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3410</v>
      </c>
      <c r="D78" s="1065">
        <f t="shared" si="17"/>
        <v>2.3999999999999998E-3</v>
      </c>
      <c r="E78" s="747"/>
      <c r="F78" s="1813"/>
      <c r="G78" s="1063">
        <v>2.3999999999999998E-3</v>
      </c>
      <c r="H78" s="1066">
        <f t="shared" si="18"/>
        <v>2.3999999999999998E-3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63.75">
      <c r="A79" s="2126" t="s">
        <v>2061</v>
      </c>
      <c r="B79" s="2129" t="str">
        <f>估价对象房地状况!C20</f>
        <v>自然环境：亮马河等自然水系景观；
人文环境：北京工人体育场、全国农业展览馆等人文场所；
综合评价环境状况较好。</v>
      </c>
      <c r="C79" s="2040" t="s">
        <v>3411</v>
      </c>
      <c r="D79" s="1065">
        <f t="shared" si="17"/>
        <v>0</v>
      </c>
      <c r="E79" s="747"/>
      <c r="F79" s="1813"/>
      <c r="G79" s="1063">
        <v>5.7999999999999996E-3</v>
      </c>
      <c r="H79" s="1066">
        <f t="shared" si="18"/>
        <v>5.7999999999999996E-3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3410</v>
      </c>
      <c r="D80" s="1065">
        <f t="shared" si="17"/>
        <v>2.3999999999999998E-3</v>
      </c>
      <c r="E80" s="748"/>
      <c r="F80" s="1813"/>
      <c r="G80" s="1063">
        <v>2.3999999999999998E-3</v>
      </c>
      <c r="H80" s="1066">
        <f t="shared" si="18"/>
        <v>2.3999999999999998E-3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3273</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3276</v>
      </c>
      <c r="B94" s="3365" t="str">
        <f>估价对象房地状况!C18</f>
        <v>周边有3路、24路、110路、117路、120路等多条公交线路及地铁10号线农业展览馆站，综合评价交通便捷度较好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65.75">
      <c r="A99" s="3374" t="s">
        <v>3280</v>
      </c>
      <c r="B99" s="336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64.5" thickBot="1">
      <c r="A101" s="3375" t="s">
        <v>3282</v>
      </c>
      <c r="B101" s="3382" t="str">
        <f>估价对象房地状况!C20</f>
        <v>自然环境：亮马河等自然水系景观；
人文环境：北京工人体育场、全国农业展览馆等人文场所；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8" t="s">
        <v>3297</v>
      </c>
      <c r="B103" s="3788"/>
      <c r="C103" s="3788"/>
      <c r="D103" s="3788"/>
      <c r="E103" s="3788"/>
      <c r="F103" s="3788"/>
      <c r="G103" s="3788"/>
      <c r="H103" s="3788"/>
      <c r="I103" s="3788"/>
      <c r="J103" s="3788"/>
      <c r="K103" s="3385"/>
      <c r="L103" s="3385"/>
      <c r="M103" s="3385"/>
      <c r="N103" s="3385"/>
    </row>
    <row r="104" spans="1:14">
      <c r="A104" s="3789" t="s">
        <v>3298</v>
      </c>
      <c r="B104" s="3789" t="s">
        <v>3299</v>
      </c>
      <c r="C104" s="3386" t="s">
        <v>3300</v>
      </c>
      <c r="D104" s="3387"/>
      <c r="E104" s="3387"/>
      <c r="F104" s="3387"/>
      <c r="G104" s="3387"/>
      <c r="H104" s="3387"/>
      <c r="I104" s="3387"/>
      <c r="J104" s="3388"/>
      <c r="K104" s="3389"/>
      <c r="L104" s="3389"/>
      <c r="M104" s="3389"/>
      <c r="N104" s="3389"/>
    </row>
    <row r="105" spans="1:14">
      <c r="A105" s="3789"/>
      <c r="B105" s="378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7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8" t="s">
        <v>3314</v>
      </c>
      <c r="B113" s="3778"/>
      <c r="C113" s="3778"/>
      <c r="D113" s="3778"/>
      <c r="E113" s="3778"/>
      <c r="F113" s="3778"/>
      <c r="G113" s="3778"/>
      <c r="H113" s="3778"/>
      <c r="I113" s="3778"/>
      <c r="J113" s="377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3.35</v>
      </c>
      <c r="C116" s="3395" t="s">
        <v>3316</v>
      </c>
      <c r="D116" s="3396">
        <f>SUMPRODUCT((A118:A122=F116)*(B117:M117=H116)*B118:M122)</f>
        <v>0.90629999999999999</v>
      </c>
      <c r="E116" s="1996" t="s">
        <v>3317</v>
      </c>
      <c r="F116" s="3397" t="str">
        <f>E2</f>
        <v>住宅</v>
      </c>
      <c r="G116" s="1996" t="s">
        <v>3318</v>
      </c>
      <c r="H116" s="3397" t="str">
        <f>G2</f>
        <v>二级</v>
      </c>
      <c r="I116" s="1996"/>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5">I118</f>
        <v>0.7883</v>
      </c>
      <c r="K118" s="3383">
        <f t="shared" si="35"/>
        <v>0.7883</v>
      </c>
      <c r="L118" s="3383">
        <f t="shared" si="35"/>
        <v>0.7883</v>
      </c>
      <c r="M118" s="3406">
        <f t="shared" si="35"/>
        <v>0.7883</v>
      </c>
      <c r="N118" s="3393"/>
    </row>
    <row r="119" spans="1:14">
      <c r="A119" s="3405" t="s">
        <v>3332</v>
      </c>
      <c r="B119" s="3383">
        <f>ROUND(0.993-0.0112*B116,4)</f>
        <v>0.95550000000000002</v>
      </c>
      <c r="C119" s="3383">
        <f>B119</f>
        <v>0.95550000000000002</v>
      </c>
      <c r="D119" s="3383">
        <f>ROUND(0.9415-0.0142*B116,4)</f>
        <v>0.89390000000000003</v>
      </c>
      <c r="E119" s="3383">
        <f t="shared" ref="E119:H120" si="36">D119</f>
        <v>0.89390000000000003</v>
      </c>
      <c r="F119" s="3383">
        <f t="shared" si="36"/>
        <v>0.89390000000000003</v>
      </c>
      <c r="G119" s="3383">
        <f t="shared" si="36"/>
        <v>0.89390000000000003</v>
      </c>
      <c r="H119" s="3383">
        <f t="shared" si="36"/>
        <v>0.89390000000000003</v>
      </c>
      <c r="I119" s="3383">
        <f>ROUND(0.838-0.0182*B116,4)</f>
        <v>0.77700000000000002</v>
      </c>
      <c r="J119" s="3383">
        <f t="shared" si="35"/>
        <v>0.77700000000000002</v>
      </c>
      <c r="K119" s="3383">
        <f t="shared" si="35"/>
        <v>0.77700000000000002</v>
      </c>
      <c r="L119" s="3383">
        <f t="shared" si="35"/>
        <v>0.77700000000000002</v>
      </c>
      <c r="M119" s="3406">
        <f t="shared" si="35"/>
        <v>0.77700000000000002</v>
      </c>
      <c r="N119" s="3393"/>
    </row>
    <row r="120" spans="1:14">
      <c r="A120" s="3405" t="s">
        <v>3333</v>
      </c>
      <c r="B120" s="3383">
        <f>ROUND(0.9448-0.0115*B116,4)</f>
        <v>0.90629999999999999</v>
      </c>
      <c r="C120" s="3383">
        <f>B120</f>
        <v>0.90629999999999999</v>
      </c>
      <c r="D120" s="3383">
        <f>ROUND(0.937-0.0145*B116,4)</f>
        <v>0.88839999999999997</v>
      </c>
      <c r="E120" s="3383">
        <f t="shared" si="36"/>
        <v>0.88839999999999997</v>
      </c>
      <c r="F120" s="3383">
        <f t="shared" si="36"/>
        <v>0.88839999999999997</v>
      </c>
      <c r="G120" s="3383">
        <f t="shared" si="36"/>
        <v>0.88839999999999997</v>
      </c>
      <c r="H120" s="3383">
        <f t="shared" si="36"/>
        <v>0.88839999999999997</v>
      </c>
      <c r="I120" s="3383">
        <f>ROUND(0.7965-0.0185*B116,4)</f>
        <v>0.73450000000000004</v>
      </c>
      <c r="J120" s="3383">
        <f t="shared" si="35"/>
        <v>0.73450000000000004</v>
      </c>
      <c r="K120" s="3383">
        <f t="shared" si="35"/>
        <v>0.73450000000000004</v>
      </c>
      <c r="L120" s="3383">
        <f t="shared" si="35"/>
        <v>0.73450000000000004</v>
      </c>
      <c r="M120" s="3406">
        <f t="shared" si="35"/>
        <v>0.73450000000000004</v>
      </c>
      <c r="N120" s="3393"/>
    </row>
    <row r="121" spans="1:14" ht="13.5" thickBot="1">
      <c r="A121" s="3407" t="s">
        <v>3334</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5"/>
        <v>0.52690000000000003</v>
      </c>
      <c r="K121" s="3408">
        <f t="shared" si="35"/>
        <v>0.52690000000000003</v>
      </c>
      <c r="L121" s="3408">
        <f t="shared" si="35"/>
        <v>0.52690000000000003</v>
      </c>
      <c r="M121" s="3409">
        <f t="shared" si="35"/>
        <v>0.52690000000000003</v>
      </c>
      <c r="N121" s="3393"/>
    </row>
    <row r="122" spans="1:14">
      <c r="A122" s="3410" t="s">
        <v>2613</v>
      </c>
      <c r="B122" s="3383">
        <f>ROUND(0.9404-0.0106*B116,4)</f>
        <v>0.90490000000000004</v>
      </c>
      <c r="C122" s="3383">
        <f>B122</f>
        <v>0.90490000000000004</v>
      </c>
      <c r="D122" s="3383">
        <f>ROUND(0.8955-0.0135*B116,4)</f>
        <v>0.85029999999999994</v>
      </c>
      <c r="E122" s="3383">
        <f t="shared" ref="E122:H122" si="37">D122</f>
        <v>0.85029999999999994</v>
      </c>
      <c r="F122" s="3383">
        <f t="shared" si="37"/>
        <v>0.85029999999999994</v>
      </c>
      <c r="G122" s="3383">
        <f t="shared" si="37"/>
        <v>0.85029999999999994</v>
      </c>
      <c r="H122" s="3383">
        <f t="shared" si="37"/>
        <v>0.85029999999999994</v>
      </c>
      <c r="I122" s="3383">
        <f>ROUND(0.7632-0.0166*B116,4)</f>
        <v>0.70760000000000001</v>
      </c>
      <c r="J122" s="3383">
        <f t="shared" si="35"/>
        <v>0.70760000000000001</v>
      </c>
      <c r="K122" s="3383">
        <f t="shared" si="35"/>
        <v>0.70760000000000001</v>
      </c>
      <c r="L122" s="3383">
        <f t="shared" si="35"/>
        <v>0.70760000000000001</v>
      </c>
      <c r="M122" s="3406">
        <f t="shared" si="35"/>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03" t="s">
        <v>2608</v>
      </c>
      <c r="B20" s="3798" t="s">
        <v>2629</v>
      </c>
      <c r="C20" s="3098" t="s">
        <v>2440</v>
      </c>
      <c r="D20" s="3099"/>
      <c r="E20" s="3100">
        <v>1</v>
      </c>
      <c r="F20" s="3101" t="s">
        <v>2441</v>
      </c>
      <c r="G20" s="3101"/>
    </row>
    <row r="21" spans="1:13" ht="19.5" customHeight="1">
      <c r="A21" s="3804"/>
      <c r="B21" s="3797"/>
      <c r="C21" s="3102" t="s">
        <v>2442</v>
      </c>
      <c r="D21" s="3103"/>
      <c r="E21" s="3104">
        <v>1</v>
      </c>
      <c r="F21" s="3101" t="s">
        <v>2443</v>
      </c>
      <c r="G21" s="3101"/>
    </row>
    <row r="22" spans="1:13" ht="19.5" customHeight="1">
      <c r="A22" s="3804"/>
      <c r="B22" s="3797"/>
      <c r="C22" s="3102" t="s">
        <v>2444</v>
      </c>
      <c r="D22" s="3103"/>
      <c r="E22" s="3104">
        <v>0.9</v>
      </c>
      <c r="F22" s="3101" t="s">
        <v>2445</v>
      </c>
      <c r="G22" s="3101"/>
    </row>
    <row r="23" spans="1:13" ht="19.5" customHeight="1">
      <c r="A23" s="3804"/>
      <c r="B23" s="3797"/>
      <c r="C23" s="3102" t="s">
        <v>2446</v>
      </c>
      <c r="D23" s="3103"/>
      <c r="E23" s="3104">
        <v>0.9</v>
      </c>
      <c r="F23" s="3101" t="s">
        <v>2447</v>
      </c>
      <c r="G23" s="3101"/>
    </row>
    <row r="24" spans="1:13" ht="19.5" customHeight="1">
      <c r="A24" s="3804"/>
      <c r="B24" s="3797"/>
      <c r="C24" s="3102" t="s">
        <v>2448</v>
      </c>
      <c r="D24" s="3103"/>
      <c r="E24" s="3104">
        <v>0.8</v>
      </c>
      <c r="F24" s="3101" t="s">
        <v>2449</v>
      </c>
      <c r="G24" s="3101"/>
    </row>
    <row r="25" spans="1:13" ht="19.5" customHeight="1" thickBot="1">
      <c r="A25" s="3805"/>
      <c r="B25" s="3799"/>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00" t="s">
        <v>2632</v>
      </c>
      <c r="B27" s="3798" t="s">
        <v>2613</v>
      </c>
      <c r="C27" s="3098" t="s">
        <v>2453</v>
      </c>
      <c r="D27" s="3099"/>
      <c r="E27" s="3100">
        <v>1</v>
      </c>
      <c r="F27" s="3101" t="s">
        <v>2454</v>
      </c>
      <c r="G27" s="3101"/>
    </row>
    <row r="28" spans="1:13" ht="19.5" customHeight="1">
      <c r="A28" s="3801"/>
      <c r="B28" s="3797"/>
      <c r="C28" s="3102" t="s">
        <v>2455</v>
      </c>
      <c r="D28" s="3103"/>
      <c r="E28" s="3104">
        <v>1</v>
      </c>
      <c r="F28" s="3101" t="s">
        <v>2456</v>
      </c>
      <c r="G28" s="3101"/>
    </row>
    <row r="29" spans="1:13" ht="19.5" customHeight="1">
      <c r="A29" s="3801"/>
      <c r="B29" s="3797"/>
      <c r="C29" s="3102" t="s">
        <v>2457</v>
      </c>
      <c r="D29" s="3103"/>
      <c r="E29" s="3104">
        <v>0.8</v>
      </c>
      <c r="F29" s="3101" t="s">
        <v>2458</v>
      </c>
      <c r="G29" s="3101"/>
    </row>
    <row r="30" spans="1:13" ht="19.5" customHeight="1">
      <c r="A30" s="3801"/>
      <c r="B30" s="3797"/>
      <c r="C30" s="3102" t="s">
        <v>2459</v>
      </c>
      <c r="D30" s="3103"/>
      <c r="E30" s="3104">
        <v>0.8</v>
      </c>
      <c r="F30" s="3101" t="s">
        <v>2460</v>
      </c>
      <c r="G30" s="3101"/>
    </row>
    <row r="31" spans="1:13" ht="19.5" customHeight="1">
      <c r="A31" s="3801"/>
      <c r="B31" s="3797"/>
      <c r="C31" s="3102" t="s">
        <v>2461</v>
      </c>
      <c r="D31" s="3103"/>
      <c r="E31" s="3104">
        <v>0.8</v>
      </c>
      <c r="F31" s="3101" t="s">
        <v>2462</v>
      </c>
      <c r="G31" s="3101"/>
    </row>
    <row r="32" spans="1:13" ht="19.5" customHeight="1">
      <c r="A32" s="3801"/>
      <c r="B32" s="3797"/>
      <c r="C32" s="3102" t="s">
        <v>2463</v>
      </c>
      <c r="D32" s="3103"/>
      <c r="E32" s="3104">
        <v>0.7</v>
      </c>
      <c r="F32" s="3101" t="s">
        <v>2464</v>
      </c>
      <c r="G32" s="3101"/>
    </row>
    <row r="33" spans="1:7" ht="19.5" customHeight="1">
      <c r="A33" s="3801"/>
      <c r="B33" s="3797"/>
      <c r="C33" s="3102" t="s">
        <v>2465</v>
      </c>
      <c r="D33" s="3103"/>
      <c r="E33" s="3104">
        <v>0.8</v>
      </c>
      <c r="F33" s="3101" t="s">
        <v>2466</v>
      </c>
      <c r="G33" s="3101"/>
    </row>
    <row r="34" spans="1:7" ht="19.5" customHeight="1">
      <c r="A34" s="3801"/>
      <c r="B34" s="3797"/>
      <c r="C34" s="3102" t="s">
        <v>2467</v>
      </c>
      <c r="D34" s="3103"/>
      <c r="E34" s="3104">
        <v>0.6</v>
      </c>
      <c r="F34" s="3101" t="s">
        <v>2468</v>
      </c>
      <c r="G34" s="3101"/>
    </row>
    <row r="35" spans="1:7" ht="19.5" customHeight="1">
      <c r="A35" s="3801"/>
      <c r="B35" s="3797"/>
      <c r="C35" s="3102" t="s">
        <v>2469</v>
      </c>
      <c r="D35" s="3103"/>
      <c r="E35" s="3104">
        <v>0.2</v>
      </c>
      <c r="F35" s="3101" t="s">
        <v>2470</v>
      </c>
      <c r="G35" s="3101"/>
    </row>
    <row r="36" spans="1:7" ht="19.5" customHeight="1">
      <c r="A36" s="3801"/>
      <c r="B36" s="3797"/>
      <c r="C36" s="3102" t="s">
        <v>2471</v>
      </c>
      <c r="D36" s="3103"/>
      <c r="E36" s="3104">
        <v>0.2</v>
      </c>
      <c r="F36" s="3101" t="s">
        <v>2472</v>
      </c>
      <c r="G36" s="3101"/>
    </row>
    <row r="37" spans="1:7" ht="19.5" customHeight="1">
      <c r="A37" s="3801"/>
      <c r="B37" s="3795" t="s">
        <v>2633</v>
      </c>
      <c r="C37" s="3102" t="s">
        <v>2473</v>
      </c>
      <c r="D37" s="3103"/>
      <c r="E37" s="3104">
        <v>0.6</v>
      </c>
      <c r="F37" s="3101" t="s">
        <v>2474</v>
      </c>
      <c r="G37" s="3101"/>
    </row>
    <row r="38" spans="1:7" ht="19.5" customHeight="1">
      <c r="A38" s="3801"/>
      <c r="B38" s="3797"/>
      <c r="C38" s="3102" t="s">
        <v>2475</v>
      </c>
      <c r="D38" s="3103"/>
      <c r="E38" s="3104">
        <v>0.6</v>
      </c>
      <c r="F38" s="3101" t="s">
        <v>2476</v>
      </c>
      <c r="G38" s="3101"/>
    </row>
    <row r="39" spans="1:7" ht="19.5" customHeight="1" thickBot="1">
      <c r="A39" s="3802"/>
      <c r="B39" s="3799"/>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03" t="s">
        <v>2611</v>
      </c>
      <c r="B41" s="3798" t="s">
        <v>2635</v>
      </c>
      <c r="C41" s="3098" t="s">
        <v>2480</v>
      </c>
      <c r="D41" s="3099"/>
      <c r="E41" s="3100">
        <v>1</v>
      </c>
      <c r="F41" s="3101" t="s">
        <v>2481</v>
      </c>
      <c r="G41" s="3101"/>
    </row>
    <row r="42" spans="1:7" ht="19.5" customHeight="1">
      <c r="A42" s="3804"/>
      <c r="B42" s="3797"/>
      <c r="C42" s="3102" t="s">
        <v>2482</v>
      </c>
      <c r="D42" s="3103"/>
      <c r="E42" s="3104">
        <v>1</v>
      </c>
      <c r="F42" s="3101" t="s">
        <v>2483</v>
      </c>
      <c r="G42" s="3101"/>
    </row>
    <row r="43" spans="1:7" ht="19.5" customHeight="1">
      <c r="A43" s="3804"/>
      <c r="B43" s="3796"/>
      <c r="C43" s="3102" t="s">
        <v>2484</v>
      </c>
      <c r="D43" s="3103"/>
      <c r="E43" s="3104">
        <v>1.5</v>
      </c>
      <c r="F43" s="3101" t="s">
        <v>2485</v>
      </c>
      <c r="G43" s="3101"/>
    </row>
    <row r="44" spans="1:7" ht="19.5" customHeight="1">
      <c r="A44" s="3804"/>
      <c r="B44" s="3113" t="s">
        <v>2636</v>
      </c>
      <c r="C44" s="3102" t="s">
        <v>2637</v>
      </c>
      <c r="D44" s="3103"/>
      <c r="E44" s="3104">
        <v>2</v>
      </c>
      <c r="F44" s="3101" t="s">
        <v>2486</v>
      </c>
      <c r="G44" s="3101"/>
    </row>
    <row r="45" spans="1:7" ht="19.5" customHeight="1">
      <c r="A45" s="3804"/>
      <c r="B45" s="3795" t="s">
        <v>2638</v>
      </c>
      <c r="C45" s="3102" t="s">
        <v>2487</v>
      </c>
      <c r="D45" s="3103"/>
      <c r="E45" s="3104">
        <v>1</v>
      </c>
      <c r="F45" s="3101" t="s">
        <v>2488</v>
      </c>
      <c r="G45" s="3101"/>
    </row>
    <row r="46" spans="1:7" ht="19.5" customHeight="1">
      <c r="A46" s="3804"/>
      <c r="B46" s="3797"/>
      <c r="C46" s="3102" t="s">
        <v>2489</v>
      </c>
      <c r="D46" s="3103"/>
      <c r="E46" s="3104">
        <v>1</v>
      </c>
      <c r="F46" s="3101" t="s">
        <v>2490</v>
      </c>
      <c r="G46" s="3101"/>
    </row>
    <row r="47" spans="1:7" ht="19.5" customHeight="1">
      <c r="A47" s="3804"/>
      <c r="B47" s="3797"/>
      <c r="C47" s="3102" t="s">
        <v>2491</v>
      </c>
      <c r="D47" s="3103"/>
      <c r="E47" s="3104">
        <v>1</v>
      </c>
      <c r="F47" s="3101" t="s">
        <v>2492</v>
      </c>
      <c r="G47" s="3101"/>
    </row>
    <row r="48" spans="1:7" ht="19.5" customHeight="1">
      <c r="A48" s="3804"/>
      <c r="B48" s="3797"/>
      <c r="C48" s="3102" t="s">
        <v>2493</v>
      </c>
      <c r="D48" s="3103"/>
      <c r="E48" s="3104">
        <v>1</v>
      </c>
      <c r="F48" s="3101" t="s">
        <v>2494</v>
      </c>
      <c r="G48" s="3101"/>
    </row>
    <row r="49" spans="1:7" ht="19.5" customHeight="1">
      <c r="A49" s="3804"/>
      <c r="B49" s="3797"/>
      <c r="C49" s="3102" t="s">
        <v>2495</v>
      </c>
      <c r="D49" s="3103"/>
      <c r="E49" s="3104">
        <v>1</v>
      </c>
      <c r="F49" s="3101" t="s">
        <v>2496</v>
      </c>
      <c r="G49" s="3101"/>
    </row>
    <row r="50" spans="1:7" ht="19.5" customHeight="1">
      <c r="A50" s="3804"/>
      <c r="B50" s="3797"/>
      <c r="C50" s="3102" t="s">
        <v>2497</v>
      </c>
      <c r="D50" s="3103"/>
      <c r="E50" s="3104">
        <v>1</v>
      </c>
      <c r="F50" s="3101" t="s">
        <v>2498</v>
      </c>
      <c r="G50" s="3101"/>
    </row>
    <row r="51" spans="1:7" ht="19.5" customHeight="1" thickBot="1">
      <c r="A51" s="3805"/>
      <c r="B51" s="3799"/>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95" t="s">
        <v>2652</v>
      </c>
      <c r="C73" s="3087" t="s">
        <v>2653</v>
      </c>
      <c r="D73" s="3087" t="s">
        <v>2654</v>
      </c>
      <c r="E73" s="3113">
        <v>0.2</v>
      </c>
      <c r="F73" s="3113">
        <v>25</v>
      </c>
    </row>
    <row r="74" spans="1:7" ht="24">
      <c r="A74" s="3113">
        <v>2</v>
      </c>
      <c r="B74" s="3797"/>
      <c r="C74" s="3087" t="s">
        <v>2655</v>
      </c>
      <c r="D74" s="3087" t="s">
        <v>2656</v>
      </c>
      <c r="E74" s="3113">
        <v>0.2</v>
      </c>
      <c r="F74" s="3113">
        <v>25</v>
      </c>
    </row>
    <row r="75" spans="1:7" ht="24">
      <c r="A75" s="3113">
        <v>3</v>
      </c>
      <c r="B75" s="3797"/>
      <c r="C75" s="3087" t="s">
        <v>2657</v>
      </c>
      <c r="D75" s="3087" t="s">
        <v>2658</v>
      </c>
      <c r="E75" s="3113">
        <v>0.2</v>
      </c>
      <c r="F75" s="3113">
        <v>25</v>
      </c>
    </row>
    <row r="76" spans="1:7" ht="13.5">
      <c r="A76" s="3113">
        <v>4</v>
      </c>
      <c r="B76" s="3797"/>
      <c r="C76" s="3087" t="s">
        <v>2659</v>
      </c>
      <c r="D76" s="3087" t="s">
        <v>2660</v>
      </c>
      <c r="E76" s="3113">
        <v>0.15</v>
      </c>
      <c r="F76" s="3113">
        <v>20</v>
      </c>
    </row>
    <row r="77" spans="1:7" ht="24">
      <c r="A77" s="3113">
        <v>5</v>
      </c>
      <c r="B77" s="3797"/>
      <c r="C77" s="3087" t="s">
        <v>2661</v>
      </c>
      <c r="D77" s="3087" t="s">
        <v>2662</v>
      </c>
      <c r="E77" s="3113">
        <v>0.15</v>
      </c>
      <c r="F77" s="3113">
        <v>20</v>
      </c>
    </row>
    <row r="78" spans="1:7" ht="24">
      <c r="A78" s="3113">
        <v>6</v>
      </c>
      <c r="B78" s="3797"/>
      <c r="C78" s="3087" t="s">
        <v>2663</v>
      </c>
      <c r="D78" s="3087" t="s">
        <v>2664</v>
      </c>
      <c r="E78" s="3113">
        <v>0.15</v>
      </c>
      <c r="F78" s="3113">
        <v>20</v>
      </c>
    </row>
    <row r="79" spans="1:7" ht="24">
      <c r="A79" s="3113">
        <v>7</v>
      </c>
      <c r="B79" s="3797"/>
      <c r="C79" s="3087" t="s">
        <v>2665</v>
      </c>
      <c r="D79" s="3087" t="s">
        <v>2666</v>
      </c>
      <c r="E79" s="3113">
        <v>0.15</v>
      </c>
      <c r="F79" s="3113">
        <v>20</v>
      </c>
    </row>
    <row r="80" spans="1:7" ht="24">
      <c r="A80" s="3113">
        <v>8</v>
      </c>
      <c r="B80" s="3797"/>
      <c r="C80" s="3087" t="s">
        <v>2667</v>
      </c>
      <c r="D80" s="3087" t="s">
        <v>2668</v>
      </c>
      <c r="E80" s="3113">
        <v>0.1</v>
      </c>
      <c r="F80" s="3113">
        <v>15</v>
      </c>
    </row>
    <row r="81" spans="1:6" ht="24">
      <c r="A81" s="3113">
        <v>9</v>
      </c>
      <c r="B81" s="3797"/>
      <c r="C81" s="3087" t="s">
        <v>2669</v>
      </c>
      <c r="D81" s="3087" t="s">
        <v>2670</v>
      </c>
      <c r="E81" s="3113">
        <v>0.1</v>
      </c>
      <c r="F81" s="3113">
        <v>15</v>
      </c>
    </row>
    <row r="82" spans="1:6" ht="24">
      <c r="A82" s="3113">
        <v>10</v>
      </c>
      <c r="B82" s="3797"/>
      <c r="C82" s="3087" t="s">
        <v>2671</v>
      </c>
      <c r="D82" s="3087" t="s">
        <v>2672</v>
      </c>
      <c r="E82" s="3113">
        <v>0.1</v>
      </c>
      <c r="F82" s="3113">
        <v>15</v>
      </c>
    </row>
    <row r="83" spans="1:6" ht="24">
      <c r="A83" s="3113">
        <v>11</v>
      </c>
      <c r="B83" s="3797"/>
      <c r="C83" s="3087" t="s">
        <v>2673</v>
      </c>
      <c r="D83" s="3087" t="s">
        <v>2674</v>
      </c>
      <c r="E83" s="3113">
        <v>0.1</v>
      </c>
      <c r="F83" s="3113">
        <v>15</v>
      </c>
    </row>
    <row r="84" spans="1:6" ht="24">
      <c r="A84" s="3113">
        <v>12</v>
      </c>
      <c r="B84" s="3797"/>
      <c r="C84" s="3087" t="s">
        <v>2675</v>
      </c>
      <c r="D84" s="3087" t="s">
        <v>2676</v>
      </c>
      <c r="E84" s="3113">
        <v>0.1</v>
      </c>
      <c r="F84" s="3113">
        <v>15</v>
      </c>
    </row>
    <row r="85" spans="1:6" ht="13.5">
      <c r="A85" s="3113">
        <v>13</v>
      </c>
      <c r="B85" s="3797"/>
      <c r="C85" s="3087" t="s">
        <v>2677</v>
      </c>
      <c r="D85" s="3087" t="s">
        <v>2678</v>
      </c>
      <c r="E85" s="3113">
        <v>0.1</v>
      </c>
      <c r="F85" s="3113">
        <v>15</v>
      </c>
    </row>
    <row r="86" spans="1:6" ht="13.5">
      <c r="A86" s="3113">
        <v>14</v>
      </c>
      <c r="B86" s="3797"/>
      <c r="C86" s="3087" t="s">
        <v>2679</v>
      </c>
      <c r="D86" s="3087" t="s">
        <v>2680</v>
      </c>
      <c r="E86" s="3113">
        <v>0.1</v>
      </c>
      <c r="F86" s="3113">
        <v>15</v>
      </c>
    </row>
    <row r="87" spans="1:6" ht="13.5">
      <c r="A87" s="3113">
        <v>15</v>
      </c>
      <c r="B87" s="3797"/>
      <c r="C87" s="3087" t="s">
        <v>2681</v>
      </c>
      <c r="D87" s="3087" t="s">
        <v>2682</v>
      </c>
      <c r="E87" s="3113">
        <v>0.1</v>
      </c>
      <c r="F87" s="3113">
        <v>15</v>
      </c>
    </row>
    <row r="88" spans="1:6" ht="24">
      <c r="A88" s="3113">
        <v>16</v>
      </c>
      <c r="B88" s="3797"/>
      <c r="C88" s="3087" t="s">
        <v>2683</v>
      </c>
      <c r="D88" s="3087" t="s">
        <v>2684</v>
      </c>
      <c r="E88" s="3113">
        <v>0.1</v>
      </c>
      <c r="F88" s="3113">
        <v>15</v>
      </c>
    </row>
    <row r="89" spans="1:6" ht="24">
      <c r="A89" s="3113">
        <v>17</v>
      </c>
      <c r="B89" s="3796"/>
      <c r="C89" s="3087" t="s">
        <v>2685</v>
      </c>
      <c r="D89" s="3087" t="s">
        <v>2686</v>
      </c>
      <c r="E89" s="3113">
        <v>0.1</v>
      </c>
      <c r="F89" s="3113">
        <v>15</v>
      </c>
    </row>
    <row r="90" spans="1:6" ht="13.5">
      <c r="A90" s="3113">
        <v>18</v>
      </c>
      <c r="B90" s="3795" t="s">
        <v>2687</v>
      </c>
      <c r="C90" s="3087" t="s">
        <v>2688</v>
      </c>
      <c r="D90" s="3087" t="s">
        <v>2689</v>
      </c>
      <c r="E90" s="3113">
        <v>0.2</v>
      </c>
      <c r="F90" s="3113">
        <v>25</v>
      </c>
    </row>
    <row r="91" spans="1:6" ht="24">
      <c r="A91" s="3113">
        <v>19</v>
      </c>
      <c r="B91" s="3797"/>
      <c r="C91" s="3087" t="s">
        <v>2690</v>
      </c>
      <c r="D91" s="3087" t="s">
        <v>2691</v>
      </c>
      <c r="E91" s="3113">
        <v>0.2</v>
      </c>
      <c r="F91" s="3113">
        <v>25</v>
      </c>
    </row>
    <row r="92" spans="1:6" ht="13.5">
      <c r="A92" s="3113">
        <v>20</v>
      </c>
      <c r="B92" s="3797"/>
      <c r="C92" s="3087" t="s">
        <v>2692</v>
      </c>
      <c r="D92" s="3087" t="s">
        <v>2693</v>
      </c>
      <c r="E92" s="3113">
        <v>0.15</v>
      </c>
      <c r="F92" s="3113">
        <v>20</v>
      </c>
    </row>
    <row r="93" spans="1:6" ht="13.5">
      <c r="A93" s="3113">
        <v>21</v>
      </c>
      <c r="B93" s="3797"/>
      <c r="C93" s="3087" t="s">
        <v>2694</v>
      </c>
      <c r="D93" s="3087" t="s">
        <v>2695</v>
      </c>
      <c r="E93" s="3113">
        <v>0.15</v>
      </c>
      <c r="F93" s="3113">
        <v>20</v>
      </c>
    </row>
    <row r="94" spans="1:6" ht="13.5">
      <c r="A94" s="3113">
        <v>22</v>
      </c>
      <c r="B94" s="3797"/>
      <c r="C94" s="3087" t="s">
        <v>2696</v>
      </c>
      <c r="D94" s="3087" t="s">
        <v>2697</v>
      </c>
      <c r="E94" s="3113">
        <v>0.15</v>
      </c>
      <c r="F94" s="3113">
        <v>20</v>
      </c>
    </row>
    <row r="95" spans="1:6" ht="36">
      <c r="A95" s="3113">
        <v>23</v>
      </c>
      <c r="B95" s="3797"/>
      <c r="C95" s="3087" t="s">
        <v>2698</v>
      </c>
      <c r="D95" s="3087" t="s">
        <v>2699</v>
      </c>
      <c r="E95" s="3113">
        <v>0.15</v>
      </c>
      <c r="F95" s="3113">
        <v>20</v>
      </c>
    </row>
    <row r="96" spans="1:6" ht="13.5">
      <c r="A96" s="3113">
        <v>24</v>
      </c>
      <c r="B96" s="3797"/>
      <c r="C96" s="3087" t="s">
        <v>2700</v>
      </c>
      <c r="D96" s="3087" t="s">
        <v>2701</v>
      </c>
      <c r="E96" s="3113">
        <v>0.1</v>
      </c>
      <c r="F96" s="3113">
        <v>15</v>
      </c>
    </row>
    <row r="97" spans="1:6" ht="13.5">
      <c r="A97" s="3113">
        <v>25</v>
      </c>
      <c r="B97" s="3797"/>
      <c r="C97" s="3087" t="s">
        <v>2702</v>
      </c>
      <c r="D97" s="3087" t="s">
        <v>2703</v>
      </c>
      <c r="E97" s="3113">
        <v>0.1</v>
      </c>
      <c r="F97" s="3113">
        <v>15</v>
      </c>
    </row>
    <row r="98" spans="1:6" ht="24">
      <c r="A98" s="3113">
        <v>26</v>
      </c>
      <c r="B98" s="3797"/>
      <c r="C98" s="3087" t="s">
        <v>2704</v>
      </c>
      <c r="D98" s="3087" t="s">
        <v>2705</v>
      </c>
      <c r="E98" s="3113">
        <v>0.1</v>
      </c>
      <c r="F98" s="3113">
        <v>15</v>
      </c>
    </row>
    <row r="99" spans="1:6" ht="24">
      <c r="A99" s="3113">
        <v>27</v>
      </c>
      <c r="B99" s="3797"/>
      <c r="C99" s="3087" t="s">
        <v>2706</v>
      </c>
      <c r="D99" s="3087" t="s">
        <v>2707</v>
      </c>
      <c r="E99" s="3113">
        <v>0.1</v>
      </c>
      <c r="F99" s="3113">
        <v>15</v>
      </c>
    </row>
    <row r="100" spans="1:6" ht="13.5">
      <c r="A100" s="3113">
        <v>28</v>
      </c>
      <c r="B100" s="3797"/>
      <c r="C100" s="3087" t="s">
        <v>2708</v>
      </c>
      <c r="D100" s="3087" t="s">
        <v>2709</v>
      </c>
      <c r="E100" s="3113">
        <v>0.1</v>
      </c>
      <c r="F100" s="3113">
        <v>15</v>
      </c>
    </row>
    <row r="101" spans="1:6" ht="13.5">
      <c r="A101" s="3113">
        <v>29</v>
      </c>
      <c r="B101" s="3797"/>
      <c r="C101" s="3087" t="s">
        <v>2710</v>
      </c>
      <c r="D101" s="3087" t="s">
        <v>2711</v>
      </c>
      <c r="E101" s="3113">
        <v>0.1</v>
      </c>
      <c r="F101" s="3113">
        <v>15</v>
      </c>
    </row>
    <row r="102" spans="1:6" ht="13.5">
      <c r="A102" s="3113">
        <v>30</v>
      </c>
      <c r="B102" s="3797"/>
      <c r="C102" s="3087" t="s">
        <v>2712</v>
      </c>
      <c r="D102" s="3087" t="s">
        <v>2713</v>
      </c>
      <c r="E102" s="3113">
        <v>0.1</v>
      </c>
      <c r="F102" s="3113">
        <v>15</v>
      </c>
    </row>
    <row r="103" spans="1:6" ht="24">
      <c r="A103" s="3113">
        <v>31</v>
      </c>
      <c r="B103" s="3797"/>
      <c r="C103" s="3087" t="s">
        <v>2714</v>
      </c>
      <c r="D103" s="3087" t="s">
        <v>2715</v>
      </c>
      <c r="E103" s="3113">
        <v>0.1</v>
      </c>
      <c r="F103" s="3113">
        <v>15</v>
      </c>
    </row>
    <row r="104" spans="1:6" ht="24">
      <c r="A104" s="3113">
        <v>32</v>
      </c>
      <c r="B104" s="3797"/>
      <c r="C104" s="3087" t="s">
        <v>2716</v>
      </c>
      <c r="D104" s="3087" t="s">
        <v>2717</v>
      </c>
      <c r="E104" s="3113">
        <v>0.1</v>
      </c>
      <c r="F104" s="3113">
        <v>15</v>
      </c>
    </row>
    <row r="105" spans="1:6" ht="24">
      <c r="A105" s="3113">
        <v>33</v>
      </c>
      <c r="B105" s="3797"/>
      <c r="C105" s="3087" t="s">
        <v>2718</v>
      </c>
      <c r="D105" s="3087" t="s">
        <v>2719</v>
      </c>
      <c r="E105" s="3113">
        <v>0.1</v>
      </c>
      <c r="F105" s="3113">
        <v>15</v>
      </c>
    </row>
    <row r="106" spans="1:6" ht="24">
      <c r="A106" s="3113">
        <v>34</v>
      </c>
      <c r="B106" s="3796"/>
      <c r="C106" s="3087" t="s">
        <v>2720</v>
      </c>
      <c r="D106" s="3087" t="s">
        <v>2721</v>
      </c>
      <c r="E106" s="3113">
        <v>0.1</v>
      </c>
      <c r="F106" s="3113">
        <v>15</v>
      </c>
    </row>
    <row r="107" spans="1:6" ht="24">
      <c r="A107" s="3113">
        <v>35</v>
      </c>
      <c r="B107" s="3795" t="s">
        <v>2722</v>
      </c>
      <c r="C107" s="3113" t="s">
        <v>2723</v>
      </c>
      <c r="D107" s="3087" t="s">
        <v>2724</v>
      </c>
      <c r="E107" s="3113">
        <v>0.15</v>
      </c>
      <c r="F107" s="3113">
        <v>20</v>
      </c>
    </row>
    <row r="108" spans="1:6" ht="13.5">
      <c r="A108" s="3113">
        <v>36</v>
      </c>
      <c r="B108" s="3797"/>
      <c r="C108" s="3113" t="s">
        <v>2725</v>
      </c>
      <c r="D108" s="3087" t="s">
        <v>2726</v>
      </c>
      <c r="E108" s="3113">
        <v>0.15</v>
      </c>
      <c r="F108" s="3113">
        <v>20</v>
      </c>
    </row>
    <row r="109" spans="1:6" ht="13.5">
      <c r="A109" s="3113">
        <v>37</v>
      </c>
      <c r="B109" s="3797"/>
      <c r="C109" s="3113" t="s">
        <v>2727</v>
      </c>
      <c r="D109" s="3087" t="s">
        <v>2728</v>
      </c>
      <c r="E109" s="3113">
        <v>0.15</v>
      </c>
      <c r="F109" s="3113">
        <v>20</v>
      </c>
    </row>
    <row r="110" spans="1:6" ht="13.5">
      <c r="A110" s="3113">
        <v>38</v>
      </c>
      <c r="B110" s="3797"/>
      <c r="C110" s="3113" t="s">
        <v>2729</v>
      </c>
      <c r="D110" s="3087" t="s">
        <v>2730</v>
      </c>
      <c r="E110" s="3113">
        <v>0.1</v>
      </c>
      <c r="F110" s="3113">
        <v>15</v>
      </c>
    </row>
    <row r="111" spans="1:6" ht="24">
      <c r="A111" s="3113">
        <v>39</v>
      </c>
      <c r="B111" s="3797"/>
      <c r="C111" s="3113" t="s">
        <v>2731</v>
      </c>
      <c r="D111" s="3087" t="s">
        <v>2732</v>
      </c>
      <c r="E111" s="3113">
        <v>0.1</v>
      </c>
      <c r="F111" s="3113">
        <v>15</v>
      </c>
    </row>
    <row r="112" spans="1:6" ht="24">
      <c r="A112" s="3113">
        <v>40</v>
      </c>
      <c r="B112" s="3796"/>
      <c r="C112" s="3113" t="s">
        <v>2733</v>
      </c>
      <c r="D112" s="3087" t="s">
        <v>2734</v>
      </c>
      <c r="E112" s="3113">
        <v>0.1</v>
      </c>
      <c r="F112" s="3113">
        <v>15</v>
      </c>
    </row>
    <row r="113" spans="1:6" ht="13.5">
      <c r="A113" s="3113">
        <v>41</v>
      </c>
      <c r="B113" s="3794" t="s">
        <v>2735</v>
      </c>
      <c r="C113" s="3113" t="s">
        <v>2736</v>
      </c>
      <c r="D113" s="3087" t="s">
        <v>2737</v>
      </c>
      <c r="E113" s="3113">
        <v>0.1</v>
      </c>
      <c r="F113" s="3113">
        <v>15</v>
      </c>
    </row>
    <row r="114" spans="1:6" ht="13.5">
      <c r="A114" s="3113">
        <v>42</v>
      </c>
      <c r="B114" s="3794"/>
      <c r="C114" s="3113" t="s">
        <v>2738</v>
      </c>
      <c r="D114" s="3087" t="s">
        <v>2739</v>
      </c>
      <c r="E114" s="3113">
        <v>0.1</v>
      </c>
      <c r="F114" s="3113">
        <v>15</v>
      </c>
    </row>
    <row r="115" spans="1:6" ht="24">
      <c r="A115" s="3113">
        <v>43</v>
      </c>
      <c r="B115" s="3794"/>
      <c r="C115" s="3113" t="s">
        <v>2740</v>
      </c>
      <c r="D115" s="3087" t="s">
        <v>2741</v>
      </c>
      <c r="E115" s="3113">
        <v>0.1</v>
      </c>
      <c r="F115" s="3113">
        <v>15</v>
      </c>
    </row>
    <row r="116" spans="1:6" ht="13.5">
      <c r="A116" s="3113">
        <v>44</v>
      </c>
      <c r="B116" s="3795" t="s">
        <v>2742</v>
      </c>
      <c r="C116" s="3113" t="s">
        <v>2743</v>
      </c>
      <c r="D116" s="3087" t="s">
        <v>2744</v>
      </c>
      <c r="E116" s="3113">
        <v>0.1</v>
      </c>
      <c r="F116" s="3113">
        <v>15</v>
      </c>
    </row>
    <row r="117" spans="1:6" ht="24">
      <c r="A117" s="3113">
        <v>45</v>
      </c>
      <c r="B117" s="3796"/>
      <c r="C117" s="3087" t="s">
        <v>2745</v>
      </c>
      <c r="D117" s="3087" t="s">
        <v>2746</v>
      </c>
      <c r="E117" s="3113">
        <v>0.1</v>
      </c>
      <c r="F117" s="3113">
        <v>15</v>
      </c>
    </row>
    <row r="118" spans="1:6" ht="24">
      <c r="A118" s="3113">
        <v>46</v>
      </c>
      <c r="B118" s="3795" t="s">
        <v>2747</v>
      </c>
      <c r="C118" s="3113" t="s">
        <v>2748</v>
      </c>
      <c r="D118" s="3087" t="s">
        <v>2749</v>
      </c>
      <c r="E118" s="3113">
        <v>0.1</v>
      </c>
      <c r="F118" s="3113">
        <v>15</v>
      </c>
    </row>
    <row r="119" spans="1:6" ht="24">
      <c r="A119" s="3113">
        <v>47</v>
      </c>
      <c r="B119" s="3796"/>
      <c r="C119" s="3113" t="s">
        <v>2750</v>
      </c>
      <c r="D119" s="3087" t="s">
        <v>2751</v>
      </c>
      <c r="E119" s="3113">
        <v>0.1</v>
      </c>
      <c r="F119" s="3113">
        <v>15</v>
      </c>
    </row>
    <row r="120" spans="1:6" ht="13.5">
      <c r="A120" s="3113">
        <v>48</v>
      </c>
      <c r="B120" s="3795" t="s">
        <v>2752</v>
      </c>
      <c r="C120" s="3113" t="s">
        <v>2753</v>
      </c>
      <c r="D120" s="3087" t="s">
        <v>2754</v>
      </c>
      <c r="E120" s="3113">
        <v>0.1</v>
      </c>
      <c r="F120" s="3113">
        <v>15</v>
      </c>
    </row>
    <row r="121" spans="1:6" ht="13.5">
      <c r="A121" s="3113">
        <v>49</v>
      </c>
      <c r="B121" s="3796"/>
      <c r="C121" s="3113" t="s">
        <v>2755</v>
      </c>
      <c r="D121" s="3087" t="s">
        <v>2756</v>
      </c>
      <c r="E121" s="3113">
        <v>0.1</v>
      </c>
      <c r="F121" s="3113">
        <v>15</v>
      </c>
    </row>
    <row r="122" spans="1:6" ht="24">
      <c r="A122" s="3113">
        <v>50</v>
      </c>
      <c r="B122" s="3794" t="s">
        <v>2757</v>
      </c>
      <c r="C122" s="3113" t="s">
        <v>2758</v>
      </c>
      <c r="D122" s="3087" t="s">
        <v>2759</v>
      </c>
      <c r="E122" s="3113">
        <v>0.1</v>
      </c>
      <c r="F122" s="3113">
        <v>15</v>
      </c>
    </row>
    <row r="123" spans="1:6" ht="24">
      <c r="A123" s="3113">
        <v>51</v>
      </c>
      <c r="B123" s="3794"/>
      <c r="C123" s="3113" t="s">
        <v>2760</v>
      </c>
      <c r="D123" s="3087" t="s">
        <v>2761</v>
      </c>
      <c r="E123" s="3113">
        <v>0.1</v>
      </c>
      <c r="F123" s="3113">
        <v>15</v>
      </c>
    </row>
    <row r="124" spans="1:6" ht="24">
      <c r="A124" s="3113">
        <v>52</v>
      </c>
      <c r="B124" s="3794" t="s">
        <v>2762</v>
      </c>
      <c r="C124" s="3113" t="s">
        <v>2763</v>
      </c>
      <c r="D124" s="3087" t="s">
        <v>2764</v>
      </c>
      <c r="E124" s="3113">
        <v>0.1</v>
      </c>
      <c r="F124" s="3113">
        <v>15</v>
      </c>
    </row>
    <row r="125" spans="1:6" ht="24">
      <c r="A125" s="3113">
        <v>53</v>
      </c>
      <c r="B125" s="3794"/>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94" t="s">
        <v>2770</v>
      </c>
      <c r="C127" s="3113" t="s">
        <v>2771</v>
      </c>
      <c r="D127" s="3087" t="s">
        <v>2772</v>
      </c>
      <c r="E127" s="3113">
        <v>0.1</v>
      </c>
      <c r="F127" s="3113">
        <v>15</v>
      </c>
    </row>
    <row r="128" spans="1:6" ht="13.5">
      <c r="A128" s="3113">
        <v>56</v>
      </c>
      <c r="B128" s="3794"/>
      <c r="C128" s="3113" t="s">
        <v>2773</v>
      </c>
      <c r="D128" s="3087" t="s">
        <v>2774</v>
      </c>
      <c r="E128" s="3113">
        <v>0.1</v>
      </c>
      <c r="F128" s="3113">
        <v>15</v>
      </c>
    </row>
    <row r="129" spans="1:6" ht="24">
      <c r="A129" s="3113">
        <v>57</v>
      </c>
      <c r="B129" s="3794"/>
      <c r="C129" s="3113" t="s">
        <v>2775</v>
      </c>
      <c r="D129" s="3087" t="s">
        <v>2776</v>
      </c>
      <c r="E129" s="3113">
        <v>0.1</v>
      </c>
      <c r="F129" s="3113">
        <v>15</v>
      </c>
    </row>
    <row r="130" spans="1:6" ht="24">
      <c r="A130" s="3113">
        <v>58</v>
      </c>
      <c r="B130" s="3794" t="s">
        <v>2777</v>
      </c>
      <c r="C130" s="3113" t="s">
        <v>2778</v>
      </c>
      <c r="D130" s="3087" t="s">
        <v>2779</v>
      </c>
      <c r="E130" s="3113">
        <v>0.1</v>
      </c>
      <c r="F130" s="3113">
        <v>15</v>
      </c>
    </row>
    <row r="131" spans="1:6" ht="13.5">
      <c r="A131" s="3113">
        <v>59</v>
      </c>
      <c r="B131" s="3794"/>
      <c r="C131" s="3113" t="s">
        <v>2780</v>
      </c>
      <c r="D131" s="3087" t="s">
        <v>2781</v>
      </c>
      <c r="E131" s="3113">
        <v>0.1</v>
      </c>
      <c r="F131" s="3113">
        <v>15</v>
      </c>
    </row>
    <row r="132" spans="1:6" ht="13.5">
      <c r="A132" s="3113">
        <v>60</v>
      </c>
      <c r="B132" s="3795" t="s">
        <v>2782</v>
      </c>
      <c r="C132" s="3113" t="s">
        <v>2783</v>
      </c>
      <c r="D132" s="3087" t="s">
        <v>2784</v>
      </c>
      <c r="E132" s="3113">
        <v>0.1</v>
      </c>
      <c r="F132" s="3113">
        <v>15</v>
      </c>
    </row>
    <row r="133" spans="1:6" ht="13.5">
      <c r="A133" s="3113">
        <v>61</v>
      </c>
      <c r="B133" s="3796"/>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94" t="s">
        <v>2790</v>
      </c>
      <c r="C135" s="3113" t="s">
        <v>2791</v>
      </c>
      <c r="D135" s="3087" t="s">
        <v>2792</v>
      </c>
      <c r="E135" s="3113">
        <v>0.1</v>
      </c>
      <c r="F135" s="3113">
        <v>15</v>
      </c>
    </row>
    <row r="136" spans="1:6" ht="13.5">
      <c r="A136" s="3113">
        <v>64</v>
      </c>
      <c r="B136" s="3794"/>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1.0082</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0.95489999999999997</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2"/>
      <c r="B4" s="3488" t="s">
        <v>917</v>
      </c>
      <c r="C4" s="3488"/>
      <c r="D4" s="3488"/>
      <c r="E4" s="1492"/>
    </row>
    <row r="5" spans="1:5" ht="16.5" thickTop="1">
      <c r="A5" s="1490"/>
      <c r="B5" s="3486" t="s">
        <v>909</v>
      </c>
      <c r="C5" s="1493" t="s">
        <v>910</v>
      </c>
      <c r="D5" s="850" t="e">
        <f ca="1">结果表!H101</f>
        <v>#REF!</v>
      </c>
      <c r="E5" s="1490"/>
    </row>
    <row r="6" spans="1:5" ht="15.75">
      <c r="A6" s="1490"/>
      <c r="B6" s="3486"/>
      <c r="C6" s="1493" t="s">
        <v>911</v>
      </c>
      <c r="D6" s="850" t="e">
        <f ca="1">NUMBERSTRING(INT(D5*10000),2)&amp;"元整"</f>
        <v>#REF!</v>
      </c>
      <c r="E6" s="1490"/>
    </row>
    <row r="7" spans="1:5" ht="15.75">
      <c r="A7" s="1490"/>
      <c r="B7" s="3491"/>
      <c r="C7" s="1494" t="s">
        <v>912</v>
      </c>
      <c r="D7" s="851" t="e">
        <f ca="1">结果表!H102</f>
        <v>#REF!</v>
      </c>
      <c r="E7" s="1490"/>
    </row>
    <row r="8" spans="1:5" ht="15.75">
      <c r="A8" s="1490"/>
      <c r="B8" s="3492" t="str">
        <f>结果表!E103</f>
        <v>2.估价师知悉的法定优先受偿款</v>
      </c>
      <c r="C8" s="1495" t="s">
        <v>913</v>
      </c>
      <c r="D8" s="851">
        <f>结果表!H103</f>
        <v>0</v>
      </c>
      <c r="E8" s="1490"/>
    </row>
    <row r="9" spans="1:5" ht="15.75">
      <c r="A9" s="1490"/>
      <c r="B9" s="349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5" t="str">
        <f>结果表!E107</f>
        <v>3.房地产抵押价值</v>
      </c>
      <c r="C13" s="1498" t="s">
        <v>910</v>
      </c>
      <c r="D13" s="853" t="e">
        <f ca="1">结果表!H107</f>
        <v>#REF!</v>
      </c>
      <c r="E13" s="1490"/>
    </row>
    <row r="14" spans="1:5" ht="15.75">
      <c r="A14" s="1490"/>
      <c r="B14" s="3486"/>
      <c r="C14" s="1493" t="s">
        <v>911</v>
      </c>
      <c r="D14" s="850" t="e">
        <f ca="1">NUMBERSTRING(INT(D13*10000),2)&amp;"元整"</f>
        <v>#REF!</v>
      </c>
      <c r="E14" s="1490"/>
    </row>
    <row r="15" spans="1:5" ht="15">
      <c r="A15" s="1490"/>
      <c r="B15" s="3491"/>
      <c r="C15" s="1494" t="s">
        <v>921</v>
      </c>
      <c r="D15" s="859" t="e">
        <f ca="1">结果表!H108</f>
        <v>#REF!</v>
      </c>
      <c r="E15" s="1490"/>
    </row>
    <row r="16" spans="1:5" ht="15">
      <c r="A16" s="1490"/>
      <c r="B16" s="3492" t="str">
        <f>结果表!E109</f>
        <v>——</v>
      </c>
      <c r="C16" s="1498" t="s">
        <v>922</v>
      </c>
      <c r="D16" s="1499" t="str">
        <f>结果表!H109</f>
        <v>——</v>
      </c>
      <c r="E16" s="1490"/>
    </row>
    <row r="17" spans="1:5" ht="15.75">
      <c r="A17" s="1490"/>
      <c r="B17" s="3493"/>
      <c r="C17" s="1493" t="s">
        <v>923</v>
      </c>
      <c r="D17" s="850" t="e">
        <f>NUMBERSTRING(INT(D16*10000),2)&amp;"元整"</f>
        <v>#VALUE!</v>
      </c>
      <c r="E17" s="1490"/>
    </row>
    <row r="18" spans="1:5" ht="15">
      <c r="A18" s="1490"/>
      <c r="B18" s="3494"/>
      <c r="C18" s="1494" t="s">
        <v>912</v>
      </c>
      <c r="D18" s="859" t="str">
        <f>结果表!H110</f>
        <v>——</v>
      </c>
      <c r="E18" s="1490"/>
    </row>
    <row r="19" spans="1:5" ht="15.75">
      <c r="A19" s="1490"/>
      <c r="B19" s="3485" t="str">
        <f>结果表!E111</f>
        <v>——</v>
      </c>
      <c r="C19" s="1498" t="s">
        <v>910</v>
      </c>
      <c r="D19" s="851" t="str">
        <f>结果表!H111</f>
        <v>——</v>
      </c>
      <c r="E19" s="1490"/>
    </row>
    <row r="20" spans="1:5" ht="15.75">
      <c r="A20" s="1490"/>
      <c r="B20" s="3486"/>
      <c r="C20" s="1493" t="s">
        <v>923</v>
      </c>
      <c r="D20" s="850" t="e">
        <f>NUMBERSTRING(INT(D19*10000),2)&amp;"元整"</f>
        <v>#VALUE!</v>
      </c>
      <c r="E20" s="1490"/>
    </row>
    <row r="21" spans="1:5" ht="15.75" thickBot="1">
      <c r="A21" s="1490"/>
      <c r="B21" s="348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30311</v>
      </c>
      <c r="C2" s="2" t="s">
        <v>106</v>
      </c>
      <c r="D2" s="199"/>
      <c r="E2" s="199"/>
      <c r="F2" s="199"/>
      <c r="G2" s="199"/>
    </row>
    <row r="3" spans="1:7" s="200" customFormat="1" ht="18" customHeight="1" thickBot="1">
      <c r="A3" s="203" t="s">
        <v>58</v>
      </c>
      <c r="B3" s="204">
        <f ca="1">ROUND(B2*10000/'数据-汇总表'!E3,0)</f>
        <v>1046506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v>
      </c>
      <c r="D9" s="845">
        <f>'数据-汇总表'!E5</f>
        <v>289.64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289.64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6</v>
      </c>
      <c r="D37" s="217">
        <f>'数据-汇总表'!E3</f>
        <v>289.64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7" t="s">
        <v>341</v>
      </c>
      <c r="B45" s="244" t="s">
        <v>85</v>
      </c>
      <c r="C45" s="245">
        <f>C46</f>
        <v>30</v>
      </c>
      <c r="D45" s="235">
        <f>C47</f>
        <v>5.0000000000000001E-3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30311</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8" t="s">
        <v>2842</v>
      </c>
      <c r="B1" s="3808"/>
      <c r="C1" s="3808"/>
      <c r="D1" s="3808"/>
      <c r="E1" s="3808"/>
      <c r="F1" s="3808"/>
      <c r="G1" s="3809"/>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06"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07"/>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0" t="s">
        <v>3184</v>
      </c>
      <c r="B1" s="3810"/>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1" t="s">
        <v>3235</v>
      </c>
      <c r="B1" s="3811"/>
      <c r="C1" s="3811"/>
      <c r="D1" s="3811"/>
      <c r="E1" s="3811"/>
      <c r="F1" s="3812"/>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45217</v>
      </c>
      <c r="B1" s="3205" t="s">
        <v>2841</v>
      </c>
      <c r="C1" s="3206"/>
      <c r="D1" s="3206"/>
      <c r="E1" s="3206"/>
      <c r="F1" s="3206"/>
      <c r="G1" s="3206"/>
      <c r="H1" s="3206"/>
      <c r="I1" s="3206"/>
      <c r="J1" s="3160"/>
      <c r="K1" s="3206" t="s">
        <v>454</v>
      </c>
      <c r="L1" s="3206"/>
      <c r="M1" s="3206"/>
      <c r="N1" s="3206"/>
      <c r="O1" s="3206"/>
      <c r="P1" s="3206"/>
      <c r="Q1" s="3160"/>
      <c r="R1" s="3813" t="s">
        <v>456</v>
      </c>
      <c r="S1" s="3814"/>
      <c r="T1" s="3814"/>
      <c r="U1" s="3814"/>
      <c r="V1" s="3814"/>
      <c r="W1" s="3814"/>
      <c r="X1" s="3160"/>
      <c r="Y1" s="3813" t="s">
        <v>457</v>
      </c>
      <c r="Z1" s="3814"/>
      <c r="AA1" s="3814"/>
      <c r="AB1" s="3814"/>
      <c r="AC1" s="3814"/>
      <c r="AD1" s="3814"/>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3372</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3373</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3371</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3374</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3375</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3369</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13" t="s">
        <v>2829</v>
      </c>
      <c r="S21" s="3814"/>
      <c r="T21" s="3814"/>
      <c r="U21" s="3814"/>
      <c r="V21" s="3814"/>
      <c r="W21" s="3814"/>
      <c r="X21" s="3160"/>
      <c r="Y21" s="3813" t="s">
        <v>2830</v>
      </c>
      <c r="Z21" s="3814"/>
      <c r="AA21" s="3814"/>
      <c r="AB21" s="3814"/>
      <c r="AC21" s="3814"/>
      <c r="AD21" s="3814"/>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3372</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3373</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3371</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3374</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3375</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3368</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45217</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15">
      <c r="A4" s="1504" t="str">
        <f>项目基本情况!S2</f>
        <v>北京市房地产</v>
      </c>
      <c r="B4" s="854">
        <f>项目基本情况!C17</f>
        <v>289.64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t="e">
        <f ca="1">结果表!D122</f>
        <v>#REF!</v>
      </c>
      <c r="E8" s="3497"/>
      <c r="F8" s="3497"/>
      <c r="G8" s="3497"/>
      <c r="H8" s="3497"/>
      <c r="I8" s="3497"/>
    </row>
    <row r="9" spans="1:9" ht="15">
      <c r="A9" s="3498" t="s">
        <v>927</v>
      </c>
      <c r="B9" s="3498"/>
      <c r="C9" s="3498"/>
      <c r="D9" s="3498" t="e">
        <f ca="1">结果表!D123</f>
        <v>#REF!</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0" t="s">
        <v>949</v>
      </c>
      <c r="B1" s="3510"/>
      <c r="C1" s="3510"/>
      <c r="D1" s="3510"/>
    </row>
    <row r="2" spans="1:4" ht="18">
      <c r="A2" s="3511" t="s">
        <v>933</v>
      </c>
      <c r="B2" s="3511"/>
      <c r="C2" s="3511"/>
      <c r="D2" s="351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1" t="s">
        <v>939</v>
      </c>
      <c r="B6" s="3511"/>
      <c r="C6" s="3511"/>
      <c r="D6" s="351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4" t="str">
        <f>IF(项目基本情况!B8="抵押","3.抵押双方在办理抵押登记手续时，应使用本公司出具的正式《房地产评估报告》，特提醒报告使用者注意。","——")</f>
        <v>——</v>
      </c>
      <c r="B13" s="3509"/>
      <c r="C13" s="3509"/>
      <c r="D13" s="3509"/>
    </row>
    <row r="14" spans="1:4" ht="15.75" customHeight="1">
      <c r="A14" s="3504" t="str">
        <f>IF(项目基本情况!B8="抵押","4.本次评估估价师所知悉的法定优先受偿款情况说明如下：","——")</f>
        <v>——</v>
      </c>
      <c r="B14" s="3509"/>
      <c r="C14" s="3509"/>
      <c r="D14" s="3509"/>
    </row>
    <row r="15" spans="1:4" ht="42" customHeight="1">
      <c r="A15" s="3504" t="str">
        <f>IF(项目基本情况!B8="抵押","（1）"&amp;CONCATENATE(项目基本情况!L20,项目基本情况!L21,项目基本情况!L22),"——")</f>
        <v>——</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8" t="s">
        <v>956</v>
      </c>
      <c r="B15" s="3513" t="s">
        <v>109</v>
      </c>
      <c r="C15" s="3514"/>
    </row>
    <row r="16" spans="1:7" ht="13.5">
      <c r="A16" s="3519"/>
      <c r="B16" s="3513" t="s">
        <v>42</v>
      </c>
      <c r="C16" s="3514"/>
    </row>
    <row r="17" spans="1:3" ht="13.5">
      <c r="A17" s="3519"/>
      <c r="B17" s="3516" t="s">
        <v>957</v>
      </c>
      <c r="C17" s="1531" t="s">
        <v>956</v>
      </c>
    </row>
    <row r="18" spans="1:3" ht="13.5">
      <c r="A18" s="3519"/>
      <c r="B18" s="3516"/>
      <c r="C18" s="1531" t="s">
        <v>958</v>
      </c>
    </row>
    <row r="19" spans="1:3" ht="13.5">
      <c r="A19" s="3519"/>
      <c r="B19" s="3516"/>
      <c r="C19" s="1531" t="s">
        <v>959</v>
      </c>
    </row>
    <row r="20" spans="1:3" ht="13.5">
      <c r="A20" s="3520"/>
      <c r="B20" s="3515" t="s">
        <v>960</v>
      </c>
      <c r="C20" s="3514"/>
    </row>
    <row r="21" spans="1:3" ht="13.5">
      <c r="A21" s="1532" t="s">
        <v>961</v>
      </c>
      <c r="B21" s="1533"/>
      <c r="C21" s="1534"/>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1" t="s">
        <v>967</v>
      </c>
    </row>
    <row r="26" spans="1:3" ht="13.5">
      <c r="A26" s="3517"/>
      <c r="B26" s="3516"/>
      <c r="C26" s="1531" t="s">
        <v>968</v>
      </c>
    </row>
    <row r="27" spans="1:3" ht="13.5">
      <c r="A27" s="3517"/>
      <c r="B27" s="3516"/>
      <c r="C27" s="1531" t="s">
        <v>969</v>
      </c>
    </row>
    <row r="28" spans="1:3" ht="13.5">
      <c r="A28" s="3517"/>
      <c r="B28" s="3516"/>
      <c r="C28" s="1531" t="s">
        <v>970</v>
      </c>
    </row>
    <row r="29" spans="1:3" ht="13.5">
      <c r="A29" s="3517"/>
      <c r="B29" s="3516"/>
      <c r="C29" s="1531" t="s">
        <v>971</v>
      </c>
    </row>
    <row r="30" spans="1:3" ht="13.5">
      <c r="A30" s="3517"/>
      <c r="B30" s="3516"/>
      <c r="C30" s="1531" t="s">
        <v>972</v>
      </c>
    </row>
    <row r="31" spans="1:3" ht="13.5">
      <c r="A31" s="3517"/>
      <c r="B31" s="3516"/>
      <c r="C31" s="1531" t="s">
        <v>973</v>
      </c>
    </row>
    <row r="32" spans="1:3" ht="13.5">
      <c r="A32" s="3517"/>
      <c r="B32" s="3516"/>
      <c r="C32" s="1531" t="s">
        <v>974</v>
      </c>
    </row>
    <row r="33" spans="1:3" ht="13.5">
      <c r="A33" s="3517"/>
      <c r="B33" s="35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45223</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39"/>
      <c r="E18" s="3523" t="s">
        <v>2162</v>
      </c>
      <c r="F18" s="3522"/>
      <c r="G18" s="3522"/>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2023-10-24T07:25:50Z</dcterms:modified>
</cp:coreProperties>
</file>