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805" windowHeight="109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E104" i="33"/>
  <c r="F104" i="33" s="1"/>
  <c r="G104" i="33" s="1"/>
  <c r="D104" i="33"/>
  <c r="E89" i="33"/>
  <c r="F89" i="33" s="1"/>
  <c r="G89" i="33" s="1"/>
  <c r="D89" i="33"/>
  <c r="E23" i="1"/>
  <c r="E20" i="1"/>
  <c r="H20" i="1"/>
  <c r="B12" i="1" l="1"/>
  <c r="B29" i="4"/>
  <c r="D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F34" i="11" s="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18" i="36"/>
  <c r="W18" i="35"/>
  <c r="U18" i="35"/>
  <c r="S18" i="35"/>
  <c r="U21" i="37"/>
  <c r="S21" i="37"/>
  <c r="S21" i="34"/>
  <c r="U21" i="33"/>
  <c r="S21" i="21"/>
  <c r="J25" i="40"/>
  <c r="J27" i="39"/>
  <c r="H27" i="39"/>
  <c r="F27" i="39"/>
  <c r="H18" i="36"/>
  <c r="J18" i="36"/>
  <c r="G77" i="37"/>
  <c r="J21" i="37"/>
  <c r="F84" i="34"/>
  <c r="H21" i="34"/>
  <c r="J21" i="33"/>
  <c r="W21" i="33" s="1"/>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C23" i="31"/>
  <c r="C2" i="31" s="1"/>
  <c r="I23" i="31" s="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s="1"/>
  <c r="D113" i="33"/>
  <c r="F37" i="33"/>
  <c r="S37" i="33" s="1"/>
  <c r="D111" i="33"/>
  <c r="E111" i="33" s="1"/>
  <c r="F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D117" i="33"/>
  <c r="D115" i="33"/>
  <c r="E115" i="33" s="1"/>
  <c r="F115" i="33" s="1"/>
  <c r="G115" i="33" s="1"/>
  <c r="H115" i="33" s="1"/>
  <c r="I115" i="33" s="1"/>
  <c r="J115" i="33" s="1"/>
  <c r="K115" i="33" s="1"/>
  <c r="L115" i="33" s="1"/>
  <c r="M115" i="33" s="1"/>
  <c r="D108" i="33"/>
  <c r="E108" i="33"/>
  <c r="F108" i="33"/>
  <c r="G108" i="33"/>
  <c r="H108" i="33"/>
  <c r="I108" i="33"/>
  <c r="J108" i="33"/>
  <c r="K108" i="33"/>
  <c r="L108" i="33"/>
  <c r="M108" i="33"/>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J34" i="33"/>
  <c r="AC34" i="33" s="1"/>
  <c r="J23" i="33"/>
  <c r="AC23" i="33" s="1"/>
  <c r="H23" i="33"/>
  <c r="AB23" i="33" s="1"/>
  <c r="F19" i="33"/>
  <c r="S19" i="33" s="1"/>
  <c r="J19" i="33"/>
  <c r="W19" i="33" s="1"/>
  <c r="J17" i="33"/>
  <c r="AC17" i="33" s="1"/>
  <c r="H17" i="33"/>
  <c r="AB17" i="33" s="1"/>
  <c r="F11" i="33"/>
  <c r="AA11" i="33" s="1"/>
  <c r="H10" i="33"/>
  <c r="U10" i="33" s="1"/>
  <c r="S10" i="21"/>
  <c r="U40"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F17" i="33"/>
  <c r="AA17" i="33" s="1"/>
  <c r="AB11" i="33"/>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s="1"/>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E117" i="33"/>
  <c r="F117" i="33"/>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D10" i="1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U27" i="33"/>
  <c r="U34" i="33"/>
  <c r="U38" i="33"/>
  <c r="AC41" i="33"/>
  <c r="AA45" i="33"/>
  <c r="U46" i="33"/>
  <c r="W17" i="33"/>
  <c r="AC12" i="33"/>
  <c r="W9" i="33"/>
  <c r="W13" i="33"/>
  <c r="AC46" i="33"/>
  <c r="AC19" i="33"/>
  <c r="AC2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AA43" i="33"/>
  <c r="U33" i="33"/>
  <c r="U30" i="33"/>
  <c r="S39" i="33"/>
  <c r="W35" i="33"/>
  <c r="W40" i="33"/>
  <c r="W26" i="33"/>
  <c r="S33" i="33"/>
  <c r="U35" i="33"/>
  <c r="AC45" i="33"/>
  <c r="AB2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E19" i="1"/>
  <c r="D18" i="1"/>
  <c r="F19"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B8" i="62" s="1"/>
  <c r="D120" i="57"/>
  <c r="D19" i="59"/>
  <c r="I114" i="9"/>
  <c r="D129" i="9" s="1"/>
  <c r="I112" i="9"/>
  <c r="D116" i="9"/>
  <c r="D114" i="9"/>
  <c r="D115" i="9"/>
  <c r="I113" i="9" s="1"/>
  <c r="E2" i="33"/>
  <c r="C20" i="57"/>
  <c r="F6" i="61"/>
  <c r="F5" i="61"/>
  <c r="E2" i="11"/>
  <c r="F4" i="61"/>
  <c r="E2" i="35"/>
  <c r="D7" i="61"/>
  <c r="D5" i="61"/>
  <c r="D3" i="61"/>
  <c r="F3" i="61"/>
  <c r="E2" i="36"/>
  <c r="C19" i="57"/>
  <c r="D19" i="57"/>
  <c r="E2" i="37"/>
  <c r="E2" i="34"/>
  <c r="H23" i="31"/>
  <c r="D20" i="57"/>
  <c r="F7" i="61"/>
  <c r="D6" i="61"/>
  <c r="D4" i="61"/>
  <c r="E2" i="21"/>
  <c r="F77" i="33" l="1"/>
  <c r="G77" i="33" s="1"/>
  <c r="H15" i="33"/>
  <c r="AB15" i="33" s="1"/>
  <c r="F15" i="33"/>
  <c r="J15" i="33"/>
  <c r="AC15" i="33" s="1"/>
  <c r="F36" i="33"/>
  <c r="G111" i="33"/>
  <c r="H111" i="33" s="1"/>
  <c r="I111" i="33" s="1"/>
  <c r="J111" i="33" s="1"/>
  <c r="K111" i="33" s="1"/>
  <c r="L111" i="33" s="1"/>
  <c r="M111" i="33" s="1"/>
  <c r="H36" i="33"/>
  <c r="J36" i="33"/>
  <c r="AC36" i="33" s="1"/>
  <c r="AC32" i="33"/>
  <c r="S32" i="33"/>
  <c r="AB43" i="33"/>
  <c r="AB41" i="33"/>
  <c r="AA27" i="33"/>
  <c r="F123" i="33"/>
  <c r="G123" i="33" s="1"/>
  <c r="H123" i="33" s="1"/>
  <c r="I123" i="33" s="1"/>
  <c r="J123" i="33" s="1"/>
  <c r="K123" i="33" s="1"/>
  <c r="L123" i="33" s="1"/>
  <c r="M123" i="33" s="1"/>
  <c r="F42" i="33"/>
  <c r="AA42" i="33" s="1"/>
  <c r="W43" i="33"/>
  <c r="S42" i="33"/>
  <c r="W42" i="33"/>
  <c r="U37" i="33"/>
  <c r="W37" i="33"/>
  <c r="AA37" i="33"/>
  <c r="W39" i="33"/>
  <c r="AB42" i="33"/>
  <c r="AA35" i="33"/>
  <c r="W34" i="33"/>
  <c r="S34" i="33"/>
  <c r="U32" i="33"/>
  <c r="AA28" i="33"/>
  <c r="W28" i="33"/>
  <c r="AB28" i="33"/>
  <c r="AC27" i="33"/>
  <c r="F87" i="33"/>
  <c r="G87" i="33" s="1"/>
  <c r="H87" i="33" s="1"/>
  <c r="I87" i="33" s="1"/>
  <c r="J87" i="33" s="1"/>
  <c r="K87" i="33" s="1"/>
  <c r="L87" i="33" s="1"/>
  <c r="M87" i="33" s="1"/>
  <c r="J25" i="33"/>
  <c r="AC25" i="33" s="1"/>
  <c r="F25" i="33"/>
  <c r="AA25" i="33" s="1"/>
  <c r="H25" i="33"/>
  <c r="AB25" i="33" s="1"/>
  <c r="AB26" i="33"/>
  <c r="S26" i="33"/>
  <c r="F23" i="33"/>
  <c r="AA23" i="33" s="1"/>
  <c r="U23" i="33"/>
  <c r="S23" i="33"/>
  <c r="W23" i="33"/>
  <c r="S21" i="33"/>
  <c r="AA19" i="33"/>
  <c r="U19" i="33"/>
  <c r="S17" i="33"/>
  <c r="U17" i="33"/>
  <c r="U15" i="33"/>
  <c r="S10" i="33"/>
  <c r="W10" i="33"/>
  <c r="W11" i="33"/>
  <c r="U8" i="33"/>
  <c r="AB10" i="33"/>
  <c r="AB9" i="33"/>
  <c r="U9" i="33"/>
  <c r="S9" i="33"/>
  <c r="W25" i="33"/>
  <c r="S25" i="33"/>
  <c r="D80" i="57"/>
  <c r="D78" i="9"/>
  <c r="C27" i="15"/>
  <c r="M60" i="15"/>
  <c r="F18" i="1"/>
  <c r="C11" i="12" s="1"/>
  <c r="C15" i="12" s="1"/>
  <c r="F50" i="11"/>
  <c r="D20" i="1"/>
  <c r="D42" i="50"/>
  <c r="D43" i="50" s="1"/>
  <c r="D39" i="50"/>
  <c r="D40" i="50" s="1"/>
  <c r="C116" i="9"/>
  <c r="H114" i="9" s="1"/>
  <c r="C120" i="57"/>
  <c r="H116" i="57" s="1"/>
  <c r="P51" i="15"/>
  <c r="C106" i="9"/>
  <c r="H102" i="9" s="1"/>
  <c r="C112" i="57"/>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D69" i="39"/>
  <c r="J20" i="15"/>
  <c r="C6" i="15"/>
  <c r="F51" i="15"/>
  <c r="D62" i="40"/>
  <c r="C64" i="40"/>
  <c r="D127" i="9"/>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15" i="33" l="1"/>
  <c r="S15" i="33"/>
  <c r="AA15" i="33"/>
  <c r="W36" i="33"/>
  <c r="U36" i="33"/>
  <c r="AB36" i="33"/>
  <c r="S36" i="33"/>
  <c r="AA36" i="33"/>
  <c r="U25" i="33"/>
  <c r="C12" i="12"/>
  <c r="C16" i="12" s="1"/>
  <c r="D19" i="50"/>
  <c r="B32" i="60" s="1"/>
  <c r="H107" i="57"/>
  <c r="C114" i="57"/>
  <c r="H109" i="57" s="1"/>
  <c r="D10" i="48"/>
  <c r="C3" i="4"/>
  <c r="B4" i="55" s="1"/>
  <c r="B53" i="60" s="1"/>
  <c r="F7" i="37"/>
  <c r="S7" i="37" s="1"/>
  <c r="H7" i="37"/>
  <c r="AB7" i="37" s="1"/>
  <c r="T42" i="37" s="1"/>
  <c r="G42" i="37" s="1"/>
  <c r="G46" i="37" s="1"/>
  <c r="H46" i="37"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J7" i="36"/>
  <c r="U7" i="37"/>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9"/>
  <c r="C102" i="9" l="1"/>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22" i="9" l="1"/>
  <c r="G19" i="9"/>
  <c r="D101" i="9"/>
  <c r="D102" i="9"/>
  <c r="G20" i="9"/>
  <c r="L20"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07" i="9" l="1"/>
  <c r="I4" i="52"/>
  <c r="F121" i="9"/>
  <c r="G4" i="52"/>
  <c r="B41" i="60" s="1"/>
  <c r="D121" i="9"/>
  <c r="E4" i="52"/>
  <c r="B38" i="60" s="1"/>
  <c r="H121" i="9"/>
  <c r="C104" i="9"/>
  <c r="I103" i="9"/>
  <c r="D30" i="50" l="1"/>
  <c r="D9" i="50"/>
  <c r="B21" i="60" s="1"/>
  <c r="H122" i="9"/>
  <c r="H5" i="52" s="1"/>
  <c r="H4" i="52"/>
  <c r="D122" i="9"/>
  <c r="D5" i="52" s="1"/>
  <c r="B39" i="60" s="1"/>
  <c r="D4" i="52"/>
  <c r="B37" i="60" s="1"/>
  <c r="F122" i="9"/>
  <c r="F5" i="52" s="1"/>
  <c r="B42" i="60" s="1"/>
  <c r="F4" i="52"/>
  <c r="B40" i="60" s="1"/>
  <c r="D106" i="9"/>
  <c r="D112" i="9" s="1"/>
  <c r="D117" i="9" s="1"/>
  <c r="D14" i="62"/>
  <c r="B5" i="62" s="1"/>
  <c r="C103" i="9"/>
  <c r="I102" i="9"/>
  <c r="I115" i="9" l="1"/>
  <c r="D23" i="50" s="1"/>
  <c r="B34" i="60" s="1"/>
  <c r="D44" i="50"/>
  <c r="I110" i="9"/>
  <c r="N49" i="9" s="1"/>
  <c r="D7" i="50"/>
  <c r="D28" i="50"/>
  <c r="D29" i="50" s="1"/>
  <c r="D113" i="9"/>
  <c r="F14" i="62"/>
  <c r="E14" i="62"/>
  <c r="N48" i="9"/>
  <c r="D45" i="9"/>
  <c r="C72" i="9" s="1"/>
  <c r="C5" i="62"/>
  <c r="D5" i="62"/>
  <c r="D125" i="9"/>
  <c r="I111" i="9" l="1"/>
  <c r="D38" i="50"/>
  <c r="B62" i="60" s="1"/>
  <c r="B19" i="60"/>
  <c r="D8" i="50"/>
  <c r="B22" i="60" s="1"/>
  <c r="G14" i="62"/>
  <c r="B6" i="62" s="1"/>
  <c r="D6" i="62" s="1"/>
  <c r="D8" i="52"/>
  <c r="D15" i="50"/>
  <c r="D36" i="50"/>
  <c r="D37" i="50" s="1"/>
  <c r="C93" i="9"/>
  <c r="C86" i="9" s="1"/>
  <c r="C85" i="9"/>
  <c r="D52" i="9"/>
  <c r="D53" i="9"/>
  <c r="D48" i="9" s="1"/>
  <c r="N52" i="9" s="1"/>
  <c r="O57" i="9" s="1"/>
  <c r="O59" i="9" s="1"/>
  <c r="C64" i="9"/>
  <c r="C63" i="9" s="1"/>
  <c r="C67" i="9" s="1"/>
  <c r="C68" i="9" s="1"/>
  <c r="D54" i="9" s="1"/>
  <c r="C78" i="9"/>
  <c r="C73" i="9" s="1"/>
  <c r="C79" i="9" s="1"/>
  <c r="M66" i="9"/>
  <c r="N66" i="9" s="1"/>
  <c r="M63" i="9"/>
  <c r="N63" i="9" s="1"/>
  <c r="M65" i="9"/>
  <c r="N65" i="9" s="1"/>
  <c r="M68" i="9"/>
  <c r="N68" i="9" s="1"/>
  <c r="M67" i="9"/>
  <c r="N67" i="9" s="1"/>
  <c r="M64" i="9"/>
  <c r="N64" i="9" s="1"/>
  <c r="C6" i="62"/>
  <c r="N69" i="9" l="1"/>
  <c r="O69" i="9" s="1"/>
  <c r="B29" i="60"/>
  <c r="D16" i="50"/>
  <c r="B30" i="60" s="1"/>
  <c r="D126" i="9"/>
  <c r="D9" i="52" s="1"/>
  <c r="D17" i="50"/>
  <c r="C95" i="9"/>
  <c r="Q57" i="9"/>
  <c r="O58" i="9"/>
  <c r="C80" i="9"/>
  <c r="E80" i="9" s="1"/>
  <c r="E81" i="9" s="1"/>
  <c r="O61" i="9"/>
  <c r="O60" i="9"/>
  <c r="C81" i="9" l="1"/>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<sst xmlns="http://schemas.openxmlformats.org/spreadsheetml/2006/main" count="7023" uniqueCount="3084">
  <si>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</si>
  <si>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</si>
  <si>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</si>
  <si>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</si>
  <si>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</si>
  <si>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</si>
  <si>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</si>
  <si>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</si>
  <si>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</si>
  <si>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</si>
  <si>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</si>
  <si>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</si>
  <si>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</si>
  <si>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</si>
  <si>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</si>
  <si>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</si>
  <si>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</si>
  <si>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</si>
  <si>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</si>
  <si>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</si>
  <si>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</si>
  <si>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</si>
  <si>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</si>
  <si>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</si>
  <si>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</si>
  <si>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</si>
  <si>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</si>
  <si>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</si>
  <si>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</si>
  <si>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</si>
  <si>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</si>
  <si>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</si>
  <si>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</si>
  <si>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</si>
  <si>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</si>
  <si>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</si>
  <si>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</si>
  <si>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</si>
  <si>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</si>
  <si>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</si>
  <si>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</si>
  <si>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</si>
  <si>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</si>
  <si>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</si>
  <si>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</si>
  <si>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</si>
  <si>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</si>
  <si>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</si>
  <si>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</si>
  <si>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</si>
  <si>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</si>
  <si>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</si>
  <si>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</si>
  <si>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</si>
  <si>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</si>
  <si>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</si>
  <si>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</si>
  <si>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</si>
  <si>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</si>
  <si>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</si>
  <si>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</si>
  <si>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</si>
  <si>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</si>
  <si>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</si>
  <si>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</si>
  <si>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</si>
  <si>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</si>
  <si>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</si>
  <si>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</si>
  <si>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</si>
  <si>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</si>
  <si>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</si>
  <si>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</si>
  <si>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</si>
  <si>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</si>
  <si>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</si>
  <si>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</si>
  <si>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</si>
  <si>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</si>
  <si>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</si>
  <si>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</si>
  <si>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</si>
  <si>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</si>
  <si>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</si>
  <si>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</si>
  <si>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</si>
  <si>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</si>
  <si>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</si>
  <si>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</si>
  <si>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</si>
  <si>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</si>
  <si>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</si>
  <si>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</si>
  <si>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</si>
  <si>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</si>
  <si>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</si>
  <si>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</si>
  <si>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</si>
  <si>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</si>
  <si>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</si>
  <si>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</si>
  <si>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</si>
  <si>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</si>
  <si>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</si>
  <si>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</si>
  <si>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</si>
  <si>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</si>
  <si>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</si>
  <si>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</si>
  <si>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</si>
  <si>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</si>
  <si>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</si>
  <si>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</si>
  <si>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</si>
  <si>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</si>
  <si>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</si>
  <si>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</si>
  <si>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</si>
  <si>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</si>
  <si>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</si>
  <si>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</si>
  <si>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</si>
  <si>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</si>
  <si>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</si>
  <si>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</si>
  <si>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</si>
  <si>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</si>
  <si>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</si>
  <si>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</si>
  <si>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</si>
  <si>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</si>
  <si>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</si>
  <si>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</si>
  <si>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</si>
  <si>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</si>
  <si>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</si>
  <si>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</si>
  <si>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</si>
  <si>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</si>
  <si>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</si>
  <si>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</si>
  <si>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</si>
  <si>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</si>
  <si>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</si>
  <si>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</si>
  <si>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</si>
  <si>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</si>
  <si>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</si>
  <si>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</si>
  <si>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</si>
  <si>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</si>
  <si>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</si>
  <si>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</si>
  <si>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</si>
  <si>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</si>
  <si>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</si>
  <si>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</si>
  <si>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</si>
  <si>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</si>
  <si>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</si>
  <si>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</si>
  <si>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</si>
  <si>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</si>
  <si>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</si>
  <si>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</si>
  <si>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</si>
  <si>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</si>
  <si>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</si>
  <si>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</si>
  <si>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</si>
  <si>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</si>
  <si>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</si>
  <si>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</si>
  <si>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</si>
  <si>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</si>
  <si>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</si>
  <si>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</si>
  <si>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</si>
  <si>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</si>
  <si>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</si>
  <si>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</si>
  <si>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</si>
  <si>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</si>
  <si>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</si>
  <si>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</si>
  <si>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</si>
  <si>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</si>
  <si>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</si>
  <si>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</si>
  <si>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</si>
  <si>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</si>
  <si>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</si>
  <si>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</si>
  <si>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</si>
  <si>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</si>
  <si>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</si>
  <si>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</si>
  <si>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</si>
  <si>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</si>
  <si>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</si>
  <si>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</si>
  <si>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</si>
  <si>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</si>
  <si>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</si>
  <si>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</si>
  <si>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</si>
  <si>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</si>
  <si>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</si>
  <si>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</si>
  <si>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</si>
  <si>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</si>
  <si>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</si>
  <si>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</si>
  <si>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</si>
  <si>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</si>
  <si>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</si>
  <si>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</si>
  <si>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</si>
  <si>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</si>
  <si>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</si>
  <si>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</si>
  <si>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</si>
  <si>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</si>
  <si>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</si>
  <si>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</si>
  <si>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</si>
  <si>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</si>
  <si>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</si>
  <si>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</si>
  <si>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</si>
  <si>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</si>
  <si>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</si>
  <si>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</si>
  <si>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</si>
  <si>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</si>
  <si>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</si>
  <si>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</si>
  <si>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</si>
  <si>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</si>
  <si>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</si>
  <si>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</si>
  <si>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</si>
  <si>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</si>
  <si>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</si>
  <si>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</si>
  <si>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</si>
  <si>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</si>
  <si>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</si>
  <si>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</si>
  <si>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</si>
  <si>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</si>
  <si>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</si>
  <si>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</si>
  <si>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</si>
  <si>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</si>
  <si>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</si>
  <si>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</si>
  <si>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</si>
  <si>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</si>
  <si>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</si>
  <si>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</si>
  <si>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</si>
  <si>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</si>
  <si>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</si>
  <si>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</si>
  <si>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</si>
  <si>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</si>
  <si>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</si>
  <si>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</si>
  <si>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</si>
  <si>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</si>
  <si>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</si>
  <si>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</si>
  <si>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</si>
  <si>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</si>
  <si>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</si>
  <si>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</si>
  <si>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</si>
  <si>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</si>
  <si>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</si>
  <si>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</si>
  <si>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</si>
  <si>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</si>
  <si>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</si>
  <si>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</si>
  <si>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</si>
  <si>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</si>
  <si>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</si>
  <si>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</si>
  <si>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</si>
  <si>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</si>
  <si>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</si>
  <si>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</si>
  <si>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</si>
  <si>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</si>
  <si>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</si>
  <si>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</si>
  <si>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</si>
  <si>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</si>
  <si>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</si>
  <si>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</si>
  <si>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</si>
  <si>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</si>
  <si>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</si>
  <si>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</si>
  <si>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</si>
  <si>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</si>
  <si>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</si>
  <si>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</si>
  <si>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</si>
  <si>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</si>
  <si>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</si>
  <si>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</si>
  <si>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</si>
  <si>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</si>
  <si>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</si>
  <si>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</si>
  <si>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</si>
  <si>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</si>
  <si>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</si>
  <si>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</si>
  <si>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</si>
  <si>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</si>
  <si>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</si>
  <si>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</si>
  <si>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</si>
  <si>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</si>
  <si>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</si>
  <si>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</si>
  <si>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</si>
  <si>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</si>
  <si>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</si>
  <si>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</si>
  <si>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</si>
  <si>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</si>
  <si>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</si>
  <si>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</si>
  <si>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</si>
  <si>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</si>
  <si>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</si>
  <si>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</si>
  <si>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</si>
  <si>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</si>
  <si>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</si>
  <si>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</si>
  <si>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</si>
  <si>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</si>
  <si>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</si>
  <si>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</si>
  <si>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</si>
  <si>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</si>
  <si>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</si>
  <si>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</si>
  <si>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</si>
  <si>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</si>
  <si>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</si>
  <si>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</si>
  <si>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</si>
  <si>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</si>
  <si>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</si>
  <si>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</si>
  <si>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</si>
  <si>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</si>
  <si>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</si>
  <si>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</si>
  <si>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</si>
  <si>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</si>
  <si>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</si>
  <si>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</si>
  <si>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</si>
  <si>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</si>
  <si>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</si>
  <si>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</si>
  <si>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</si>
  <si>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</si>
  <si>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</si>
  <si>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</si>
  <si>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</si>
  <si>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</si>
  <si>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</si>
  <si>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</si>
  <si>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</si>
  <si>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</si>
  <si>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</si>
  <si>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</si>
  <si>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</si>
  <si>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</si>
  <si>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</si>
  <si>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</si>
  <si>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</si>
  <si>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</si>
  <si>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</si>
  <si>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</si>
  <si>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</si>
  <si>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</si>
  <si>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</si>
  <si>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</si>
  <si>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</si>
  <si>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</si>
  <si>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</si>
  <si>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</si>
  <si>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</si>
  <si>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</si>
  <si>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</si>
  <si>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</si>
  <si>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</si>
  <si>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</si>
  <si>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</si>
  <si>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</si>
  <si>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</si>
  <si>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</si>
  <si>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</si>
  <si>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</si>
  <si>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</si>
  <si>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</si>
  <si>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</si>
  <si>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</si>
  <si>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</si>
  <si>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</si>
  <si>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</si>
  <si>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</si>
  <si>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</si>
  <si>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</si>
  <si>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</si>
  <si>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</si>
  <si>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</si>
  <si>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</si>
  <si>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</si>
  <si>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</si>
  <si>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</si>
  <si>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</si>
  <si>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</si>
  <si>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</si>
  <si>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</si>
  <si>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</si>
  <si>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</si>
  <si>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</si>
  <si>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</si>
  <si>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</si>
  <si>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</si>
  <si>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</si>
  <si>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</si>
  <si>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</si>
  <si>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</si>
  <si>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</si>
  <si>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</si>
  <si>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</si>
  <si>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</si>
  <si>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</si>
  <si>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</si>
  <si>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</si>
  <si>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</si>
  <si>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</si>
  <si>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</si>
  <si>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</si>
  <si>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</si>
  <si>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</si>
  <si>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</si>
  <si>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</si>
  <si>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</si>
  <si>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</si>
  <si>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</si>
  <si>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</si>
  <si>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</si>
  <si>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</si>
  <si>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</si>
  <si>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</si>
  <si>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</si>
  <si>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</si>
  <si>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</si>
  <si>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</si>
  <si>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</si>
  <si>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</si>
  <si>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</si>
  <si>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</si>
  <si>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</si>
  <si>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</si>
  <si>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</si>
  <si>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</si>
  <si>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</si>
  <si>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</si>
  <si>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</si>
  <si>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</si>
  <si>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</si>
  <si>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</si>
  <si>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</si>
  <si>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</si>
  <si>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</si>
  <si>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</si>
  <si>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</si>
  <si>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</si>
  <si>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</si>
  <si>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</si>
  <si>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</si>
  <si>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</si>
  <si>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</si>
  <si>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</si>
  <si>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</si>
  <si>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</si>
  <si>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</si>
  <si>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</si>
  <si>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</si>
  <si>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</si>
  <si>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</si>
  <si>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</si>
  <si>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</si>
  <si>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</si>
  <si>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</si>
  <si>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</si>
  <si>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</si>
  <si>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</si>
  <si>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</si>
  <si>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</si>
  <si>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</si>
  <si>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</si>
  <si>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</si>
  <si>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</si>
  <si>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</si>
  <si>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</si>
  <si>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</si>
  <si>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</si>
  <si>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</si>
  <si>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</si>
  <si>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</si>
  <si>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</si>
  <si>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</si>
  <si>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</si>
  <si>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</si>
  <si>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</si>
  <si>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</si>
  <si>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</si>
  <si>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</si>
  <si>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</si>
  <si>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</si>
  <si>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</si>
  <si>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</si>
  <si>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</si>
  <si>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</si>
  <si>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</si>
  <si>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</si>
  <si>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</si>
  <si>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</si>
  <si>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</si>
  <si>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</si>
  <si>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</si>
  <si>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</si>
  <si>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</si>
  <si>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</si>
  <si>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</si>
  <si>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</si>
  <si>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</si>
  <si>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</si>
  <si>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</si>
  <si>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</si>
  <si>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</si>
  <si>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</si>
  <si>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</si>
  <si>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</si>
  <si>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</si>
  <si>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</si>
  <si>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</si>
  <si>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</si>
  <si>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</si>
  <si>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</si>
  <si>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</si>
  <si>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</si>
  <si>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</si>
  <si>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</si>
  <si>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</si>
  <si>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</si>
  <si>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</si>
  <si>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</si>
  <si>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</si>
  <si>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</si>
  <si>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</si>
  <si>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</si>
  <si>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</si>
  <si>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</si>
  <si>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</si>
  <si>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</si>
  <si>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</si>
  <si>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</si>
  <si>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</si>
  <si>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</si>
  <si>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</si>
  <si>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</si>
  <si>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</si>
  <si>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</si>
  <si>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</si>
  <si>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</si>
  <si>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</si>
  <si>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</si>
  <si>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</si>
  <si>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</si>
  <si>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</si>
  <si>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</si>
  <si>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</si>
  <si>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</si>
  <si>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</si>
  <si>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</si>
  <si>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</si>
  <si>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</si>
  <si>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</si>
  <si>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</si>
  <si>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</si>
  <si>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</si>
  <si>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</si>
  <si>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</si>
  <si>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</si>
  <si>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</si>
  <si>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</si>
  <si>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</si>
  <si>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</si>
  <si>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</si>
  <si>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</si>
  <si>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</si>
  <si>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</si>
  <si>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</si>
  <si>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</si>
  <si>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</si>
  <si>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</si>
  <si>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</si>
  <si>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</si>
  <si>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</si>
  <si>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</si>
  <si>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</si>
  <si>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</si>
  <si>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</si>
  <si>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</si>
  <si>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</si>
  <si>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</si>
  <si>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</si>
  <si>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</si>
  <si>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</si>
  <si>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</si>
  <si>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</si>
  <si>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</si>
  <si>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</si>
  <si>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</si>
  <si>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</si>
  <si>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</si>
  <si>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</si>
  <si>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</si>
  <si>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</si>
  <si>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</si>
  <si>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</si>
  <si>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</si>
  <si>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</si>
  <si>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</si>
  <si>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</si>
  <si>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</si>
  <si>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</si>
  <si>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</si>
  <si>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</si>
  <si>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</si>
  <si>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</si>
  <si>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</si>
  <si>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</si>
  <si>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</si>
  <si>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</si>
  <si>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</si>
  <si>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</si>
  <si>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</si>
  <si>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</si>
  <si>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</si>
  <si>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</si>
  <si>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</si>
  <si>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</si>
  <si>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</si>
  <si>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</si>
  <si>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</si>
  <si>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</si>
  <si>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</si>
  <si>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</si>
  <si>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</si>
  <si>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</si>
  <si>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</si>
  <si>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</si>
  <si>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</si>
  <si>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</si>
  <si>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</si>
  <si>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</si>
  <si>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</si>
  <si>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</si>
  <si>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</si>
  <si>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</si>
  <si>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</si>
  <si>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</si>
  <si>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</si>
  <si>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</si>
  <si>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</si>
  <si>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</si>
  <si>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</si>
  <si>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</si>
  <si>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</si>
  <si>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</si>
  <si>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</si>
  <si>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</si>
  <si>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</si>
  <si>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</si>
  <si>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</si>
  <si>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</si>
  <si>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</si>
  <si>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</si>
  <si>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</si>
  <si>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</si>
  <si>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</si>
  <si>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</si>
  <si>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</si>
  <si>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</si>
  <si>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</si>
  <si>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</si>
  <si>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</si>
  <si>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</si>
  <si>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</si>
  <si>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</si>
  <si>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</si>
  <si>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</si>
  <si>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</si>
  <si>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</si>
  <si>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</si>
  <si>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</si>
  <si>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</si>
  <si>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</si>
  <si>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</si>
  <si>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</si>
  <si>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</si>
  <si>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</si>
  <si>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</si>
  <si>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</si>
  <si>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</si>
  <si>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</si>
  <si>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</si>
  <si>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</si>
  <si>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</si>
  <si>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</si>
  <si>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</si>
  <si>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</si>
  <si>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</si>
  <si>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</si>
  <si>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</si>
  <si>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</si>
  <si>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</si>
  <si>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</si>
  <si>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</si>
  <si>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</si>
  <si>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</si>
  <si>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</si>
  <si>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</si>
  <si>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</si>
  <si>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</si>
  <si>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</si>
  <si>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</si>
  <si>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</si>
  <si>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</si>
  <si>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</si>
  <si>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</si>
  <si>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</si>
  <si>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</si>
  <si>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</si>
  <si>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</si>
  <si>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</si>
  <si>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</si>
  <si>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</si>
  <si>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</si>
  <si>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</si>
  <si>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</si>
  <si>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</si>
  <si>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</si>
  <si>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</si>
  <si>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</si>
  <si>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</si>
  <si>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</si>
  <si>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</si>
  <si>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</si>
  <si>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</si>
  <si>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</si>
  <si>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</si>
  <si>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</si>
  <si>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</si>
  <si>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</si>
  <si>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</si>
  <si>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</si>
  <si>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</si>
  <si>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</si>
  <si>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</si>
  <si>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</si>
  <si>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</si>
  <si>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</si>
  <si>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</si>
  <si>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</si>
  <si>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</si>
  <si>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</si>
  <si>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</si>
  <si>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</si>
  <si>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</si>
  <si>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</si>
  <si>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</si>
  <si>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</si>
  <si>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</si>
  <si>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</si>
  <si>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</si>
  <si>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</si>
  <si>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</si>
  <si>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</si>
  <si>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</si>
  <si>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</si>
  <si>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</si>
  <si>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</si>
  <si>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</si>
  <si>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</si>
  <si>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</si>
  <si>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</si>
  <si>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</si>
  <si>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</si>
  <si>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</si>
  <si>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</si>
  <si>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</si>
  <si>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</si>
  <si>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</si>
  <si>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</si>
  <si>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</si>
  <si>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</si>
  <si>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</si>
  <si>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</si>
  <si>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</si>
  <si>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</si>
  <si>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</si>
  <si>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</si>
  <si>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</si>
  <si>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</si>
  <si>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</si>
  <si>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</si>
  <si>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</si>
  <si>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</si>
  <si>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</si>
  <si>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</si>
  <si>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</si>
  <si>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</si>
  <si>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</si>
  <si>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</si>
  <si>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</si>
  <si>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</si>
  <si>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</si>
  <si>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</si>
  <si>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</si>
  <si>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</si>
  <si>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</si>
  <si>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</si>
  <si>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</si>
  <si>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</si>
  <si>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</si>
  <si>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</si>
  <si>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</si>
  <si>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</si>
  <si>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</si>
  <si>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</si>
  <si>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</si>
  <si>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</si>
  <si>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</si>
  <si>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</si>
  <si>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</si>
  <si>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</si>
  <si>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</si>
  <si>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</si>
  <si>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</si>
  <si>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</si>
  <si>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</si>
  <si>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</si>
  <si>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</si>
  <si>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</si>
  <si>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</si>
  <si>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</si>
  <si>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</si>
  <si>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</si>
  <si>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</si>
  <si>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</si>
  <si>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</si>
  <si>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</si>
  <si>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</si>
  <si>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</si>
  <si>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</si>
  <si>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</si>
  <si>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</si>
  <si>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</si>
  <si>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</si>
  <si>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</si>
  <si>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</si>
  <si>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</si>
  <si>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</si>
  <si>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</si>
  <si>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</si>
  <si>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</si>
  <si>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</si>
  <si>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</si>
  <si>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</si>
  <si>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</si>
  <si>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</si>
  <si>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</si>
  <si>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</si>
  <si>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</si>
  <si>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</si>
  <si>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</si>
  <si>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</si>
  <si>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</si>
  <si>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</si>
  <si>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</si>
  <si>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</si>
  <si>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</si>
  <si>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</si>
  <si>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</si>
  <si>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</si>
  <si>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</si>
  <si>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</si>
  <si>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</si>
  <si>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</si>
  <si>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</si>
  <si>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</si>
  <si>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</si>
  <si>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</si>
  <si>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</si>
  <si>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</si>
  <si>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</si>
  <si>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</si>
  <si>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</si>
  <si>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</si>
  <si>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</si>
  <si>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</si>
  <si>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</si>
  <si>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</si>
  <si>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</si>
  <si>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</si>
  <si>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</si>
  <si>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</si>
  <si>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</si>
  <si>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</si>
  <si>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</si>
  <si>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</si>
  <si>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</si>
  <si>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</si>
  <si>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</si>
  <si>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</si>
  <si>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</si>
  <si>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</si>
  <si>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</si>
  <si>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</si>
  <si>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</si>
  <si>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</si>
  <si>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</si>
  <si>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</si>
  <si>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</si>
  <si>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</si>
  <si>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</si>
  <si>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</si>
  <si>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</si>
  <si>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</si>
  <si>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</si>
  <si>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</si>
  <si>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</si>
  <si>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</si>
  <si>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</si>
  <si>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</si>
  <si>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</si>
  <si>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</si>
  <si>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</si>
  <si>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</si>
  <si>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</si>
  <si>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</si>
  <si>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</si>
  <si>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</si>
  <si>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</si>
  <si>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</si>
  <si>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</si>
  <si>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</si>
  <si>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</si>
  <si>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</si>
  <si>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</si>
  <si>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</si>
  <si>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</si>
  <si>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</si>
  <si>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</si>
  <si>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</si>
  <si>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</si>
  <si>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</si>
  <si>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</si>
  <si>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</si>
  <si>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</si>
  <si>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</si>
  <si>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</si>
  <si>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</si>
  <si>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</si>
  <si>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</si>
  <si>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</si>
  <si>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</si>
  <si>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</si>
  <si>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</si>
  <si>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</si>
  <si>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</si>
  <si>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</si>
  <si>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</si>
  <si>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</si>
  <si>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</si>
  <si>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</si>
  <si>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</si>
  <si>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</si>
  <si>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</si>
  <si>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</si>
  <si>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</si>
  <si>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</si>
  <si>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</si>
  <si>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</si>
  <si>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</si>
  <si>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</si>
  <si>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</si>
  <si>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</si>
  <si>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</si>
  <si>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</si>
  <si>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</si>
  <si>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</si>
  <si>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</si>
  <si>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</si>
  <si>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</si>
  <si>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</si>
  <si>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</si>
  <si>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</si>
  <si>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</si>
  <si>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</si>
  <si>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</si>
  <si>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</si>
  <si>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</si>
  <si>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</si>
  <si>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</si>
  <si>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</si>
  <si>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</si>
  <si>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</si>
  <si>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</si>
  <si>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</si>
  <si>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</si>
  <si>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</si>
  <si>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</si>
  <si>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</si>
  <si>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</si>
  <si>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</si>
  <si>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</si>
  <si>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</si>
  <si>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</si>
  <si>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</si>
  <si>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</si>
  <si>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</si>
  <si>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</si>
  <si>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</si>
  <si>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</si>
  <si>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</si>
  <si>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</si>
  <si>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</si>
  <si>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</si>
  <si>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</si>
  <si>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</si>
  <si>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</si>
  <si>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</si>
  <si>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</si>
  <si>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</si>
  <si>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</si>
  <si>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</si>
  <si>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</si>
  <si>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</si>
  <si>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</si>
  <si>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</si>
  <si>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</si>
  <si>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</si>
  <si>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</si>
  <si>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</si>
  <si>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</si>
  <si>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</si>
  <si>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</si>
  <si>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</si>
  <si>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</si>
  <si>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</si>
  <si>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</si>
  <si>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</si>
  <si>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</si>
  <si>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</si>
  <si>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</si>
  <si>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</si>
  <si>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</si>
  <si>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</si>
  <si>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</si>
  <si>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</si>
  <si>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</si>
  <si>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</si>
  <si>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</si>
  <si>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</si>
  <si>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</si>
  <si>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</si>
  <si>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</si>
  <si>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</si>
  <si>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</si>
  <si>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</si>
  <si>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</si>
  <si>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</si>
  <si>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</si>
  <si>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</si>
  <si>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</si>
  <si>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</si>
  <si>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</si>
  <si>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</si>
  <si>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</si>
  <si>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</si>
  <si>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</si>
  <si>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</si>
  <si>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</si>
  <si>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</si>
  <si>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</si>
  <si>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</si>
  <si>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</si>
  <si>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</si>
  <si>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</si>
  <si>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</si>
  <si>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</si>
  <si>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</si>
  <si>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</si>
  <si>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</si>
  <si>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</si>
  <si>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</si>
  <si>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</si>
  <si>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</si>
  <si>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</si>
  <si>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</si>
  <si>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</si>
  <si>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</si>
  <si>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</si>
  <si>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</si>
  <si>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</si>
  <si>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</si>
  <si>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</si>
  <si>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</si>
  <si>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</si>
  <si>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</si>
  <si>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</si>
  <si>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</si>
  <si>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</si>
  <si>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</si>
  <si>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</si>
  <si>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</si>
  <si>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</si>
  <si>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</si>
  <si>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</si>
  <si>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</si>
  <si>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</si>
  <si>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</si>
  <si>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</si>
  <si>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</si>
  <si>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</si>
  <si>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</si>
  <si>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</si>
  <si>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</si>
  <si>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</si>
  <si>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</si>
  <si>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</si>
  <si>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</si>
  <si>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</si>
  <si>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</si>
  <si>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</si>
  <si>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</si>
  <si>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</si>
  <si>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</si>
  <si>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</si>
  <si>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</si>
  <si>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</si>
  <si>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</si>
  <si>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</si>
  <si>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</si>
  <si>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</si>
  <si>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</si>
  <si>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</si>
  <si>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</si>
  <si>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</si>
  <si>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</si>
  <si>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</si>
  <si>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</si>
  <si>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</si>
  <si>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</si>
  <si>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</si>
  <si>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</si>
  <si>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</si>
  <si>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</si>
  <si>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</si>
  <si>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</si>
  <si>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</si>
  <si>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</si>
  <si>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</si>
  <si>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</si>
  <si>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</si>
  <si>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</si>
  <si>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</si>
  <si>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</si>
  <si>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</si>
  <si>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</si>
  <si>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</si>
  <si>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</si>
  <si>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</si>
  <si>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</si>
  <si>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</si>
  <si>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</si>
  <si>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</si>
  <si>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</si>
  <si>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</si>
  <si>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</si>
  <si>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</si>
  <si>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</si>
  <si>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</si>
  <si>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</si>
  <si>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</si>
  <si>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</si>
  <si>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</si>
  <si>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</si>
  <si>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</si>
  <si>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</si>
  <si>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</si>
  <si>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</si>
  <si>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</si>
  <si>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</si>
  <si>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</si>
  <si>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</si>
  <si>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</si>
  <si>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</si>
  <si>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</si>
  <si>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</si>
  <si>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</si>
  <si>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</si>
  <si>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</si>
  <si>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</si>
  <si>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</si>
  <si>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</si>
  <si>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</si>
  <si>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</si>
  <si>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</si>
  <si>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</si>
  <si>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</si>
  <si>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</si>
  <si>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</si>
  <si>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</si>
  <si>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</si>
  <si>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</si>
  <si>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</si>
  <si>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</si>
  <si>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</si>
  <si>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</si>
  <si>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</si>
  <si>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</si>
  <si>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</si>
  <si>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</si>
  <si>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</si>
  <si>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</si>
  <si>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</si>
  <si>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</si>
  <si>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</si>
  <si>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</si>
  <si>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</si>
  <si>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</si>
  <si>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</si>
  <si>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</si>
  <si>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</si>
  <si>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</si>
  <si>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</si>
  <si>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</si>
  <si>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</si>
  <si>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</si>
  <si>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</si>
  <si>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</si>
  <si>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</si>
  <si>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</si>
  <si>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</si>
  <si>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</si>
  <si>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</si>
  <si>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</si>
  <si>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</si>
  <si>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</si>
  <si>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</si>
  <si>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</si>
  <si>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</si>
  <si>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</si>
  <si>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</si>
  <si>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</si>
  <si>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</si>
  <si>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</si>
  <si>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</si>
  <si>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</si>
  <si>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</si>
  <si>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</si>
  <si>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</si>
  <si>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</si>
  <si>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</si>
  <si>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</si>
  <si>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</si>
  <si>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</si>
  <si>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</si>
  <si>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</si>
  <si>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</si>
  <si>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</si>
  <si>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</si>
  <si>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</si>
  <si>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</si>
  <si>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</si>
  <si>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</si>
  <si>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</si>
  <si>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</si>
  <si>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</si>
  <si>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</si>
  <si>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</si>
  <si>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</si>
  <si>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</si>
  <si>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</si>
  <si>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</si>
  <si>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</si>
  <si>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</si>
  <si>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</si>
  <si>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</si>
  <si>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</si>
  <si>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</si>
  <si>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</si>
  <si>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</si>
  <si>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</si>
  <si>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</si>
  <si>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</si>
  <si>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</si>
  <si>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</si>
  <si>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</si>
  <si>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</si>
  <si>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</si>
  <si>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</si>
  <si>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</si>
  <si>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</si>
  <si>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</si>
  <si>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</si>
  <si>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</si>
  <si>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</si>
  <si>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</si>
  <si>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</si>
  <si>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</si>
  <si>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</si>
  <si>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</si>
  <si>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</si>
  <si>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</si>
  <si>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</si>
  <si>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</si>
  <si>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</si>
  <si>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</si>
  <si>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</si>
  <si>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</si>
  <si>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</si>
  <si>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</si>
  <si>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</si>
  <si>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</si>
  <si>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</si>
  <si>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</si>
  <si>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</si>
  <si>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</si>
  <si>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</si>
  <si>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</si>
  <si>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</si>
  <si>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</si>
  <si>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</si>
  <si>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</si>
  <si>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</si>
  <si>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</si>
  <si>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</si>
  <si>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</si>
  <si>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</si>
  <si>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</si>
  <si>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</si>
  <si>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</si>
  <si>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</si>
  <si>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</si>
  <si>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</si>
  <si>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</si>
  <si>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</si>
  <si>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</si>
  <si>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</si>
  <si>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</si>
  <si>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</si>
  <si>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</si>
  <si>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</si>
  <si>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</si>
  <si>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</si>
  <si>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</si>
  <si>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</si>
  <si>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</si>
  <si>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</si>
  <si>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</si>
  <si>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</si>
  <si>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</si>
  <si>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</si>
  <si>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</si>
  <si>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</si>
  <si>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</si>
  <si>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</si>
  <si>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</si>
  <si>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</si>
  <si>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</si>
  <si>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</si>
  <si>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</si>
  <si>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</si>
  <si>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</si>
  <si>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</si>
  <si>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</si>
  <si>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</si>
  <si>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</si>
  <si>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</si>
  <si>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</si>
  <si>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</si>
  <si>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</si>
  <si>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</si>
  <si>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</si>
  <si>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</si>
  <si>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</si>
  <si>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</si>
  <si>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</si>
  <si>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</si>
  <si>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</si>
  <si>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</si>
  <si>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</si>
  <si>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</si>
  <si>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</si>
  <si>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</si>
  <si>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</si>
  <si>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</si>
  <si>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</si>
  <si>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</si>
  <si>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</si>
  <si>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</si>
  <si>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</si>
  <si>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</si>
  <si>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</si>
  <si>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</si>
  <si>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</si>
  <si>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</si>
  <si>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</si>
  <si>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</si>
  <si>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</si>
  <si>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</si>
  <si>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</si>
  <si>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</si>
  <si>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</si>
  <si>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</si>
  <si>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</si>
  <si>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</si>
  <si>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</si>
  <si>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</si>
  <si>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</si>
  <si>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</si>
  <si>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</si>
  <si>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</si>
  <si>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</si>
  <si>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</si>
  <si>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</si>
  <si>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</si>
  <si>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</si>
  <si>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</si>
  <si>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</si>
  <si>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</si>
  <si>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</si>
  <si>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</si>
  <si>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</si>
  <si>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</si>
  <si>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</si>
  <si>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</si>
  <si>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</si>
  <si>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</si>
  <si>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</si>
  <si>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</si>
  <si>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</si>
  <si>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</si>
  <si>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</si>
  <si>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</si>
  <si>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</si>
  <si>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</si>
  <si>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</si>
  <si>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</si>
  <si>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</si>
  <si>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</si>
  <si>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</si>
  <si>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</si>
  <si>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</si>
  <si>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</si>
  <si>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</si>
  <si>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</si>
  <si>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</si>
  <si>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</si>
  <si>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</si>
  <si>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</si>
  <si>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</si>
  <si>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</si>
  <si>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</si>
  <si>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</si>
  <si>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</si>
  <si>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</si>
  <si>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</si>
  <si>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</si>
  <si>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</si>
  <si>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</si>
  <si>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</si>
  <si>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</si>
  <si>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</si>
  <si>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</si>
  <si>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</si>
  <si>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</si>
  <si>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</si>
  <si>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</si>
  <si>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</si>
  <si>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</si>
  <si>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</si>
  <si>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</si>
  <si>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</si>
  <si>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</si>
  <si>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</si>
  <si>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</si>
  <si>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</si>
  <si>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</si>
  <si>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</si>
  <si>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</si>
  <si>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</si>
  <si>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</si>
  <si>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</si>
  <si>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</si>
  <si>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</si>
  <si>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</si>
  <si>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</si>
  <si>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</si>
  <si>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</si>
  <si>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</si>
  <si>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</si>
  <si>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</si>
  <si>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</si>
  <si>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</si>
  <si>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</si>
  <si>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</si>
  <si>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</si>
  <si>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</si>
  <si>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</si>
  <si>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</si>
  <si>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</si>
  <si>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</si>
  <si>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</si>
  <si>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</si>
  <si>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</si>
  <si>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</si>
  <si>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</si>
  <si>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</si>
  <si>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</si>
  <si>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</si>
  <si>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</si>
  <si>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</si>
  <si>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</si>
  <si>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</si>
  <si>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</si>
  <si>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</si>
  <si>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</si>
  <si>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</si>
  <si>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</si>
  <si>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</si>
  <si>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</si>
  <si>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</si>
  <si>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</si>
  <si>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</si>
  <si>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</si>
  <si>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</si>
  <si>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</si>
  <si>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</si>
  <si>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</si>
  <si>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</si>
  <si>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</si>
  <si>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</si>
  <si>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</si>
  <si>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</si>
  <si>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</si>
  <si>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</si>
  <si>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</si>
  <si>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</si>
  <si>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</si>
  <si>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</si>
  <si>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</si>
  <si>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</si>
  <si>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</si>
  <si>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</si>
  <si>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</si>
  <si>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</si>
  <si>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</si>
  <si>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</si>
  <si>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</si>
  <si>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</si>
  <si>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</si>
  <si>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</si>
  <si>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</si>
  <si>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</si>
  <si>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</si>
  <si>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</si>
  <si>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</si>
  <si>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</si>
  <si>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</si>
  <si>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</si>
  <si>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</si>
  <si>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</si>
  <si>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</si>
  <si>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</si>
  <si>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</si>
  <si>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</si>
  <si>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</si>
  <si>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</si>
  <si>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</si>
  <si>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</si>
  <si>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</si>
  <si>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</si>
  <si>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</si>
  <si>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</si>
  <si>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</si>
  <si>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</si>
  <si>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</si>
  <si>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</si>
  <si>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</si>
  <si>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</si>
  <si>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</si>
  <si>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</si>
  <si>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</si>
  <si>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</si>
  <si>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</si>
  <si>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</si>
  <si>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</si>
  <si>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</si>
  <si>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</si>
  <si>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</si>
  <si>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</si>
  <si>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</si>
  <si>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</si>
  <si>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</si>
  <si>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</si>
  <si>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</si>
  <si>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</si>
  <si>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</si>
  <si>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</si>
  <si>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</si>
  <si>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</si>
  <si>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</si>
  <si>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</si>
  <si>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</si>
  <si>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</si>
  <si>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</si>
  <si>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</si>
  <si>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</si>
  <si>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</si>
  <si>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</si>
  <si>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</si>
  <si>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</si>
  <si>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</si>
  <si>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</si>
  <si>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</si>
  <si>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</si>
  <si>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</si>
  <si>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</si>
  <si>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</si>
  <si>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</si>
  <si>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</si>
  <si>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</si>
  <si>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</si>
  <si>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</si>
  <si>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</si>
  <si>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</si>
  <si>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</si>
  <si>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</si>
  <si>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</si>
  <si>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</si>
  <si>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</si>
  <si>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</si>
  <si>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</si>
  <si>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</si>
  <si>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</si>
  <si>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</si>
  <si>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</si>
  <si>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</si>
  <si>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</si>
  <si>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</si>
  <si>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</si>
  <si>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</si>
  <si>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</si>
  <si>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</si>
  <si>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</si>
  <si>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</si>
  <si>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</si>
  <si>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</si>
  <si>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</si>
  <si>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</si>
  <si>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</si>
  <si>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</si>
  <si>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</si>
  <si>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</si>
  <si>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</si>
  <si>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</si>
  <si>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</si>
  <si>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</si>
  <si>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</si>
  <si>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</si>
  <si>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</si>
  <si>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</si>
  <si>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</si>
  <si>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</si>
  <si>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</si>
  <si>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</si>
  <si>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</si>
  <si>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</si>
  <si>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</si>
  <si>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</si>
  <si>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</si>
  <si>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</si>
  <si>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</si>
  <si>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</si>
  <si>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</si>
  <si>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</si>
  <si>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</si>
  <si>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</si>
  <si>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</si>
  <si>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</si>
  <si>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</si>
  <si>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</si>
  <si>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</si>
  <si>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</si>
  <si>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</si>
  <si>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</si>
  <si>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</si>
  <si>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</si>
  <si>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</si>
  <si>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</si>
  <si>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</si>
  <si>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</si>
  <si>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</si>
  <si>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</si>
  <si>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</si>
  <si>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</si>
  <si>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</si>
  <si>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</si>
  <si>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</si>
  <si>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</si>
  <si>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</si>
  <si>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</si>
  <si>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</si>
  <si>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</si>
  <si>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</si>
  <si>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</si>
  <si>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</si>
  <si>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</si>
  <si>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</si>
  <si>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</si>
  <si>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</si>
  <si>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</si>
  <si>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</si>
  <si>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</si>
  <si>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</si>
  <si>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</si>
  <si>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</si>
  <si>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</si>
  <si>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</si>
  <si>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</si>
  <si>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</si>
  <si>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</si>
  <si>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</si>
  <si>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</si>
  <si>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</si>
  <si>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</si>
  <si>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</si>
  <si>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</si>
  <si>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</si>
  <si>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</si>
  <si>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</si>
  <si>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</si>
  <si>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</si>
  <si>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</si>
  <si>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</si>
  <si>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</si>
  <si>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</si>
  <si>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</si>
  <si>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</si>
  <si>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</si>
  <si>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</si>
  <si>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</si>
  <si>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</si>
  <si>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</si>
  <si>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</si>
  <si>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</si>
  <si>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</si>
  <si>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</si>
  <si>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</si>
  <si>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</si>
  <si>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</si>
  <si>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</si>
  <si>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</si>
  <si>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</si>
  <si>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</si>
  <si>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</si>
  <si>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</si>
  <si>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</si>
  <si>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</si>
  <si>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</si>
  <si>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</si>
  <si>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</si>
  <si>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</si>
  <si>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</si>
  <si>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</si>
  <si>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</si>
  <si>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</si>
  <si>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</si>
  <si>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</si>
  <si>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</si>
  <si>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</si>
  <si>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</si>
  <si>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</si>
  <si>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</si>
  <si>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</si>
  <si>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</si>
  <si>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</si>
  <si>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</si>
  <si>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</si>
  <si>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</si>
  <si>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</si>
  <si>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</si>
  <si>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</si>
  <si>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</si>
  <si>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</si>
  <si>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</si>
  <si>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</si>
  <si>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</si>
  <si>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</si>
  <si>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</si>
  <si>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</si>
  <si>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</si>
  <si>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</si>
  <si>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</si>
  <si>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</si>
  <si>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</si>
  <si>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</si>
  <si>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</si>
  <si>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</si>
  <si>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</si>
  <si>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</si>
  <si>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</si>
  <si>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</si>
  <si>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</si>
  <si>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</si>
  <si>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</si>
  <si>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</si>
  <si>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</si>
  <si>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</si>
  <si>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</si>
  <si>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</si>
  <si>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</si>
  <si>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</si>
  <si>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</si>
  <si>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</si>
  <si>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</si>
  <si>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</si>
  <si>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</si>
  <si>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</si>
  <si>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</si>
  <si>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</si>
  <si>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</si>
  <si>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</si>
  <si>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</si>
  <si>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</si>
  <si>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</si>
  <si>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</si>
  <si>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</si>
  <si>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</si>
  <si>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</si>
  <si>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</si>
  <si>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</si>
  <si>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</si>
  <si>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</si>
  <si>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</si>
  <si>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</si>
  <si>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</si>
  <si>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</si>
  <si>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</si>
  <si>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</si>
  <si>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</si>
  <si>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</si>
  <si>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</si>
  <si>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</si>
  <si>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</si>
  <si>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</si>
  <si>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</si>
  <si>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</si>
  <si>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</si>
  <si>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</si>
  <si>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</si>
  <si>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</si>
  <si>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</si>
  <si>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</si>
  <si>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</si>
  <si>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</si>
  <si>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</si>
  <si>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</si>
  <si>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</si>
  <si>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</si>
  <si>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</si>
  <si>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</si>
  <si>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</si>
  <si>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</si>
  <si>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</si>
  <si>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</si>
  <si>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</si>
  <si>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</si>
  <si>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</si>
  <si>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</si>
  <si>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</si>
  <si>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</si>
  <si>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</si>
  <si>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</si>
  <si>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</si>
  <si>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</si>
  <si>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</si>
  <si>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</si>
  <si>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</si>
  <si>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</si>
  <si>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</si>
  <si>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</si>
  <si>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</si>
  <si>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</si>
  <si>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</si>
  <si>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</si>
  <si>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</si>
  <si>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</si>
  <si>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</si>
  <si>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</si>
  <si>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</si>
  <si>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</si>
  <si>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</si>
  <si>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</si>
  <si>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</si>
  <si>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</si>
  <si>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</si>
  <si>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</si>
  <si>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</si>
  <si>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</si>
  <si>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</si>
  <si>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</si>
  <si>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</si>
  <si>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</si>
  <si>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</si>
  <si>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</si>
  <si>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</si>
  <si>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</si>
  <si>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</si>
  <si>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</si>
  <si>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</si>
  <si>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</si>
  <si>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</si>
  <si>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</si>
  <si>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</si>
  <si>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</si>
  <si>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</si>
  <si>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</si>
  <si>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</si>
  <si>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</si>
  <si>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</si>
  <si>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</si>
  <si>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</si>
  <si>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</si>
  <si>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</si>
  <si>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</si>
  <si>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</si>
  <si>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</si>
  <si>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</si>
  <si>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</si>
  <si>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</si>
  <si>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</si>
  <si>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</si>
  <si>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</si>
  <si>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</si>
  <si>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</si>
  <si>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</si>
  <si>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</si>
  <si>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</si>
  <si>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</si>
  <si>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</si>
  <si>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</si>
  <si>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</si>
  <si>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</si>
  <si>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</si>
  <si>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</si>
  <si>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</si>
  <si>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</si>
  <si>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</si>
  <si>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</si>
  <si>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</si>
  <si>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</si>
  <si>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</si>
  <si>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</si>
  <si>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</si>
  <si>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</si>
  <si>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</si>
  <si>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</si>
  <si>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</si>
  <si>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</si>
  <si>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</si>
  <si>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</si>
  <si>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</si>
  <si>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</si>
  <si>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</si>
  <si>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</si>
  <si>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</si>
  <si>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</si>
  <si>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</si>
  <si>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</si>
  <si>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</si>
  <si>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</si>
  <si>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</si>
  <si>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</si>
  <si>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</si>
  <si>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</si>
  <si>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</si>
  <si>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</si>
  <si>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</si>
  <si>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</si>
  <si>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</si>
  <si>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</si>
  <si>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</si>
  <si>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</si>
  <si>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</si>
  <si>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</si>
  <si>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</si>
  <si>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</si>
  <si>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</si>
  <si>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</si>
  <si>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</si>
  <si>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</si>
  <si>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</si>
  <si>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</si>
  <si>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</si>
  <si>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</si>
  <si>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</si>
  <si>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</si>
  <si>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</si>
  <si>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</si>
  <si>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</si>
  <si>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</si>
  <si>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</si>
  <si>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</si>
  <si>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</si>
  <si>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</si>
  <si>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</si>
  <si>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</si>
  <si>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</si>
  <si>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</si>
  <si>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</si>
  <si>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</si>
  <si>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</si>
  <si>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</si>
  <si>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</si>
  <si>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</si>
  <si>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</si>
  <si>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</si>
  <si>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</si>
  <si>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</si>
  <si>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</si>
  <si>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</si>
  <si>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</si>
  <si>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</si>
  <si>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</si>
  <si>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</si>
  <si>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</si>
  <si>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</si>
  <si>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</si>
  <si>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</si>
  <si>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</si>
  <si>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</si>
  <si>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</si>
  <si>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</si>
  <si>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</si>
  <si>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</si>
  <si>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</si>
  <si>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</si>
  <si>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</si>
  <si>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</si>
  <si>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</si>
  <si>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</si>
  <si>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</si>
  <si>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</si>
  <si>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</si>
  <si>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</si>
  <si>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</si>
  <si>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</si>
  <si>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</si>
  <si>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</si>
  <si>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</si>
  <si>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</si>
  <si>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</si>
  <si>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</si>
  <si>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</si>
  <si>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</si>
  <si>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</si>
  <si>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</si>
  <si>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</si>
  <si>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</si>
  <si>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</si>
  <si>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</si>
  <si>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</si>
  <si>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</si>
  <si>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</si>
  <si>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</si>
  <si>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</si>
  <si>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</si>
  <si>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</si>
  <si>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</si>
  <si>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</si>
  <si>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</si>
  <si>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</si>
  <si>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</si>
  <si>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</si>
  <si>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</si>
  <si>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</si>
  <si>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</si>
  <si>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</si>
  <si>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</si>
  <si>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</si>
  <si>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</si>
  <si>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</si>
  <si>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</si>
  <si>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</si>
  <si>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</si>
  <si>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</si>
  <si>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</si>
  <si>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</si>
  <si>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</si>
  <si>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</si>
  <si>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</si>
  <si>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</si>
  <si>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</si>
  <si>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</si>
  <si>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</si>
  <si>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</si>
  <si>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</si>
  <si>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</si>
  <si>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</si>
  <si>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</si>
  <si>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</si>
  <si>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</si>
  <si>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</si>
  <si>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</si>
  <si>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</si>
  <si>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</si>
  <si>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</si>
  <si>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</si>
  <si>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</si>
  <si>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</si>
  <si>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</si>
  <si>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</si>
  <si>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</si>
  <si>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</si>
  <si>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</si>
  <si>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</si>
  <si>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</si>
  <si>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</si>
  <si>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</si>
  <si>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</si>
  <si>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</si>
  <si>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</si>
  <si>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</si>
  <si>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</si>
  <si>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</si>
  <si>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</si>
  <si>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</si>
  <si>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</si>
  <si>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</si>
  <si>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</si>
  <si>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</si>
  <si>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</si>
  <si>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</si>
  <si>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</si>
  <si>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</si>
  <si>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</si>
  <si>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</si>
  <si>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</si>
  <si>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</si>
  <si>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</si>
  <si>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</si>
  <si>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</si>
  <si>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</si>
  <si>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</si>
  <si>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</si>
  <si>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</si>
  <si>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</si>
  <si>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</si>
  <si>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</si>
  <si>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</si>
  <si>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</si>
  <si>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</si>
  <si>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</si>
  <si>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</si>
  <si>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</si>
  <si>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</si>
  <si>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</si>
  <si>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</si>
  <si>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</si>
  <si>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</si>
  <si>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</si>
  <si>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</si>
  <si>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</si>
  <si>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</si>
  <si>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</si>
  <si>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</si>
  <si>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</si>
  <si>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</si>
  <si>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</si>
  <si>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</si>
  <si>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</si>
  <si>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</si>
  <si>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</si>
  <si>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</si>
  <si>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</si>
  <si>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</si>
  <si>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</si>
  <si>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</si>
  <si>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</si>
  <si>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</si>
  <si>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</si>
  <si>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</si>
  <si>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</si>
  <si>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</si>
  <si>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</si>
  <si>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</si>
  <si>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</si>
  <si>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</si>
  <si>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</si>
  <si>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</si>
  <si>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</si>
  <si>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</si>
  <si>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</si>
  <si>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</si>
  <si>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</si>
  <si>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</si>
  <si>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</si>
  <si>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</si>
  <si>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</si>
  <si>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</si>
  <si>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</si>
  <si>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</si>
  <si>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</si>
  <si>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</si>
  <si>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</si>
  <si>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</si>
  <si>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</si>
  <si>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</si>
  <si>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</si>
  <si>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</si>
  <si>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</si>
  <si>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</si>
  <si>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</si>
  <si>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</si>
  <si>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</si>
  <si>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</si>
  <si>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</si>
  <si>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</si>
  <si>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</si>
  <si>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</si>
  <si>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</si>
  <si>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</si>
  <si>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</si>
  <si>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</si>
  <si>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</si>
  <si>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</si>
  <si>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</si>
  <si>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</si>
  <si>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</si>
  <si>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</si>
  <si>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</si>
  <si>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</si>
  <si>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</si>
  <si>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</si>
  <si>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</si>
  <si>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</si>
  <si>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</si>
  <si>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</si>
  <si>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</si>
  <si>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</si>
  <si>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</si>
  <si>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</si>
  <si>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</si>
  <si>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</si>
  <si>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</si>
  <si>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</si>
  <si>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</si>
  <si>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</si>
  <si>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</si>
  <si>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</si>
  <si>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</si>
  <si>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</si>
  <si>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</si>
  <si>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</si>
  <si>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</si>
  <si>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</si>
  <si>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</si>
  <si>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</si>
  <si>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</si>
  <si>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</si>
  <si>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</si>
  <si>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</si>
  <si>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</si>
  <si>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</si>
  <si>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</si>
  <si>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</si>
  <si>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</si>
  <si>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</si>
  <si>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</si>
  <si>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</si>
  <si>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</si>
  <si>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</si>
  <si>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</si>
  <si>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</si>
  <si>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</si>
  <si>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</si>
  <si>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</si>
  <si>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</si>
  <si>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</si>
  <si>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</si>
  <si>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</si>
  <si>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</si>
  <si>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</si>
  <si>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</si>
  <si>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</si>
  <si>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</si>
  <si>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</si>
  <si>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</si>
  <si>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</si>
  <si>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</si>
  <si>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</si>
  <si>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</si>
  <si>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</si>
  <si>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</si>
  <si>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</si>
  <si>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</si>
  <si>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</si>
  <si>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</si>
  <si>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</si>
  <si>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</si>
  <si>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</si>
  <si>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</si>
  <si>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</si>
  <si>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</si>
  <si>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</si>
  <si>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</si>
  <si>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</si>
  <si>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</si>
  <si>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</si>
  <si>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</si>
  <si>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</si>
  <si>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</si>
  <si>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</si>
  <si>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</si>
  <si>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</si>
  <si>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</si>
  <si>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</si>
  <si>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</si>
  <si>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</si>
  <si>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</si>
  <si>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</si>
  <si>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</si>
  <si>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</si>
  <si>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</si>
  <si>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</si>
  <si>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</si>
  <si>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</si>
  <si>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</si>
  <si>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</si>
  <si>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</si>
  <si>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</si>
  <si>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</si>
  <si>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</si>
  <si>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</si>
  <si>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</si>
  <si>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</si>
  <si>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</si>
  <si>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</si>
  <si>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</si>
  <si>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</si>
  <si>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</si>
  <si>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</si>
  <si>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</si>
  <si>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</si>
  <si>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</si>
  <si>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</si>
  <si>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</si>
  <si>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</si>
  <si>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</si>
  <si>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</si>
  <si>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</si>
  <si>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</si>
  <si>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</si>
  <si>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</si>
  <si>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</si>
  <si>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</si>
  <si>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</si>
  <si>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</si>
  <si>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</si>
  <si>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</si>
  <si>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</si>
  <si>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</si>
  <si>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</si>
  <si>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</si>
  <si>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</si>
  <si>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</si>
  <si>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</si>
  <si>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</si>
  <si>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</si>
  <si>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</si>
  <si>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</si>
  <si>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</si>
  <si>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</si>
  <si>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</si>
  <si>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</si>
  <si>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</si>
  <si>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</si>
  <si>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</si>
  <si>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</si>
  <si>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</si>
  <si>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</si>
  <si>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</si>
  <si>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</si>
  <si>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</si>
  <si>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</si>
  <si>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</si>
  <si>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</si>
  <si>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</si>
  <si>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</si>
  <si>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</si>
  <si>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</si>
  <si>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</si>
  <si>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</si>
  <si>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</si>
  <si>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</si>
  <si>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</si>
  <si>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</si>
  <si>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</si>
  <si>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</si>
  <si>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</si>
  <si>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</si>
  <si>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</si>
  <si>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</si>
  <si>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</si>
  <si>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</si>
  <si>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</si>
  <si>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</si>
  <si>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</si>
  <si>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</si>
  <si>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</si>
  <si>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</si>
  <si>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</si>
  <si>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</si>
  <si>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</si>
  <si>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</si>
  <si>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</si>
  <si>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</si>
  <si>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</si>
  <si>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</si>
  <si>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</si>
  <si>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</si>
  <si>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</si>
  <si>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</si>
  <si>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</si>
  <si>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</si>
  <si>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</si>
  <si>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</si>
  <si>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</si>
  <si>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</si>
  <si>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</si>
  <si>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</si>
  <si>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</si>
  <si>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</si>
  <si>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</si>
  <si>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</si>
  <si>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</si>
  <si>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</si>
  <si>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</si>
  <si>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</si>
  <si>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</si>
  <si>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</si>
  <si>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</si>
  <si>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</si>
  <si>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</si>
  <si>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</si>
  <si>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</si>
  <si>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</si>
  <si>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</si>
  <si>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</si>
  <si>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</si>
  <si>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</si>
  <si>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</si>
  <si>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</si>
  <si>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</si>
  <si>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</si>
  <si>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</si>
  <si>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</si>
  <si>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</si>
  <si>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</si>
  <si>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</si>
  <si>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</si>
  <si>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</si>
  <si>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</si>
  <si>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</si>
  <si>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</si>
  <si>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</si>
  <si>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</si>
  <si>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</si>
  <si>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</si>
  <si>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</si>
  <si>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</si>
  <si>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</si>
  <si>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</si>
  <si>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</si>
  <si>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</si>
  <si>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</si>
  <si>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</si>
  <si>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</si>
  <si>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</si>
  <si>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</si>
  <si>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</si>
  <si>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</si>
  <si>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</si>
  <si>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</si>
  <si>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</si>
  <si>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</si>
  <si>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</si>
  <si>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</si>
  <si>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</si>
  <si>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</si>
  <si>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</si>
  <si>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</si>
  <si>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</si>
  <si>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</si>
  <si>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</si>
  <si>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</si>
  <si>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</si>
  <si>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</si>
  <si>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</si>
  <si>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</si>
  <si>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</si>
  <si>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</si>
  <si>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</si>
  <si>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</si>
  <si>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</si>
  <si>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</si>
  <si>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</si>
  <si>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</si>
  <si>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</si>
  <si>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</si>
  <si>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</si>
  <si>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</si>
  <si>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</si>
  <si>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</si>
  <si>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</si>
  <si>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</si>
  <si>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</si>
  <si>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</si>
  <si>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</si>
  <si>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</si>
  <si>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</si>
  <si>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</si>
  <si>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</si>
  <si>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</si>
  <si>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</si>
  <si>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</si>
  <si>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</si>
  <si>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</si>
  <si>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</si>
  <si>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</si>
  <si>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</si>
  <si>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</si>
  <si>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</si>
  <si>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</si>
  <si>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</si>
  <si>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</si>
  <si>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</si>
  <si>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</si>
  <si>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</si>
  <si>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</si>
  <si>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</si>
  <si>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</si>
  <si>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</si>
  <si>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</si>
  <si>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</si>
  <si>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</si>
  <si>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</si>
  <si>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</si>
  <si>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</si>
  <si>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</si>
  <si>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</si>
  <si>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</si>
  <si>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</si>
  <si>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</si>
  <si>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</si>
  <si>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</si>
  <si>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</si>
  <si>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</si>
  <si>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</si>
  <si>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</si>
  <si>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</si>
  <si>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</si>
  <si>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</si>
  <si>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</si>
  <si>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</si>
  <si>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</si>
  <si>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</si>
  <si>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</si>
  <si>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</si>
  <si>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</si>
  <si>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</si>
  <si>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</si>
  <si>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</si>
  <si>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</si>
  <si>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</si>
  <si>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</si>
  <si>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</si>
  <si>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</si>
  <si>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</si>
  <si>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</si>
  <si>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</si>
  <si>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</si>
  <si>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</si>
  <si>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</si>
  <si>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</si>
  <si>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</si>
  <si>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</si>
  <si>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</si>
  <si>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</si>
  <si>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</si>
  <si>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</si>
  <si>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</si>
  <si>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</si>
  <si>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</si>
  <si>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</si>
  <si>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</si>
  <si>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</si>
  <si>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</si>
  <si>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</si>
  <si>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</si>
  <si>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</si>
  <si>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</si>
  <si>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</si>
  <si>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</si>
  <si>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</si>
  <si>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</si>
  <si>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</si>
  <si>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</si>
  <si>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</si>
  <si>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</si>
  <si>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</si>
  <si>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</si>
  <si>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</si>
  <si>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</si>
  <si>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</si>
  <si>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</si>
  <si>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</si>
  <si>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</si>
  <si>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</si>
  <si>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</si>
  <si>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</si>
  <si>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</si>
  <si>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</si>
  <si>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</si>
  <si>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</si>
  <si>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</si>
  <si>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</si>
  <si>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</si>
  <si>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</si>
  <si>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</si>
  <si>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</si>
  <si>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</si>
  <si>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</si>
  <si>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</si>
  <si>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</si>
  <si>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</si>
  <si>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</si>
  <si>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</si>
  <si>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</si>
  <si>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</si>
  <si>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</si>
  <si>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</si>
  <si>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</si>
  <si>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</si>
  <si>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</si>
  <si>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</si>
  <si>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</si>
  <si>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</si>
  <si>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</si>
  <si>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</si>
  <si>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</si>
  <si>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</si>
  <si>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</si>
  <si>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</si>
  <si>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</si>
  <si>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</si>
  <si>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</si>
  <si>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</si>
  <si>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</si>
  <si>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</si>
  <si>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</si>
  <si>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</si>
  <si>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</si>
  <si>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</si>
  <si>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</si>
  <si>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</si>
  <si>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</si>
  <si>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</si>
  <si>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</si>
  <si>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</si>
  <si>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</si>
  <si>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</si>
  <si>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</si>
  <si>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</si>
  <si>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</si>
  <si>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</si>
  <si>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</si>
  <si>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</si>
  <si>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</si>
  <si>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</si>
  <si>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</si>
  <si>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</si>
  <si>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</si>
  <si>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</si>
  <si>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</si>
  <si>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</si>
  <si>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</si>
  <si>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</si>
  <si>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</si>
  <si>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</si>
  <si>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</si>
  <si>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</si>
  <si>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</si>
  <si>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</si>
  <si>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</si>
  <si>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</si>
  <si>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</si>
  <si>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</si>
  <si>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</si>
  <si>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</si>
  <si>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</si>
  <si>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</si>
  <si>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</si>
  <si>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</si>
  <si>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</si>
  <si>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</si>
  <si>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</si>
  <si>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</si>
  <si>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</si>
  <si>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</si>
  <si>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</si>
  <si>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</si>
  <si>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</si>
  <si>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</si>
  <si>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</si>
  <si>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</si>
  <si>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</si>
  <si>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</si>
  <si>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</si>
  <si>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</si>
  <si>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</si>
  <si>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</si>
  <si>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</si>
  <si>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</si>
  <si>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</si>
  <si>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</si>
  <si>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</si>
  <si>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</si>
  <si>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</si>
  <si>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</si>
  <si>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</si>
  <si>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</si>
  <si>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</si>
  <si>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</si>
  <si>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</si>
  <si>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</si>
  <si>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</si>
  <si>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</si>
  <si>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</si>
  <si>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</si>
  <si>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</si>
  <si>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</si>
  <si>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</si>
  <si>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</si>
  <si>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</si>
  <si>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</si>
  <si>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</si>
  <si>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</si>
  <si>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</si>
  <si>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</si>
  <si>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</si>
  <si>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</si>
  <si>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</si>
  <si>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</si>
  <si>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</si>
  <si>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</si>
  <si>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</si>
  <si>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</si>
  <si>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</si>
  <si>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</si>
  <si>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</si>
  <si>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</si>
  <si>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</si>
  <si>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</si>
  <si>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</si>
  <si>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</si>
  <si>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</si>
  <si>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</si>
  <si>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</si>
  <si>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</si>
  <si>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</si>
  <si>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</si>
  <si>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</si>
  <si>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</si>
  <si>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</si>
  <si>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</si>
  <si>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</si>
  <si>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</si>
  <si>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</si>
  <si>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</si>
  <si>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</si>
  <si>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</si>
  <si>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</si>
  <si>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</si>
  <si>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</si>
  <si>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</si>
  <si>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</si>
  <si>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</si>
  <si>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</si>
  <si>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</si>
  <si>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</si>
  <si>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</si>
  <si>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</si>
  <si>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</si>
  <si>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</si>
  <si>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</si>
  <si>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</si>
  <si>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</si>
  <si>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</si>
  <si>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</si>
  <si>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</si>
  <si>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</si>
  <si>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</si>
  <si>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</si>
  <si>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</si>
  <si>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</si>
  <si>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</si>
  <si>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</si>
  <si>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</si>
  <si>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</si>
  <si>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</si>
  <si>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</si>
  <si>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</si>
  <si>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</si>
  <si>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</si>
  <si>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</si>
  <si>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</si>
  <si>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</si>
  <si>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</si>
  <si>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</si>
  <si>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</si>
  <si>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</si>
  <si>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</si>
  <si>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</si>
  <si>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</si>
  <si>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</si>
  <si>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</si>
  <si>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</si>
  <si>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</si>
  <si>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</si>
  <si>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</si>
  <si>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</si>
  <si>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</si>
  <si>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</si>
  <si>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</si>
  <si>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</si>
  <si>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</si>
  <si>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</si>
  <si>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</si>
  <si>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</si>
  <si>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</si>
  <si>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</si>
  <si>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</si>
  <si>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</si>
  <si>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</si>
  <si>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</si>
  <si>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</si>
  <si>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</si>
  <si>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</si>
  <si>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</si>
  <si>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</si>
  <si>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</si>
  <si>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</si>
  <si>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</si>
  <si>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</si>
  <si>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</si>
  <si>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</si>
  <si>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</si>
  <si>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</si>
  <si>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</si>
  <si>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</si>
  <si>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</si>
  <si>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</si>
  <si>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</si>
  <si>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</si>
  <si>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</si>
  <si>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</si>
  <si>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</si>
  <si>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</si>
  <si>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</si>
  <si>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</si>
  <si>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</si>
  <si>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</si>
  <si>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</si>
  <si>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</si>
  <si>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</si>
  <si>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</si>
  <si>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</si>
  <si>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</si>
  <si>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</si>
  <si>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</si>
  <si>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</si>
  <si>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</si>
  <si>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</si>
  <si>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</si>
  <si>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</si>
  <si>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</si>
  <si>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</si>
  <si>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</si>
  <si>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</si>
  <si>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</si>
  <si>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</si>
  <si>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</si>
  <si>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</si>
  <si>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</si>
  <si>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</si>
  <si>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</si>
  <si>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</si>
  <si>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</si>
  <si>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</si>
  <si>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</si>
  <si>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</si>
  <si>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</si>
  <si>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</si>
  <si>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</si>
  <si>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</si>
  <si>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</si>
  <si>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</si>
  <si>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</si>
  <si>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</si>
  <si>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</si>
  <si>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</si>
  <si>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</si>
  <si>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</si>
  <si>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</si>
  <si>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</si>
  <si>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</si>
  <si>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</si>
  <si>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</si>
  <si>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</si>
  <si>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</si>
  <si>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</si>
  <si>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</si>
  <si>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</si>
  <si>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</si>
  <si>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</si>
  <si>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</si>
  <si>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</si>
  <si>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</si>
  <si>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</si>
  <si>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</si>
  <si>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</si>
  <si>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</si>
  <si>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</si>
  <si>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</si>
  <si>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</si>
  <si>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</si>
  <si>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</si>
  <si>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</si>
  <si>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</si>
  <si>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</si>
  <si>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</si>
  <si>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</si>
  <si>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</si>
  <si>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</si>
  <si>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</si>
  <si>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</si>
  <si>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</si>
  <si>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</si>
  <si>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</si>
  <si>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</si>
  <si>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</si>
  <si>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</si>
  <si>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</si>
  <si>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</si>
  <si>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</si>
  <si>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</si>
  <si>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</si>
  <si>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</si>
  <si>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</si>
  <si>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</si>
  <si>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</si>
  <si>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</si>
  <si>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</si>
  <si>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</si>
  <si>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</si>
  <si>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</si>
  <si>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</si>
  <si>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</si>
  <si>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</si>
  <si>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</si>
  <si>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</si>
  <si>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</si>
  <si>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</si>
  <si>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</si>
  <si>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</si>
  <si>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</si>
  <si>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</si>
  <si>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</si>
  <si>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</si>
  <si>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</si>
  <si>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</si>
  <si>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</si>
  <si>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</si>
  <si>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</si>
  <si>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</si>
  <si>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</si>
  <si>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</si>
  <si>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崔锴</t>
  </si>
  <si>
    <t>郑燚</t>
  </si>
  <si>
    <t>抵押</t>
  </si>
  <si>
    <t>房地产抵押价值</t>
  </si>
  <si>
    <t>北京市</t>
  </si>
  <si>
    <t>自然人</t>
  </si>
  <si>
    <t>晋国田</t>
    <phoneticPr fontId="7" type="noConversion"/>
  </si>
  <si>
    <r>
      <t>1</t>
    </r>
    <r>
      <rPr>
        <sz val="10"/>
        <color indexed="8"/>
        <rFont val="宋体"/>
        <family val="3"/>
        <charset val="134"/>
      </rPr>
      <t>层</t>
    </r>
    <r>
      <rPr>
        <sz val="10"/>
        <color indexed="8"/>
        <rFont val="Arial"/>
        <family val="2"/>
      </rPr>
      <t>102</t>
    </r>
    <phoneticPr fontId="7" type="noConversion"/>
  </si>
  <si>
    <t>与房产证证载一致</t>
  </si>
  <si>
    <t>商业</t>
  </si>
  <si>
    <t>商业</t>
    <phoneticPr fontId="7" type="noConversion"/>
  </si>
  <si>
    <t>超高楼层，可隔成两层使用</t>
    <phoneticPr fontId="7" type="noConversion"/>
  </si>
  <si>
    <t>良好</t>
    <phoneticPr fontId="7" type="noConversion"/>
  </si>
  <si>
    <t>不动产权证书</t>
  </si>
  <si>
    <t>否</t>
  </si>
  <si>
    <t>是</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</si>
  <si>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0021876</t>
    </r>
    <r>
      <rPr>
        <sz val="10"/>
        <color indexed="8"/>
        <rFont val="宋体"/>
        <family val="3"/>
        <charset val="134"/>
      </rPr>
      <t>号</t>
    </r>
    <phoneticPr fontId="7" type="noConversion"/>
  </si>
  <si>
    <t>单独所有</t>
    <phoneticPr fontId="7" type="noConversion"/>
  </si>
  <si>
    <t>商业</t>
    <phoneticPr fontId="7" type="noConversion"/>
  </si>
  <si>
    <t>元</t>
  </si>
  <si>
    <t>楼面单价</t>
  </si>
  <si>
    <t>无租约</t>
  </si>
  <si>
    <t>钢混</t>
  </si>
  <si>
    <t>非生产用房</t>
  </si>
  <si>
    <t>多面临街</t>
  </si>
  <si>
    <t>双面临街</t>
  </si>
  <si>
    <t>单面临街</t>
  </si>
  <si>
    <t>不临街</t>
  </si>
  <si>
    <t>商业</t>
    <phoneticPr fontId="25" type="noConversion"/>
  </si>
  <si>
    <r>
      <rPr>
        <sz val="10"/>
        <color indexed="8"/>
        <rFont val="宋体"/>
        <family val="3"/>
        <charset val="134"/>
      </rPr>
      <t>顺义区裕丰路</t>
    </r>
    <r>
      <rPr>
        <sz val="10"/>
        <color indexed="8"/>
        <rFont val="Arial"/>
        <family val="2"/>
      </rPr>
      <t>16</t>
    </r>
    <r>
      <rPr>
        <sz val="10"/>
        <color indexed="8"/>
        <rFont val="宋体"/>
        <family val="3"/>
        <charset val="134"/>
      </rPr>
      <t>号院</t>
    </r>
    <r>
      <rPr>
        <sz val="10"/>
        <color indexed="8"/>
        <rFont val="Arial"/>
        <family val="2"/>
      </rPr>
      <t>42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102</t>
    </r>
    <phoneticPr fontId="7" type="noConversion"/>
  </si>
  <si>
    <t>七通</t>
  </si>
  <si>
    <t>一般</t>
    <phoneticPr fontId="25" type="noConversion"/>
  </si>
  <si>
    <t>较好</t>
    <phoneticPr fontId="25" type="noConversion"/>
  </si>
  <si>
    <t>独立商业</t>
  </si>
  <si>
    <t>配套商业</t>
  </si>
  <si>
    <t>精装修</t>
  </si>
  <si>
    <t>普通装修</t>
  </si>
  <si>
    <t>简装</t>
  </si>
  <si>
    <t>毛坯</t>
  </si>
  <si>
    <t>六通</t>
  </si>
  <si>
    <t>五通</t>
  </si>
  <si>
    <t>可餐饮</t>
    <phoneticPr fontId="4" type="noConversion"/>
  </si>
  <si>
    <t>不可餐饮</t>
    <phoneticPr fontId="4" type="noConversion"/>
  </si>
  <si>
    <t>标准层高</t>
    <phoneticPr fontId="4" type="noConversion"/>
  </si>
  <si>
    <t>超高层高</t>
  </si>
  <si>
    <t>超高层高</t>
    <phoneticPr fontId="25" type="noConversion"/>
  </si>
  <si>
    <t>可餐饮</t>
  </si>
  <si>
    <t>中粮祥云小镇</t>
    <phoneticPr fontId="4" type="noConversion"/>
  </si>
  <si>
    <t>艾迪城</t>
    <phoneticPr fontId="4" type="noConversion"/>
  </si>
  <si>
    <t>万科城市花园</t>
    <phoneticPr fontId="4" type="noConversion"/>
  </si>
  <si>
    <t>比较法-商业</t>
  </si>
  <si>
    <t>收益法</t>
  </si>
  <si>
    <t>利息：取LPR加浮动点数</t>
  </si>
  <si>
    <t>20-30（含）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</si>
</sst>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rgb="FF000000"/>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9" fontId="255" fillId="0" borderId="0" applyFont="0" applyFill="0" applyBorder="0" applyAlignment="0" applyProtection="0">
      <alignment vertical="center"/>
    </xf>
  </cellStyleXfs>
  <cellXfs count="375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9" fontId="39" fillId="0" borderId="0" xfId="14" applyFont="1" applyFill="1" applyAlignment="1" applyProtection="1">
      <alignment horizontal="left" vertical="center"/>
      <protection locked="0"/>
    </xf>
    <xf numFmtId="9" fontId="39" fillId="0" borderId="0" xfId="0" applyNumberFormat="1" applyFont="1" applyFill="1" applyAlignment="1" applyProtection="1">
      <alignment horizontal="left" vertical="center"/>
      <protection locked="0"/>
    </xf>
    <xf numFmtId="0" fontId="135" fillId="0" borderId="32" xfId="8"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0" fontId="92" fillId="0" borderId="11" xfId="8" applyNumberFormat="1" applyFont="1" applyFill="1" applyBorder="1" applyAlignment="1" applyProtection="1">
      <alignment horizontal="left"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left" vertical="center" wrapText="1"/>
      <protection locked="0"/>
    </xf>
    <xf numFmtId="0" fontId="46" fillId="0" borderId="32" xfId="8" applyNumberFormat="1" applyFont="1" applyFill="1" applyBorder="1" applyAlignment="1" applyProtection="1">
      <alignment horizontal="left" vertical="center" wrapText="1"/>
      <protection locked="0"/>
    </xf>
    <xf numFmtId="0" fontId="18" fillId="0" borderId="32" xfId="8" applyFont="1" applyBorder="1" applyAlignment="1" applyProtection="1">
      <alignment horizontal="center" vertical="center" wrapText="1"/>
      <protection locked="0"/>
    </xf>
    <xf numFmtId="0" fontId="257" fillId="0" borderId="32" xfId="8" applyFont="1" applyBorder="1" applyAlignment="1" applyProtection="1">
      <alignment horizontal="center"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崔锴（注册号:0）、郑燚（注册号:1120070131)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估价对象为北京市房地产，为晋国田所有。根据《不动产权证书》[]，估价对象建筑面积为84.33平方米。根据《》[]，估价对象（分摊）出让国有建设用地使用权面积为平方米。估价对象用途为。</v>
      </c>
    </row>
    <row r="8" spans="1:2">
      <c r="A8" s="1139" t="s">
        <v>863</v>
      </c>
      <c r="B8" s="1126" t="str">
        <f>'预评函-1'!A8</f>
        <v>晋国田拟使用北京市房地产作为抵押担保物，向XX办理贷款手续。XX特委托北京康正宏基房地产评估有限公司对上述抵押物进行评估。本次评估为确定房地产抵押贷款额度提供参考依据而评估房地产抵押价值。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2022年9月2日（评估专业人员实地查勘之日）</v>
      </c>
    </row>
    <row r="10" spans="1:2">
      <c r="A10" s="1139" t="s">
        <v>865</v>
      </c>
      <c r="B10" s="1126" t="str">
        <f>'预评函-1'!A13</f>
        <v>本次估价的“房地产价值”是指在正常市场情况下，在价值时点2022年9月2日，估价对象规划用途为，假定未设立法定优先受偿款下的房地产市场价值。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84.33</v>
      </c>
    </row>
    <row r="19" spans="1:2">
      <c r="A19" s="1139" t="s">
        <v>874</v>
      </c>
      <c r="B19" s="1126">
        <f ca="1">'预评函-2（1）'!D7</f>
        <v>2571643</v>
      </c>
    </row>
    <row r="20" spans="1:2">
      <c r="A20" s="1139" t="s">
        <v>912</v>
      </c>
      <c r="B20" s="1126" t="str">
        <f>'预评函-2（1）'!C7</f>
        <v>总价（元）</v>
      </c>
    </row>
    <row r="21" spans="1:2">
      <c r="A21" s="1139" t="s">
        <v>875</v>
      </c>
      <c r="B21" s="1126">
        <f ca="1">'预评函-2（1）'!D9</f>
        <v>30495</v>
      </c>
    </row>
    <row r="22" spans="1:2">
      <c r="A22" s="1139" t="s">
        <v>876</v>
      </c>
      <c r="B22" s="1126" t="str">
        <f ca="1">'预评函-2（1）'!D8</f>
        <v>贰佰伍拾柒万壹仟陆佰肆拾叁元整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2571643</v>
      </c>
    </row>
    <row r="30" spans="1:2">
      <c r="A30" s="1139" t="s">
        <v>882</v>
      </c>
      <c r="B30" s="1126" t="str">
        <f ca="1">'预评函-2（1）'!D16</f>
        <v>贰佰伍拾柒万壹仟陆佰肆拾叁元整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2067603</v>
      </c>
    </row>
    <row r="38" spans="1:2">
      <c r="A38" s="1139" t="s">
        <v>890</v>
      </c>
      <c r="B38" s="1126">
        <f ca="1">'预评函-2（2）'!E4</f>
        <v>24518</v>
      </c>
    </row>
    <row r="39" spans="1:2">
      <c r="A39" s="1139" t="s">
        <v>891</v>
      </c>
      <c r="B39" s="1126" t="str">
        <f ca="1">'预评函-2（2）'!D5</f>
        <v>贰佰零陆万柒仟陆佰零叁元整</v>
      </c>
    </row>
    <row r="40" spans="1:2">
      <c r="A40" s="1139" t="s">
        <v>892</v>
      </c>
      <c r="B40" s="1126">
        <f ca="1">'预评函-2（2）'!F4</f>
        <v>504040</v>
      </c>
    </row>
    <row r="41" spans="1:2">
      <c r="A41" s="1139" t="s">
        <v>893</v>
      </c>
      <c r="B41" s="1126">
        <f ca="1">'预评函-2（2）'!G4</f>
        <v>5977</v>
      </c>
    </row>
    <row r="42" spans="1:2" s="1136" customFormat="1" ht="15.75" thickBot="1">
      <c r="A42" s="1140" t="s">
        <v>894</v>
      </c>
      <c r="B42" s="1128" t="str">
        <f ca="1">'预评函-2（2）'!F5</f>
        <v>伍拾万肆仟零肆拾元整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30495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K19" sqref="K1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09">
        <v>44806</v>
      </c>
      <c r="C2" s="2808" t="s">
        <v>1291</v>
      </c>
      <c r="D2" s="2509">
        <f>B2</f>
        <v>44806</v>
      </c>
      <c r="E2" s="782"/>
      <c r="F2" s="782"/>
      <c r="G2" s="1121"/>
      <c r="H2" s="2820"/>
    </row>
    <row r="3" spans="1:17" ht="13.5" thickBot="1">
      <c r="A3" s="2510" t="s">
        <v>1292</v>
      </c>
      <c r="B3" s="2511" t="s">
        <v>3030</v>
      </c>
      <c r="C3" s="2512">
        <f ca="1">SUMIF(注册房地产估价师,B3,估价师及机构信息!B3:B16)</f>
        <v>0</v>
      </c>
      <c r="D3" s="2511" t="s">
        <v>3031</v>
      </c>
      <c r="E3" s="2513">
        <f ca="1">SUMIF(注册房地产估价师,D3,估价师及机构信息!B3:B16)</f>
        <v>1120070131</v>
      </c>
      <c r="F3" s="783"/>
      <c r="G3" s="1122"/>
      <c r="H3" s="2820"/>
    </row>
    <row r="4" spans="1:17" ht="13.5" customHeight="1" thickTop="1">
      <c r="A4" s="1355" t="s">
        <v>1293</v>
      </c>
      <c r="B4" s="1356" t="s">
        <v>2479</v>
      </c>
      <c r="C4" s="2809" t="s">
        <v>1294</v>
      </c>
      <c r="D4" s="1357" t="s">
        <v>3032</v>
      </c>
      <c r="E4" s="782"/>
      <c r="F4" s="782"/>
      <c r="G4" s="1121"/>
    </row>
    <row r="5" spans="1:17">
      <c r="A5" s="1358" t="s">
        <v>1295</v>
      </c>
      <c r="B5" s="1359" t="s">
        <v>2480</v>
      </c>
      <c r="C5" s="2810" t="s">
        <v>1296</v>
      </c>
      <c r="D5" s="1361" t="s">
        <v>3033</v>
      </c>
      <c r="E5" s="2811" t="s">
        <v>1297</v>
      </c>
      <c r="F5" s="1361" t="s">
        <v>3033</v>
      </c>
      <c r="G5" s="1362"/>
      <c r="I5" s="2836" t="str">
        <f>IF(C16="否","截至估价时点，估价对象抵押权未见登记。","截至价值时点，估价对象已设定抵押。")</f>
        <v>截至估价时点，估价对象抵押权未见登记。</v>
      </c>
      <c r="J5" s="758"/>
      <c r="K5" s="2838"/>
      <c r="L5" s="2838"/>
      <c r="M5" s="2838"/>
      <c r="N5" s="758"/>
      <c r="O5" s="758"/>
      <c r="P5" s="758"/>
      <c r="Q5" s="758"/>
    </row>
    <row r="6" spans="1:17" ht="25.5">
      <c r="A6" s="2812" t="s">
        <v>1298</v>
      </c>
      <c r="B6" s="2514" t="s">
        <v>3034</v>
      </c>
      <c r="C6" s="2515" t="s">
        <v>3059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3035</v>
      </c>
      <c r="C7" s="1452" t="str">
        <f>IF(B7="自然人","姓名","名称")</f>
        <v>姓名</v>
      </c>
      <c r="D7" s="3324" t="s">
        <v>3036</v>
      </c>
      <c r="E7" s="783"/>
      <c r="F7" s="783"/>
      <c r="G7" s="1122"/>
    </row>
    <row r="8" spans="1:17" ht="26.25" thickTop="1">
      <c r="A8" s="3406" t="s">
        <v>1301</v>
      </c>
      <c r="B8" s="1366" t="s">
        <v>1302</v>
      </c>
      <c r="C8" s="3418" t="s">
        <v>3037</v>
      </c>
      <c r="D8" s="3419"/>
      <c r="E8" s="2518" t="s">
        <v>1303</v>
      </c>
      <c r="F8" s="2519" t="s">
        <v>1304</v>
      </c>
      <c r="G8" s="2520" t="str">
        <f>C6</f>
        <v>顺义区裕丰路16号院42号楼1层102</v>
      </c>
    </row>
    <row r="9" spans="1:17" ht="12.75" customHeight="1">
      <c r="A9" s="3406"/>
      <c r="B9" s="259" t="s">
        <v>1305</v>
      </c>
      <c r="C9" s="3325" t="s">
        <v>3040</v>
      </c>
      <c r="D9" s="1367" t="s">
        <v>3038</v>
      </c>
      <c r="E9" s="2814" t="s">
        <v>1306</v>
      </c>
      <c r="F9" s="2521"/>
      <c r="G9" s="2522"/>
    </row>
    <row r="10" spans="1:17" ht="13.5" thickBot="1">
      <c r="A10" s="3406"/>
      <c r="B10" s="259" t="s">
        <v>1307</v>
      </c>
      <c r="C10" s="3420" t="s">
        <v>3041</v>
      </c>
      <c r="D10" s="3421"/>
      <c r="E10" s="2815" t="s">
        <v>1308</v>
      </c>
      <c r="F10" s="2523"/>
      <c r="G10" s="2524"/>
    </row>
    <row r="11" spans="1:17" ht="13.5" thickBot="1">
      <c r="A11" s="3406"/>
      <c r="B11" s="1369" t="s">
        <v>1309</v>
      </c>
      <c r="C11" s="3422" t="s">
        <v>3042</v>
      </c>
      <c r="D11" s="3423"/>
      <c r="E11" s="769"/>
      <c r="F11" s="769"/>
      <c r="G11" s="788"/>
    </row>
    <row r="12" spans="1:17" ht="13.5" thickBot="1">
      <c r="A12" s="3409" t="s">
        <v>2586</v>
      </c>
      <c r="B12" s="2816" t="s">
        <v>1310</v>
      </c>
      <c r="C12" s="766">
        <v>84.33</v>
      </c>
      <c r="D12" s="1370" t="s">
        <v>1311</v>
      </c>
      <c r="E12" s="1371" t="s">
        <v>3043</v>
      </c>
      <c r="F12" s="1372"/>
      <c r="G12" s="788"/>
    </row>
    <row r="13" spans="1:17" ht="21" customHeight="1" thickBot="1">
      <c r="A13" s="3410"/>
      <c r="B13" s="2817" t="s">
        <v>1312</v>
      </c>
      <c r="C13" s="767"/>
      <c r="D13" s="1373" t="s">
        <v>1313</v>
      </c>
      <c r="E13" s="1374"/>
      <c r="F13" s="769"/>
      <c r="G13" s="788"/>
      <c r="I13" s="3395"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395"/>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8"/>
      <c r="L14" s="2838"/>
      <c r="M14" s="2838"/>
      <c r="N14" s="758"/>
      <c r="O14" s="758"/>
      <c r="P14" s="758"/>
      <c r="Q14" s="758"/>
    </row>
    <row r="15" spans="1:17" ht="13.5" thickBot="1">
      <c r="A15" s="2527"/>
      <c r="B15" s="2818" t="s">
        <v>1315</v>
      </c>
      <c r="C15" s="784"/>
      <c r="D15" s="783"/>
      <c r="E15" s="783"/>
      <c r="F15" s="783"/>
      <c r="G15" s="1122"/>
      <c r="I15" s="3395"/>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t="s">
        <v>3044</v>
      </c>
      <c r="D16" s="1368" t="s">
        <v>1318</v>
      </c>
      <c r="E16" s="2529" t="s">
        <v>3045</v>
      </c>
      <c r="F16" s="1376" t="str">
        <f>IF(AND(C16="是",E16="否"),"是否提供他项权证或相关说明","")</f>
        <v/>
      </c>
      <c r="G16" s="2529"/>
      <c r="J16" s="2820"/>
    </row>
    <row r="17" spans="1:66" ht="13.5" customHeight="1">
      <c r="A17" s="1382" t="s">
        <v>1319</v>
      </c>
      <c r="B17" s="3424" t="s">
        <v>1320</v>
      </c>
      <c r="C17" s="3425"/>
      <c r="D17" s="3426" t="s">
        <v>1321</v>
      </c>
      <c r="E17" s="3427"/>
      <c r="F17" s="1377" t="s">
        <v>1322</v>
      </c>
      <c r="G17" s="1378"/>
      <c r="J17" s="2820"/>
    </row>
    <row r="18" spans="1:66" ht="24">
      <c r="A18" s="1382"/>
      <c r="B18" s="2530"/>
      <c r="C18" s="1362"/>
      <c r="D18" s="1379" t="s">
        <v>1323</v>
      </c>
      <c r="E18" s="1380"/>
      <c r="F18" s="1381"/>
      <c r="G18" s="1245"/>
      <c r="H18" s="2820"/>
      <c r="J18" s="2820"/>
    </row>
    <row r="19" spans="1:66" ht="21.75" customHeight="1" thickBot="1">
      <c r="A19" s="1382"/>
      <c r="B19" s="2531"/>
      <c r="C19" s="1374"/>
      <c r="D19" s="1382"/>
      <c r="E19" s="769"/>
      <c r="F19" s="769"/>
      <c r="G19" s="1245"/>
    </row>
    <row r="20" spans="1:66">
      <c r="A20" s="1378" t="s">
        <v>1324</v>
      </c>
      <c r="B20" s="2532" t="s">
        <v>1325</v>
      </c>
      <c r="C20" s="2533"/>
      <c r="D20" s="2534" t="s">
        <v>1325</v>
      </c>
      <c r="E20" s="2533"/>
      <c r="F20" s="769"/>
      <c r="G20" s="1245"/>
    </row>
    <row r="21" spans="1:66">
      <c r="A21" s="1245"/>
      <c r="B21" s="2535" t="s">
        <v>1326</v>
      </c>
      <c r="C21" s="2803"/>
      <c r="D21" s="1382"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5" t="s">
        <v>2585</v>
      </c>
      <c r="B24" s="3405"/>
      <c r="C24" s="3405"/>
      <c r="D24" s="3405"/>
      <c r="E24" s="3405"/>
      <c r="F24" s="3405"/>
      <c r="G24" s="340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ht="25.5">
      <c r="A28" s="761" t="s">
        <v>1334</v>
      </c>
      <c r="B28" s="759" t="s">
        <v>3046</v>
      </c>
      <c r="C28" s="3412" t="s">
        <v>1334</v>
      </c>
      <c r="D28" s="3413"/>
      <c r="E28" s="759"/>
      <c r="F28" s="761" t="s">
        <v>1334</v>
      </c>
      <c r="G28" s="759"/>
      <c r="K28" s="2821"/>
    </row>
    <row r="29" spans="1:66" ht="25.5">
      <c r="A29" s="762" t="s">
        <v>1335</v>
      </c>
      <c r="B29" s="756" t="str">
        <f>C6</f>
        <v>顺义区裕丰路16号院42号楼1层102</v>
      </c>
      <c r="C29" s="3414" t="s">
        <v>1336</v>
      </c>
      <c r="D29" s="3415"/>
      <c r="E29" s="756"/>
      <c r="F29" s="762" t="s">
        <v>1336</v>
      </c>
      <c r="G29" s="756"/>
      <c r="K29" s="2821"/>
    </row>
    <row r="30" spans="1:66">
      <c r="A30" s="762" t="s">
        <v>1337</v>
      </c>
      <c r="B30" s="3326" t="s">
        <v>3047</v>
      </c>
      <c r="C30" s="3414" t="s">
        <v>1337</v>
      </c>
      <c r="D30" s="3415"/>
      <c r="E30" s="756"/>
      <c r="F30" s="762" t="s">
        <v>1338</v>
      </c>
      <c r="G30" s="756"/>
      <c r="K30" s="2821"/>
    </row>
    <row r="31" spans="1:66">
      <c r="A31" s="762" t="s">
        <v>1339</v>
      </c>
      <c r="B31" s="756"/>
      <c r="C31" s="3402" t="s">
        <v>1340</v>
      </c>
      <c r="D31" s="769"/>
      <c r="E31" s="2544" t="str">
        <f>E32&amp;" "&amp;E33&amp;" "&amp;E34&amp;" "&amp;E35</f>
        <v xml:space="preserve">   </v>
      </c>
      <c r="F31" s="762" t="s">
        <v>1341</v>
      </c>
      <c r="G31" s="756"/>
    </row>
    <row r="32" spans="1:66">
      <c r="A32" s="762" t="s">
        <v>1342</v>
      </c>
      <c r="B32" s="756"/>
      <c r="C32" s="3403"/>
      <c r="D32" s="259" t="s">
        <v>1343</v>
      </c>
      <c r="E32" s="756"/>
      <c r="F32" s="762" t="s">
        <v>1344</v>
      </c>
      <c r="G32" s="756"/>
    </row>
    <row r="33" spans="1:7" ht="24.75" thickBot="1">
      <c r="A33" s="763" t="s">
        <v>1345</v>
      </c>
      <c r="B33" s="760"/>
      <c r="C33" s="3403"/>
      <c r="D33" s="259" t="s">
        <v>1346</v>
      </c>
      <c r="E33" s="756"/>
      <c r="F33" s="762" t="s">
        <v>1347</v>
      </c>
      <c r="G33" s="756"/>
    </row>
    <row r="34" spans="1:7" ht="13.5" thickBot="1">
      <c r="A34" s="761" t="s">
        <v>1348</v>
      </c>
      <c r="B34" s="3327" t="s">
        <v>3048</v>
      </c>
      <c r="C34" s="3403"/>
      <c r="D34" s="259" t="s">
        <v>1349</v>
      </c>
      <c r="E34" s="756"/>
      <c r="F34" s="762" t="s">
        <v>1350</v>
      </c>
      <c r="G34" s="756"/>
    </row>
    <row r="35" spans="1:7" ht="13.5" thickBot="1">
      <c r="A35" s="762" t="s">
        <v>1351</v>
      </c>
      <c r="B35" s="3327" t="s">
        <v>3048</v>
      </c>
      <c r="C35" s="3404"/>
      <c r="D35" s="259" t="s">
        <v>1352</v>
      </c>
      <c r="E35" s="756"/>
      <c r="F35" s="763" t="s">
        <v>1353</v>
      </c>
      <c r="G35" s="2545"/>
    </row>
    <row r="36" spans="1:7">
      <c r="A36" s="762" t="s">
        <v>1310</v>
      </c>
      <c r="B36" s="756">
        <v>84.33</v>
      </c>
      <c r="C36" s="3414" t="s">
        <v>1354</v>
      </c>
      <c r="D36" s="3415"/>
      <c r="E36" s="756"/>
      <c r="F36" s="2546" t="s">
        <v>1355</v>
      </c>
      <c r="G36" s="759"/>
    </row>
    <row r="37" spans="1:7" ht="13.5" thickBot="1">
      <c r="A37" s="762" t="s">
        <v>1356</v>
      </c>
      <c r="B37" s="756"/>
      <c r="C37" s="3416" t="s">
        <v>1357</v>
      </c>
      <c r="D37" s="3417"/>
      <c r="E37" s="760"/>
      <c r="F37" s="1390" t="s">
        <v>1358</v>
      </c>
      <c r="G37" s="756"/>
    </row>
    <row r="38" spans="1:7" ht="13.5" thickBot="1">
      <c r="A38" s="762" t="s">
        <v>1359</v>
      </c>
      <c r="B38" s="756"/>
      <c r="C38" s="3400" t="s">
        <v>1360</v>
      </c>
      <c r="D38" s="1370" t="s">
        <v>1344</v>
      </c>
      <c r="E38" s="759"/>
      <c r="F38" s="763" t="s">
        <v>1361</v>
      </c>
      <c r="G38" s="760"/>
    </row>
    <row r="39" spans="1:7">
      <c r="A39" s="762" t="s">
        <v>1362</v>
      </c>
      <c r="B39" s="756">
        <v>13</v>
      </c>
      <c r="C39" s="3407"/>
      <c r="D39" s="259" t="s">
        <v>1351</v>
      </c>
      <c r="E39" s="756"/>
      <c r="F39" s="761" t="s">
        <v>1363</v>
      </c>
      <c r="G39" s="759"/>
    </row>
    <row r="40" spans="1:7">
      <c r="A40" s="762" t="s">
        <v>1364</v>
      </c>
      <c r="B40" s="756">
        <v>1</v>
      </c>
      <c r="C40" s="3407" t="s">
        <v>1365</v>
      </c>
      <c r="D40" s="259" t="s">
        <v>1310</v>
      </c>
      <c r="E40" s="756"/>
      <c r="F40" s="762" t="s">
        <v>1366</v>
      </c>
      <c r="G40" s="756"/>
    </row>
    <row r="41" spans="1:7" ht="24.75" customHeight="1" thickBot="1">
      <c r="A41" s="763" t="s">
        <v>1367</v>
      </c>
      <c r="B41" s="760">
        <v>2014</v>
      </c>
      <c r="C41" s="3408"/>
      <c r="D41" s="1373" t="s">
        <v>1312</v>
      </c>
      <c r="E41" s="760"/>
      <c r="F41" s="763" t="s">
        <v>1368</v>
      </c>
      <c r="G41" s="760"/>
    </row>
    <row r="42" spans="1:7">
      <c r="A42" s="764" t="s">
        <v>1369</v>
      </c>
      <c r="B42" s="2547"/>
      <c r="C42" s="3396" t="s">
        <v>1369</v>
      </c>
      <c r="D42" s="3397"/>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98" t="s">
        <v>1372</v>
      </c>
      <c r="D49" s="3399"/>
      <c r="E49" s="778"/>
      <c r="F49" s="763" t="s">
        <v>1373</v>
      </c>
      <c r="G49" s="760"/>
    </row>
    <row r="50" spans="1:66">
      <c r="A50" s="762" t="s">
        <v>1374</v>
      </c>
      <c r="B50" s="777"/>
      <c r="C50" s="3400" t="s">
        <v>1375</v>
      </c>
      <c r="D50" s="3401"/>
      <c r="E50" s="2549"/>
      <c r="F50" s="795"/>
      <c r="G50" s="796"/>
    </row>
    <row r="51" spans="1:66" ht="13.5" thickBot="1">
      <c r="A51" s="762" t="s">
        <v>1376</v>
      </c>
      <c r="B51" s="777"/>
      <c r="C51" s="3408" t="s">
        <v>1377</v>
      </c>
      <c r="D51" s="3411"/>
      <c r="E51" s="760"/>
      <c r="F51" s="769"/>
      <c r="G51" s="788"/>
    </row>
    <row r="52" spans="1:66">
      <c r="A52" s="762" t="s">
        <v>1355</v>
      </c>
      <c r="B52" s="756"/>
      <c r="C52" s="769"/>
      <c r="D52" s="769"/>
      <c r="E52" s="769"/>
      <c r="F52" s="769"/>
      <c r="G52" s="788"/>
    </row>
    <row r="53" spans="1:66" ht="24.75" thickBot="1">
      <c r="A53" s="763" t="s">
        <v>1378</v>
      </c>
      <c r="B53" s="2545">
        <v>55081</v>
      </c>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8" t="s">
        <v>0</v>
      </c>
      <c r="B1" s="3428" t="s">
        <v>2</v>
      </c>
      <c r="C1" s="3428" t="s">
        <v>3</v>
      </c>
      <c r="D1" s="3429" t="s">
        <v>67</v>
      </c>
      <c r="E1" s="3429" t="s">
        <v>68</v>
      </c>
      <c r="F1" s="3429"/>
      <c r="G1" s="3429"/>
      <c r="H1" s="3429"/>
      <c r="I1" s="3429"/>
      <c r="J1" s="3429"/>
      <c r="K1" s="3429"/>
      <c r="L1" s="3429"/>
      <c r="M1" s="3429"/>
    </row>
    <row r="2" spans="1:13" ht="27" customHeight="1">
      <c r="A2" s="3428"/>
      <c r="B2" s="3428"/>
      <c r="C2" s="3428"/>
      <c r="D2" s="3429"/>
      <c r="E2" s="3429" t="s">
        <v>51</v>
      </c>
      <c r="F2" s="3429" t="s">
        <v>52</v>
      </c>
      <c r="G2" s="3429"/>
      <c r="H2" s="3429"/>
      <c r="I2" s="3429"/>
      <c r="J2" s="3429" t="s">
        <v>53</v>
      </c>
      <c r="K2" s="3429"/>
      <c r="L2" s="3429"/>
      <c r="M2" s="3429"/>
    </row>
    <row r="3" spans="1:13" ht="28.5">
      <c r="A3" s="3428"/>
      <c r="B3" s="3428"/>
      <c r="C3" s="3428"/>
      <c r="D3" s="3429"/>
      <c r="E3" s="34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9" t="s">
        <v>69</v>
      </c>
      <c r="B9" s="3429"/>
      <c r="C9" s="34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44806</v>
      </c>
      <c r="C2" s="1612"/>
      <c r="D2" s="3430"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3049</v>
      </c>
      <c r="C3" s="1612"/>
      <c r="D3" s="3431"/>
      <c r="E3" s="2556" t="s">
        <v>3044</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3050</v>
      </c>
      <c r="C4" s="1612"/>
      <c r="D4" s="3431"/>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84.33</v>
      </c>
      <c r="C5" s="1612"/>
      <c r="D5" s="2842" t="s">
        <v>1385</v>
      </c>
      <c r="E5" s="2559"/>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3039</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40</v>
      </c>
      <c r="C11" s="1612"/>
      <c r="D11" s="2846" t="s">
        <v>1392</v>
      </c>
      <c r="E11" s="2566"/>
      <c r="F11" s="1240"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f>项目基本情况!B53</f>
        <v>55081</v>
      </c>
      <c r="C12" s="1612"/>
      <c r="D12" s="2847" t="s">
        <v>1395</v>
      </c>
      <c r="E12" s="2569"/>
      <c r="F12" s="1239"/>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28.15</v>
      </c>
      <c r="C13" s="2884"/>
      <c r="D13" s="2850" t="s">
        <v>1397</v>
      </c>
      <c r="E13" s="2570"/>
      <c r="F13" s="1238"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0.87</v>
      </c>
      <c r="C14" s="1612"/>
      <c r="D14" s="2852" t="s">
        <v>1400</v>
      </c>
      <c r="E14" s="2571">
        <v>200</v>
      </c>
      <c r="F14" s="1239"/>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9"/>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0.06</v>
      </c>
      <c r="C16" s="2480" t="s">
        <v>2597</v>
      </c>
      <c r="D16" s="2854" t="s">
        <v>1404</v>
      </c>
      <c r="E16" s="2573"/>
      <c r="F16" s="1238"/>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c r="C18" s="1612"/>
      <c r="D18" s="2856" t="str">
        <f>IF(B26=0,"建安总额","在建建安")</f>
        <v>建安总额</v>
      </c>
      <c r="E18" s="2857">
        <f>ROUND(B5*E17*IF(B26=0,1,E20),0)</f>
        <v>379485</v>
      </c>
      <c r="F18" s="2575">
        <f>ROUND(E5*E17*IF(B26=0,1,E20),0)</f>
        <v>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9"/>
      <c r="B19" s="1239"/>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9"/>
      <c r="C20" s="1612"/>
      <c r="D20" s="2860" t="str">
        <f>IF(B26=0,"成新率","工程进度")</f>
        <v>成新率</v>
      </c>
      <c r="E20" s="2577">
        <f>H20</f>
        <v>0.87</v>
      </c>
      <c r="F20" s="905"/>
      <c r="G20" s="1612"/>
      <c r="H20" s="3328">
        <f>ROUND(1-(2022-B27)/60,2)</f>
        <v>0.87</v>
      </c>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2604</v>
      </c>
      <c r="G21" s="1612"/>
      <c r="H21" s="3329">
        <v>0.8</v>
      </c>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f>E14</f>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2603</v>
      </c>
      <c r="I25" s="2885"/>
    </row>
    <row r="26" spans="1:41" ht="15" thickBot="1">
      <c r="A26" s="2863" t="s">
        <v>1417</v>
      </c>
      <c r="B26" s="2867">
        <f>B22-B23</f>
        <v>0</v>
      </c>
      <c r="D26" s="2847" t="s">
        <v>1420</v>
      </c>
      <c r="E26" s="2582">
        <v>0.02</v>
      </c>
      <c r="F26" s="2590" t="s">
        <v>2603</v>
      </c>
      <c r="G26" s="2886"/>
      <c r="H26" s="2886"/>
      <c r="I26" s="1612"/>
      <c r="J26" s="1612"/>
      <c r="K26" s="1612"/>
      <c r="L26" s="1612"/>
      <c r="M26" s="1612"/>
      <c r="N26" s="1612"/>
    </row>
    <row r="27" spans="1:41" ht="15.75" thickBot="1">
      <c r="A27" s="2868" t="s">
        <v>1419</v>
      </c>
      <c r="B27" s="2584">
        <v>2014</v>
      </c>
      <c r="C27" s="1612"/>
      <c r="D27" s="3073" t="s">
        <v>3082</v>
      </c>
      <c r="E27" s="2869">
        <f ca="1">IF(D27="利息：取LPR",存贷款利率!G1,存贷款利率!G1+F27)</f>
        <v>4.1499999999999995E-2</v>
      </c>
      <c r="F27" s="3074">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3051</v>
      </c>
      <c r="D29" s="2852" t="s">
        <v>1423</v>
      </c>
      <c r="E29" s="2871">
        <f>E30+E31</f>
        <v>5.5000000000000007E-2</v>
      </c>
      <c r="F29" s="1238"/>
      <c r="G29" s="2886"/>
      <c r="H29" s="2886"/>
      <c r="K29" s="1612"/>
      <c r="N29" s="1612"/>
    </row>
    <row r="30" spans="1:41" ht="14.25">
      <c r="A30" s="2847" t="str">
        <f>IF(B29="租赁期内按合同租金","合同租金","市场租金")</f>
        <v>市场租金</v>
      </c>
      <c r="B30" s="2587">
        <v>6</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8"/>
      <c r="G31" s="2886"/>
      <c r="H31" s="2886"/>
      <c r="K31" s="1612"/>
      <c r="N31" s="1612"/>
    </row>
    <row r="32" spans="1:41" ht="14.25">
      <c r="A32" s="2847" t="s">
        <v>1426</v>
      </c>
      <c r="B32" s="2572">
        <v>2.5000000000000001E-2</v>
      </c>
      <c r="D32" s="2854" t="s">
        <v>1429</v>
      </c>
      <c r="E32" s="2589">
        <v>0.05</v>
      </c>
      <c r="F32" s="2590" t="s">
        <v>2490</v>
      </c>
      <c r="G32" s="2886"/>
      <c r="H32" s="2886"/>
      <c r="K32" s="1612"/>
      <c r="L32" s="1612"/>
      <c r="M32" s="1612"/>
      <c r="N32" s="1612"/>
    </row>
    <row r="33" spans="1:14" ht="14.25">
      <c r="A33" s="2847" t="s">
        <v>1428</v>
      </c>
      <c r="B33" s="2572">
        <v>0.1</v>
      </c>
      <c r="D33" s="2854" t="s">
        <v>1431</v>
      </c>
      <c r="E33" s="2588">
        <v>0.03</v>
      </c>
      <c r="F33" s="1237" t="s">
        <v>1432</v>
      </c>
      <c r="G33" s="2886"/>
      <c r="H33" s="2886"/>
      <c r="K33" s="1612"/>
      <c r="L33" s="1612"/>
      <c r="M33" s="1612"/>
      <c r="N33" s="1612"/>
    </row>
    <row r="34" spans="1:14" s="2592" customFormat="1" ht="14.25">
      <c r="A34" s="2847" t="s">
        <v>1430</v>
      </c>
      <c r="B34" s="2875">
        <f>收益法!J54</f>
        <v>28.15</v>
      </c>
      <c r="D34" s="2854" t="s">
        <v>1433</v>
      </c>
      <c r="E34" s="2588">
        <v>0.02</v>
      </c>
      <c r="F34" s="1237"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40" t="s">
        <v>1437</v>
      </c>
      <c r="G35" s="2886"/>
      <c r="H35" s="2886"/>
      <c r="I35" s="1612"/>
      <c r="J35" s="1612"/>
      <c r="K35" s="1612"/>
      <c r="L35" s="1612"/>
      <c r="M35" s="1612"/>
      <c r="N35" s="1612"/>
    </row>
    <row r="36" spans="1:14" s="2592" customFormat="1" ht="15">
      <c r="A36" s="2876" t="s">
        <v>1435</v>
      </c>
      <c r="B36" s="2877"/>
      <c r="D36" s="2878" t="s">
        <v>1438</v>
      </c>
      <c r="E36" s="2596">
        <v>0.03</v>
      </c>
      <c r="F36" s="1239"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9"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9"/>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9"/>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9"/>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9" t="s">
        <v>1447</v>
      </c>
      <c r="G41" s="1699" t="s">
        <v>1448</v>
      </c>
      <c r="H41" s="2886"/>
      <c r="I41" s="1612"/>
      <c r="J41" s="1612"/>
      <c r="K41" s="1612"/>
      <c r="L41" s="1612"/>
      <c r="M41" s="1612"/>
      <c r="N41" s="1612"/>
    </row>
    <row r="42" spans="1:14" ht="14.25">
      <c r="A42" s="2846" t="s">
        <v>1445</v>
      </c>
      <c r="B42" s="2597"/>
      <c r="D42" s="2600" t="s">
        <v>1450</v>
      </c>
      <c r="E42" s="2587"/>
      <c r="F42" s="1239">
        <v>30</v>
      </c>
      <c r="G42" s="2886"/>
      <c r="H42" s="2886"/>
      <c r="I42" s="1612"/>
      <c r="J42" s="1612"/>
      <c r="K42" s="1612"/>
      <c r="L42" s="1612"/>
      <c r="M42" s="1612"/>
      <c r="N42" s="1612"/>
    </row>
    <row r="43" spans="1:14" ht="14.25">
      <c r="A43" s="2847" t="s">
        <v>1449</v>
      </c>
      <c r="B43" s="2599">
        <v>365</v>
      </c>
      <c r="D43" s="2600" t="s">
        <v>1452</v>
      </c>
      <c r="E43" s="2587"/>
      <c r="F43" s="1239">
        <v>24</v>
      </c>
      <c r="G43" s="2886"/>
      <c r="H43" s="2886"/>
      <c r="I43" s="1612"/>
      <c r="J43" s="1612"/>
      <c r="K43" s="1612"/>
      <c r="L43" s="1612"/>
      <c r="M43" s="1612"/>
      <c r="N43" s="1612"/>
    </row>
    <row r="44" spans="1:14" ht="14.25">
      <c r="A44" s="2847" t="s">
        <v>1451</v>
      </c>
      <c r="B44" s="2587"/>
      <c r="D44" s="2600" t="s">
        <v>1454</v>
      </c>
      <c r="E44" s="2587"/>
      <c r="F44" s="1239">
        <v>18</v>
      </c>
      <c r="G44" s="2592"/>
      <c r="H44" s="2592"/>
      <c r="I44" s="2886"/>
      <c r="J44" s="1612"/>
      <c r="K44" s="1612"/>
      <c r="L44" s="1612"/>
      <c r="M44" s="1612"/>
      <c r="N44" s="1612"/>
    </row>
    <row r="45" spans="1:14" ht="14.25">
      <c r="A45" s="2847" t="s">
        <v>1453</v>
      </c>
      <c r="B45" s="2601">
        <v>1.4999999999999999E-2</v>
      </c>
      <c r="C45" s="2480" t="s">
        <v>2601</v>
      </c>
      <c r="D45" s="2600" t="s">
        <v>1456</v>
      </c>
      <c r="E45" s="2587"/>
      <c r="F45" s="1239">
        <v>12</v>
      </c>
      <c r="G45" s="2592"/>
      <c r="H45" s="2592"/>
      <c r="M45" s="1612"/>
      <c r="N45" s="1612"/>
    </row>
    <row r="46" spans="1:14" ht="14.25">
      <c r="A46" s="2847" t="s">
        <v>1455</v>
      </c>
      <c r="B46" s="2602">
        <v>1.5E-3</v>
      </c>
      <c r="C46" s="2480" t="s">
        <v>2599</v>
      </c>
      <c r="D46" s="2600" t="s">
        <v>1218</v>
      </c>
      <c r="E46" s="2587"/>
      <c r="F46" s="1239">
        <v>3</v>
      </c>
      <c r="G46" s="2592"/>
      <c r="H46" s="2592"/>
      <c r="M46" s="1612"/>
      <c r="N46" s="1612"/>
    </row>
    <row r="47" spans="1:14" ht="15" thickBot="1">
      <c r="A47" s="2850" t="s">
        <v>1457</v>
      </c>
      <c r="B47" s="2603">
        <v>0.01</v>
      </c>
      <c r="C47" s="2480" t="s">
        <v>2600</v>
      </c>
      <c r="D47" s="2600" t="s">
        <v>1458</v>
      </c>
      <c r="E47" s="2587"/>
      <c r="F47" s="1239">
        <v>1.5</v>
      </c>
      <c r="G47" s="2592"/>
      <c r="H47" s="2592"/>
      <c r="M47" s="1612"/>
      <c r="N47" s="1612"/>
    </row>
    <row r="48" spans="1:14" ht="14.25">
      <c r="A48" s="2592"/>
      <c r="B48" s="2592"/>
      <c r="D48" s="2600" t="s">
        <v>1459</v>
      </c>
      <c r="E48" s="2587"/>
      <c r="F48" s="1239"/>
      <c r="G48" s="2592"/>
      <c r="H48" s="2592"/>
      <c r="M48" s="1612"/>
      <c r="N48" s="1612"/>
    </row>
    <row r="49" spans="1:41" ht="14.25">
      <c r="A49" s="2592"/>
      <c r="B49" s="2592"/>
      <c r="D49" s="2600" t="s">
        <v>1460</v>
      </c>
      <c r="E49" s="2587"/>
      <c r="F49" s="1239"/>
      <c r="G49" s="2592"/>
      <c r="H49" s="2592"/>
      <c r="M49" s="1612"/>
      <c r="N49" s="1612"/>
    </row>
    <row r="50" spans="1:41" ht="14.25">
      <c r="A50" s="2592"/>
      <c r="B50" s="2592"/>
      <c r="D50" s="2600" t="s">
        <v>1461</v>
      </c>
      <c r="E50" s="2587"/>
      <c r="F50" s="1239"/>
      <c r="G50" s="2592"/>
      <c r="H50" s="2592"/>
      <c r="M50" s="1612"/>
      <c r="N50" s="1612"/>
    </row>
    <row r="51" spans="1:41" s="905" customFormat="1" ht="15" thickBot="1">
      <c r="A51" s="2592"/>
      <c r="B51" s="2592"/>
      <c r="C51" s="2592"/>
      <c r="D51" s="2604" t="s">
        <v>1462</v>
      </c>
      <c r="E51" s="2605"/>
      <c r="F51" s="1239"/>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32" t="s">
        <v>1463</v>
      </c>
      <c r="B1" s="3433"/>
      <c r="C1" s="3433"/>
      <c r="D1" s="3433"/>
      <c r="E1" s="3433"/>
      <c r="F1" s="3433"/>
      <c r="G1" s="343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Q33" sqref="Q33"/>
    </sheetView>
  </sheetViews>
  <sheetFormatPr defaultColWidth="14.625" defaultRowHeight="13.5"/>
  <cols>
    <col min="1" max="1" width="24.375" style="2500" customWidth="1"/>
    <col min="2" max="16384" width="14.625" style="2500"/>
  </cols>
  <sheetData>
    <row r="1" spans="1:9" ht="16.5">
      <c r="A1" s="2498" t="s">
        <v>973</v>
      </c>
      <c r="B1" s="2498">
        <f>SUM(B14:B23)</f>
        <v>84.33</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44806</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257.16430000000003</v>
      </c>
      <c r="C5" s="2498">
        <f ca="1">ROUND(B5*10000/$B$1,0)</f>
        <v>30495</v>
      </c>
      <c r="D5" s="2498" t="e">
        <f ca="1">ROUND(B5*10000/$B$2,0)</f>
        <v>#DIV/0!</v>
      </c>
      <c r="E5" s="1561"/>
      <c r="F5" s="2499"/>
      <c r="G5" s="2499"/>
    </row>
    <row r="6" spans="1:9" ht="16.5">
      <c r="A6" s="2498" t="s">
        <v>981</v>
      </c>
      <c r="B6" s="2498">
        <f ca="1">SUM(G14:G23)</f>
        <v>257.16430000000003</v>
      </c>
      <c r="C6" s="2498">
        <f t="shared" ref="C6:C8" ca="1" si="0">ROUND(B6*10000/$B$1,0)</f>
        <v>30495</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3029</v>
      </c>
      <c r="B14" s="2834">
        <f>项目基本情况!C12</f>
        <v>84.33</v>
      </c>
      <c r="C14" s="2834">
        <f>项目基本情况!C13</f>
        <v>0</v>
      </c>
      <c r="D14" s="2834">
        <f ca="1">IF('数据-取费表'!B3="万元",IF(A14="估价对象1（结果表）",结果表!H121,'结果表 (1修多)'!H125),IF(A14="估价对象1（结果表）",结果表!H121,'结果表 (1修多)'!H125)/10000)</f>
        <v>257.16430000000003</v>
      </c>
      <c r="E14" s="2834">
        <f ca="1">ROUND(D14*10000/B14,0)</f>
        <v>30495</v>
      </c>
      <c r="F14" s="2834" t="e">
        <f ca="1">ROUND(D14*10000/C14,0)</f>
        <v>#DIV/0!</v>
      </c>
      <c r="G14" s="2834">
        <f ca="1">IF('数据-取费表'!B3="万元",IF(A14="估价对象1（结果表）",结果表!D125,'结果表 (1修多)'!D129),IF(A14="估价对象1（结果表）",结果表!D125,'结果表 (1修多)'!D129)/10000)</f>
        <v>257.16430000000003</v>
      </c>
      <c r="H14" s="2834"/>
      <c r="I14" s="2834"/>
    </row>
    <row r="15" spans="1:9" ht="16.5">
      <c r="A15" s="2505" t="s">
        <v>990</v>
      </c>
      <c r="B15" s="2506"/>
      <c r="C15" s="2506"/>
      <c r="D15" s="2506"/>
      <c r="E15" s="2834" t="e">
        <f t="shared" ref="E15:E23" si="2">ROUND(D15*10000/B15,0)</f>
        <v>#DIV/0!</v>
      </c>
      <c r="F15" s="2834" t="e">
        <f t="shared" ref="F15:F23" si="3">ROUND(D15*10000/C15,0)</f>
        <v>#DIV/0!</v>
      </c>
      <c r="G15" s="1233"/>
      <c r="H15" s="1233"/>
      <c r="I15" s="2506"/>
    </row>
    <row r="16" spans="1:9" ht="16.5">
      <c r="A16" s="2505" t="s">
        <v>991</v>
      </c>
      <c r="B16" s="2506"/>
      <c r="C16" s="2506"/>
      <c r="D16" s="2506"/>
      <c r="E16" s="2834" t="e">
        <f t="shared" si="2"/>
        <v>#DIV/0!</v>
      </c>
      <c r="F16" s="2834" t="e">
        <f t="shared" si="3"/>
        <v>#DIV/0!</v>
      </c>
      <c r="G16" s="1233"/>
      <c r="H16" s="1233"/>
      <c r="I16" s="2506"/>
    </row>
    <row r="17" spans="1:9" ht="16.5">
      <c r="A17" s="2505" t="s">
        <v>992</v>
      </c>
      <c r="B17" s="2506"/>
      <c r="C17" s="2506"/>
      <c r="D17" s="2506"/>
      <c r="E17" s="2834" t="e">
        <f t="shared" si="2"/>
        <v>#DIV/0!</v>
      </c>
      <c r="F17" s="2834" t="e">
        <f t="shared" si="3"/>
        <v>#DIV/0!</v>
      </c>
      <c r="G17" s="1233"/>
      <c r="H17" s="1233"/>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H26" sqref="H2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89"/>
  </cols>
  <sheetData>
    <row r="1" spans="1:15" ht="21.75" customHeight="1">
      <c r="A1" s="1387" t="s">
        <v>1470</v>
      </c>
      <c r="B1" s="1388"/>
      <c r="C1" s="1388"/>
      <c r="D1" s="1388"/>
      <c r="E1" s="1388"/>
      <c r="F1" s="1388"/>
      <c r="G1" s="1388"/>
      <c r="H1" s="1388"/>
      <c r="I1" s="1388"/>
    </row>
    <row r="2" spans="1:15" ht="21.75" customHeight="1">
      <c r="A2" s="3489" t="str">
        <f>项目基本情况!B1</f>
        <v>北京市房地产抵押价值预评估</v>
      </c>
      <c r="B2" s="3489"/>
      <c r="C2" s="3489"/>
      <c r="D2" s="3489"/>
      <c r="E2" s="3489"/>
      <c r="F2" s="3489"/>
      <c r="G2" s="3489"/>
      <c r="H2" s="3489"/>
      <c r="I2" s="3489"/>
      <c r="J2" s="2761"/>
    </row>
    <row r="3" spans="1:15" ht="12.75">
      <c r="A3" s="3492" t="s">
        <v>1471</v>
      </c>
      <c r="B3" s="3493"/>
      <c r="C3" s="3493"/>
      <c r="D3" s="3493"/>
      <c r="E3" s="3493"/>
      <c r="F3" s="3493"/>
      <c r="G3" s="3493"/>
      <c r="H3" s="3493"/>
      <c r="I3" s="3493"/>
      <c r="J3" s="2762"/>
    </row>
    <row r="4" spans="1:15" ht="14.25">
      <c r="A4" s="2630" t="s">
        <v>1472</v>
      </c>
      <c r="B4" s="2630" t="s">
        <v>1473</v>
      </c>
      <c r="C4" s="2631" t="s">
        <v>3080</v>
      </c>
      <c r="D4" s="2631" t="s">
        <v>3081</v>
      </c>
      <c r="E4" s="3438" t="s">
        <v>1474</v>
      </c>
      <c r="F4" s="3476"/>
      <c r="G4" s="3476"/>
      <c r="H4" s="3476"/>
      <c r="I4" s="3477"/>
      <c r="J4" s="2763"/>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69" t="s">
        <v>1475</v>
      </c>
      <c r="B5" s="3469">
        <v>25</v>
      </c>
      <c r="C5" s="3478"/>
      <c r="D5" s="3491"/>
      <c r="E5" s="12" t="s">
        <v>1476</v>
      </c>
      <c r="F5" s="2016"/>
      <c r="G5" s="2016"/>
      <c r="H5" s="2016"/>
      <c r="I5" s="2011"/>
      <c r="J5" s="2763"/>
    </row>
    <row r="6" spans="1:15" ht="12.75">
      <c r="A6" s="3469"/>
      <c r="B6" s="3469"/>
      <c r="C6" s="3494"/>
      <c r="D6" s="3491"/>
      <c r="E6" s="12" t="s">
        <v>1477</v>
      </c>
      <c r="F6" s="2016"/>
      <c r="G6" s="2016"/>
      <c r="H6" s="2016"/>
      <c r="I6" s="2011"/>
      <c r="J6" s="2763"/>
    </row>
    <row r="7" spans="1:15" ht="12.75">
      <c r="A7" s="3469"/>
      <c r="B7" s="3469"/>
      <c r="C7" s="3479"/>
      <c r="D7" s="3491"/>
      <c r="E7" s="12" t="s">
        <v>1478</v>
      </c>
      <c r="F7" s="2016"/>
      <c r="G7" s="2016"/>
      <c r="H7" s="2016"/>
      <c r="I7" s="2011"/>
      <c r="J7" s="2763"/>
    </row>
    <row r="8" spans="1:15" ht="12.75">
      <c r="A8" s="3469" t="s">
        <v>1479</v>
      </c>
      <c r="B8" s="3469">
        <v>15</v>
      </c>
      <c r="C8" s="3478"/>
      <c r="D8" s="3491"/>
      <c r="E8" s="12" t="s">
        <v>1480</v>
      </c>
      <c r="F8" s="2016"/>
      <c r="G8" s="2016"/>
      <c r="H8" s="2016"/>
      <c r="I8" s="2011"/>
      <c r="J8" s="2763"/>
    </row>
    <row r="9" spans="1:15" ht="12.75">
      <c r="A9" s="3469"/>
      <c r="B9" s="3469"/>
      <c r="C9" s="3479"/>
      <c r="D9" s="3491"/>
      <c r="E9" s="12" t="s">
        <v>1481</v>
      </c>
      <c r="F9" s="2016"/>
      <c r="G9" s="2016"/>
      <c r="H9" s="2016"/>
      <c r="I9" s="2011"/>
      <c r="J9" s="2763"/>
    </row>
    <row r="10" spans="1:15" ht="12.75">
      <c r="A10" s="3469" t="s">
        <v>1482</v>
      </c>
      <c r="B10" s="3469">
        <v>15</v>
      </c>
      <c r="C10" s="3478"/>
      <c r="D10" s="3491"/>
      <c r="E10" s="12" t="s">
        <v>1483</v>
      </c>
      <c r="F10" s="2016"/>
      <c r="G10" s="2016"/>
      <c r="H10" s="2016"/>
      <c r="I10" s="2011"/>
      <c r="J10" s="2763"/>
    </row>
    <row r="11" spans="1:15" ht="12.75">
      <c r="A11" s="3469"/>
      <c r="B11" s="3469"/>
      <c r="C11" s="3479"/>
      <c r="D11" s="3491"/>
      <c r="E11" s="12" t="s">
        <v>1484</v>
      </c>
      <c r="F11" s="2016"/>
      <c r="G11" s="2016"/>
      <c r="H11" s="2016"/>
      <c r="I11" s="2011"/>
      <c r="J11" s="2763"/>
    </row>
    <row r="12" spans="1:15" ht="12.75">
      <c r="A12" s="3469" t="s">
        <v>1485</v>
      </c>
      <c r="B12" s="3469">
        <v>15</v>
      </c>
      <c r="C12" s="3478"/>
      <c r="D12" s="3491"/>
      <c r="E12" s="12" t="s">
        <v>1486</v>
      </c>
      <c r="F12" s="2016"/>
      <c r="G12" s="2016"/>
      <c r="H12" s="2016"/>
      <c r="I12" s="2011"/>
      <c r="J12" s="2763"/>
    </row>
    <row r="13" spans="1:15" ht="12.75">
      <c r="A13" s="3469"/>
      <c r="B13" s="3469"/>
      <c r="C13" s="3479"/>
      <c r="D13" s="3491"/>
      <c r="E13" s="12" t="s">
        <v>1487</v>
      </c>
      <c r="F13" s="2016"/>
      <c r="G13" s="2016"/>
      <c r="H13" s="2016"/>
      <c r="I13" s="2011"/>
      <c r="J13" s="2763"/>
    </row>
    <row r="14" spans="1:15" ht="12.75">
      <c r="A14" s="3469" t="s">
        <v>1488</v>
      </c>
      <c r="B14" s="3469">
        <v>30</v>
      </c>
      <c r="C14" s="3478">
        <v>5</v>
      </c>
      <c r="D14" s="3491">
        <v>5</v>
      </c>
      <c r="E14" s="12" t="s">
        <v>1489</v>
      </c>
      <c r="F14" s="2016"/>
      <c r="G14" s="2016"/>
      <c r="H14" s="2016"/>
      <c r="I14" s="2011"/>
      <c r="J14" s="2763"/>
    </row>
    <row r="15" spans="1:15" ht="12.75">
      <c r="A15" s="3469"/>
      <c r="B15" s="3469"/>
      <c r="C15" s="3494"/>
      <c r="D15" s="3491"/>
      <c r="E15" s="12" t="s">
        <v>1490</v>
      </c>
      <c r="F15" s="2016"/>
      <c r="G15" s="2016"/>
      <c r="H15" s="2016"/>
      <c r="I15" s="2011"/>
      <c r="J15" s="2763"/>
    </row>
    <row r="16" spans="1:15" ht="12.75">
      <c r="A16" s="3469"/>
      <c r="B16" s="3469"/>
      <c r="C16" s="3479"/>
      <c r="D16" s="3491"/>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87" t="s">
        <v>2575</v>
      </c>
      <c r="F18" s="3488"/>
      <c r="G18" s="3488"/>
      <c r="H18" s="3488"/>
      <c r="I18" s="3488"/>
      <c r="J18" s="2764"/>
    </row>
    <row r="19" spans="1:36" ht="15">
      <c r="A19" s="2637" t="s">
        <v>1494</v>
      </c>
      <c r="B19" s="2638" t="s">
        <v>1495</v>
      </c>
      <c r="C19" s="2639">
        <f ca="1">SUMIF(INDIRECT("'"&amp;C4&amp;"'"&amp;"!A:A"),结果表!B19,INDIRECT("'"&amp;C4&amp;"'"&amp;"!B:B"))</f>
        <v>2620302</v>
      </c>
      <c r="D19" s="2640">
        <f ca="1">SUMIF(INDIRECT("'"&amp;D4&amp;"'"&amp;"!A:A"),结果表!B19,INDIRECT("'"&amp;D4&amp;"'"&amp;"!B:B"))</f>
        <v>2522882</v>
      </c>
      <c r="E19" s="2637" t="s">
        <v>1496</v>
      </c>
      <c r="F19" s="2638" t="s">
        <v>1495</v>
      </c>
      <c r="G19" s="2641">
        <f ca="1">ROUND(C19*$C$18+D19*$D$18,0)</f>
        <v>2571592</v>
      </c>
      <c r="H19" s="2642" t="str">
        <f>'数据-取费表'!B3</f>
        <v>元</v>
      </c>
      <c r="I19" s="2690"/>
      <c r="J19" s="2765"/>
    </row>
    <row r="20" spans="1:36" ht="15">
      <c r="A20" s="2643"/>
      <c r="B20" s="1621" t="s">
        <v>1497</v>
      </c>
      <c r="C20" s="1846">
        <f ca="1">SUMIF(INDIRECT("'"&amp;C4&amp;"'"&amp;"!A:A"),结果表!B20,INDIRECT("'"&amp;C4&amp;"'"&amp;"!B:B"))</f>
        <v>31072</v>
      </c>
      <c r="D20" s="1849">
        <f ca="1">SUMIF(INDIRECT("'"&amp;D4&amp;"'"&amp;"!A:A"),结果表!B20,INDIRECT("'"&amp;D4&amp;"'"&amp;"!B:B"))</f>
        <v>29917</v>
      </c>
      <c r="E20" s="2643"/>
      <c r="F20" s="1621" t="s">
        <v>1497</v>
      </c>
      <c r="G20" s="2020">
        <f ca="1">ROUND(C20*$C$18+D20*$D$18,0)</f>
        <v>30495</v>
      </c>
      <c r="H20" s="2644" t="s">
        <v>1498</v>
      </c>
      <c r="I20" s="2480"/>
      <c r="J20" s="2764"/>
      <c r="L20" s="659">
        <f ca="1">G20*'数据-取费表'!B5/10000</f>
        <v>257.16433499999999</v>
      </c>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3.8614568576730957E-2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80" t="s">
        <v>1500</v>
      </c>
      <c r="B24" s="2638" t="s">
        <v>1495</v>
      </c>
      <c r="C24" s="2641">
        <f>D30</f>
        <v>0</v>
      </c>
      <c r="D24" s="2593"/>
      <c r="E24" s="905"/>
      <c r="F24" s="905"/>
      <c r="G24" s="905"/>
      <c r="H24" s="905"/>
      <c r="I24" s="905"/>
      <c r="J24" s="2764"/>
    </row>
    <row r="25" spans="1:36" ht="21.75" customHeight="1">
      <c r="A25" s="3497"/>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30495</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24518</v>
      </c>
      <c r="D34" s="2667">
        <f ca="1">IF(D33="自定义",ROUND(C34/C32,3),1-D35)</f>
        <v>0.80400000000000005</v>
      </c>
      <c r="E34" s="1363" t="s">
        <v>1510</v>
      </c>
      <c r="F34" s="2668">
        <v>2000</v>
      </c>
      <c r="G34" s="905"/>
      <c r="H34" s="905"/>
      <c r="I34" s="905"/>
      <c r="J34" s="2764"/>
    </row>
    <row r="35" spans="1:17" ht="15.75" thickBot="1">
      <c r="A35" s="1394"/>
      <c r="B35" s="2669" t="s">
        <v>1511</v>
      </c>
      <c r="C35" s="2670">
        <f ca="1">IF(D33="自定义",F35,ROUND(C32*D35,0))</f>
        <v>5977</v>
      </c>
      <c r="D35" s="2671">
        <f ca="1">IF(D33="自定义",ROUND(C35/C32,3),IF(D33="成本法成本比率",成本法!C56,IF(D33="收益法收益比率",收益法!J38,收益法!J41)))</f>
        <v>0.19600000000000001</v>
      </c>
      <c r="E35" s="2672" t="s">
        <v>1512</v>
      </c>
      <c r="F35" s="2673">
        <v>4460</v>
      </c>
      <c r="G35" s="905"/>
      <c r="H35" s="905"/>
      <c r="I35" s="905"/>
      <c r="J35" s="2764"/>
    </row>
    <row r="36" spans="1:17" ht="15.75" thickBot="1">
      <c r="A36" s="3480" t="s">
        <v>1513</v>
      </c>
      <c r="B36" s="1395" t="s">
        <v>1514</v>
      </c>
      <c r="C36" s="2674">
        <v>0</v>
      </c>
      <c r="D36" s="2675"/>
      <c r="E36" s="1607"/>
      <c r="F36" s="1607"/>
      <c r="G36" s="905"/>
      <c r="H36" s="905"/>
      <c r="I36" s="905"/>
      <c r="J36" s="2764"/>
    </row>
    <row r="37" spans="1:17" ht="15.75" thickBot="1">
      <c r="A37" s="3481"/>
      <c r="B37" s="2021" t="s">
        <v>1515</v>
      </c>
      <c r="C37" s="2676">
        <v>0</v>
      </c>
      <c r="D37" s="1239"/>
      <c r="E37" s="1239"/>
      <c r="F37" s="1607"/>
      <c r="G37" s="1239"/>
      <c r="H37" s="1239"/>
      <c r="I37" s="1239"/>
      <c r="J37" s="2768"/>
    </row>
    <row r="38" spans="1:17" ht="15.75" thickBot="1">
      <c r="A38" s="3482"/>
      <c r="B38" s="1396" t="s">
        <v>1516</v>
      </c>
      <c r="C38" s="2677">
        <v>0</v>
      </c>
      <c r="D38" s="2678" t="s">
        <v>1517</v>
      </c>
      <c r="E38" s="1239"/>
      <c r="F38" s="1607"/>
      <c r="G38" s="1239"/>
      <c r="H38" s="1239"/>
      <c r="I38" s="1239"/>
      <c r="J38" s="2768"/>
    </row>
    <row r="39" spans="1:17" ht="15">
      <c r="A39" s="2643" t="s">
        <v>1518</v>
      </c>
      <c r="B39" s="2679" t="s">
        <v>1502</v>
      </c>
      <c r="C39" s="2680" t="s">
        <v>1503</v>
      </c>
      <c r="D39" s="2680" t="s">
        <v>1519</v>
      </c>
      <c r="E39" s="2681" t="s">
        <v>1504</v>
      </c>
      <c r="F39" s="1607"/>
      <c r="G39" s="1239"/>
      <c r="H39" s="1239"/>
      <c r="I39" s="1239"/>
      <c r="J39" s="2768"/>
    </row>
    <row r="40" spans="1:17" ht="14.25">
      <c r="A40" s="2682" t="s">
        <v>1520</v>
      </c>
      <c r="B40" s="2683"/>
      <c r="C40" s="2684"/>
      <c r="D40" s="2684"/>
      <c r="E40" s="2685"/>
      <c r="F40" s="1607"/>
      <c r="G40" s="1239"/>
      <c r="H40" s="1239"/>
      <c r="I40" s="1239"/>
      <c r="J40" s="2768"/>
    </row>
    <row r="41" spans="1:17" ht="14.25">
      <c r="A41" s="2682" t="s">
        <v>1521</v>
      </c>
      <c r="B41" s="2683"/>
      <c r="C41" s="2684"/>
      <c r="D41" s="2684"/>
      <c r="E41" s="2685"/>
      <c r="F41" s="1607"/>
      <c r="G41" s="1239"/>
      <c r="H41" s="1239"/>
      <c r="I41" s="1239"/>
      <c r="J41" s="2768"/>
    </row>
    <row r="42" spans="1:17" ht="15" thickBot="1">
      <c r="A42" s="2686"/>
      <c r="B42" s="2687"/>
      <c r="C42" s="2688"/>
      <c r="D42" s="2688"/>
      <c r="E42" s="2673"/>
      <c r="F42" s="1607"/>
      <c r="G42" s="1239"/>
      <c r="H42" s="1239"/>
      <c r="I42" s="1239"/>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6"/>
    </row>
    <row r="45" spans="1:17" ht="14.25" customHeight="1" thickBot="1">
      <c r="A45" s="3484" t="s">
        <v>1524</v>
      </c>
      <c r="B45" s="3485"/>
      <c r="C45" s="3444"/>
      <c r="D45" s="246">
        <f ca="1">ROUND(I102*F45,0)</f>
        <v>2571643</v>
      </c>
      <c r="E45" s="1469" t="s">
        <v>1525</v>
      </c>
      <c r="F45" s="2478">
        <v>1</v>
      </c>
      <c r="G45" s="2479" t="s">
        <v>1526</v>
      </c>
      <c r="H45" s="905"/>
      <c r="I45" s="905"/>
      <c r="J45" s="2764"/>
      <c r="K45" s="3538" t="s">
        <v>2504</v>
      </c>
      <c r="L45" s="3538"/>
      <c r="M45" s="3538"/>
      <c r="N45" s="3538"/>
      <c r="O45" s="3538"/>
      <c r="P45" s="3538"/>
      <c r="Q45" s="1236"/>
    </row>
    <row r="46" spans="1:17" ht="14.25" customHeight="1">
      <c r="A46" s="3473" t="s">
        <v>1528</v>
      </c>
      <c r="B46" s="3474"/>
      <c r="C46" s="3474"/>
      <c r="D46" s="3474"/>
      <c r="E46" s="3474"/>
      <c r="F46" s="3474"/>
      <c r="G46" s="3475"/>
      <c r="H46" s="2896"/>
      <c r="I46" s="905"/>
      <c r="J46" s="2764"/>
      <c r="K46" s="2453">
        <v>1</v>
      </c>
      <c r="L46" s="3539" t="s">
        <v>2505</v>
      </c>
      <c r="M46" s="3539"/>
      <c r="N46" s="3540" t="str">
        <f>项目基本情况!B1</f>
        <v>北京市房地产抵押价值预评估</v>
      </c>
      <c r="O46" s="3540"/>
      <c r="P46" s="3540"/>
      <c r="Q46" s="1236"/>
    </row>
    <row r="47" spans="1:17" ht="12" customHeight="1">
      <c r="A47" s="38" t="s">
        <v>1530</v>
      </c>
      <c r="B47" s="39"/>
      <c r="C47" s="40"/>
      <c r="D47" s="1028" t="s">
        <v>1531</v>
      </c>
      <c r="E47" s="235" t="s">
        <v>1532</v>
      </c>
      <c r="F47" s="41" t="s">
        <v>1533</v>
      </c>
      <c r="G47" s="2481" t="s">
        <v>1534</v>
      </c>
      <c r="H47" s="2896"/>
      <c r="I47" s="905"/>
      <c r="J47" s="2764"/>
      <c r="K47" s="2453">
        <v>2</v>
      </c>
      <c r="L47" s="3539" t="s">
        <v>2506</v>
      </c>
      <c r="M47" s="3539"/>
      <c r="N47" s="3541">
        <f>'数据-取费表'!B2</f>
        <v>44806</v>
      </c>
      <c r="O47" s="3541"/>
      <c r="P47" s="3541"/>
      <c r="Q47" s="1236"/>
    </row>
    <row r="48" spans="1:17" ht="25.5">
      <c r="A48" s="3483" t="s">
        <v>1536</v>
      </c>
      <c r="B48" s="3437"/>
      <c r="C48" s="3437"/>
      <c r="D48" s="12">
        <f ca="1">IF(H48="情况1",0,IF(H48="情况2",D52,IF(H48="情况3",D53,IF(H48="情况4",D54))))</f>
        <v>134705</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39" t="s">
        <v>2507</v>
      </c>
      <c r="M48" s="3539"/>
      <c r="N48" s="3540">
        <f ca="1">I102</f>
        <v>2571643</v>
      </c>
      <c r="O48" s="3540"/>
      <c r="P48" s="3540"/>
      <c r="Q48" s="1236"/>
    </row>
    <row r="49" spans="1:17" ht="25.5" customHeight="1">
      <c r="A49" s="2018" t="s">
        <v>1540</v>
      </c>
      <c r="B49" s="3476" t="s">
        <v>1541</v>
      </c>
      <c r="C49" s="3476"/>
      <c r="D49" s="2485">
        <v>0</v>
      </c>
      <c r="E49" s="261" t="s">
        <v>1542</v>
      </c>
      <c r="F49" s="2486" t="s">
        <v>48</v>
      </c>
      <c r="G49" s="3533"/>
      <c r="H49" s="2487" t="s">
        <v>2581</v>
      </c>
      <c r="I49" s="2488"/>
      <c r="J49" s="2772"/>
      <c r="K49" s="2453">
        <v>4</v>
      </c>
      <c r="L49" s="3539" t="str">
        <f>IF(项目基本情况!F5="房地产抵押价值","房地产抵押价值","抵押担保权已注销时的房地产抵押价值")</f>
        <v>房地产抵押价值</v>
      </c>
      <c r="M49" s="3539"/>
      <c r="N49" s="3540">
        <f ca="1">IF(项目基本情况!F5="房地产抵押价值",I110,I112)</f>
        <v>2571643</v>
      </c>
      <c r="O49" s="3540"/>
      <c r="P49" s="3540"/>
      <c r="Q49" s="1236"/>
    </row>
    <row r="50" spans="1:17" ht="25.5" customHeight="1">
      <c r="A50" s="2008"/>
      <c r="B50" s="3476" t="s">
        <v>1543</v>
      </c>
      <c r="C50" s="3476"/>
      <c r="D50" s="2489"/>
      <c r="E50" s="269"/>
      <c r="F50" s="2486"/>
      <c r="G50" s="3534"/>
      <c r="H50" s="2490" t="s">
        <v>2500</v>
      </c>
      <c r="I50" s="2488"/>
      <c r="J50" s="2772"/>
      <c r="K50" s="3539" t="s">
        <v>2508</v>
      </c>
      <c r="L50" s="3539"/>
      <c r="M50" s="3539"/>
      <c r="N50" s="3539"/>
      <c r="O50" s="3539"/>
      <c r="P50" s="3539"/>
      <c r="Q50" s="1236"/>
    </row>
    <row r="51" spans="1:17" ht="20.45" customHeight="1">
      <c r="A51" s="2491"/>
      <c r="B51" s="3476" t="s">
        <v>1545</v>
      </c>
      <c r="C51" s="3476"/>
      <c r="D51" s="1028"/>
      <c r="E51" s="264"/>
      <c r="F51" s="2486"/>
      <c r="G51" s="3535"/>
      <c r="H51" s="2490" t="s">
        <v>2501</v>
      </c>
      <c r="I51" s="2488"/>
      <c r="J51" s="2772"/>
      <c r="K51" s="2454" t="s">
        <v>2509</v>
      </c>
      <c r="L51" s="3539" t="s">
        <v>2510</v>
      </c>
      <c r="M51" s="3539"/>
      <c r="N51" s="2454" t="s">
        <v>2511</v>
      </c>
      <c r="O51" s="2454" t="s">
        <v>2512</v>
      </c>
      <c r="P51" s="2454" t="s">
        <v>2513</v>
      </c>
      <c r="Q51" s="1236"/>
    </row>
    <row r="52" spans="1:17" ht="24" customHeight="1">
      <c r="A52" s="2009" t="s">
        <v>1551</v>
      </c>
      <c r="B52" s="3476" t="s">
        <v>1552</v>
      </c>
      <c r="C52" s="3476"/>
      <c r="D52" s="1028">
        <f ca="1">ROUND(D45*'数据-取费表'!E29/(1+'数据-取费表'!F30),0)</f>
        <v>134705</v>
      </c>
      <c r="E52" s="2019" t="s">
        <v>1553</v>
      </c>
      <c r="F52" s="2492">
        <f>'数据-取费表'!E29</f>
        <v>5.5000000000000007E-2</v>
      </c>
      <c r="G52" s="2493"/>
      <c r="H52" s="905"/>
      <c r="I52" s="2897"/>
      <c r="J52" s="2772"/>
      <c r="K52" s="2453">
        <v>1</v>
      </c>
      <c r="L52" s="3506" t="s">
        <v>2514</v>
      </c>
      <c r="M52" s="3506"/>
      <c r="N52" s="2455">
        <f ca="1">D48</f>
        <v>134705</v>
      </c>
      <c r="O52" s="2453" t="str">
        <f>E48</f>
        <v>销售额×税（费）率</v>
      </c>
      <c r="P52" s="2456">
        <f>F48</f>
        <v>5.5000000000000007E-2</v>
      </c>
      <c r="Q52" s="1236"/>
    </row>
    <row r="53" spans="1:17" ht="12" customHeight="1">
      <c r="A53" s="2009" t="s">
        <v>1555</v>
      </c>
      <c r="B53" s="3438" t="s">
        <v>2592</v>
      </c>
      <c r="C53" s="3477"/>
      <c r="D53" s="1028">
        <f ca="1">ROUND(D45*'数据-取费表'!E29/(1+'数据-取费表'!F30),0)</f>
        <v>134705</v>
      </c>
      <c r="E53" s="2019" t="s">
        <v>1553</v>
      </c>
      <c r="F53" s="2492">
        <f>'数据-取费表'!E29</f>
        <v>5.5000000000000007E-2</v>
      </c>
      <c r="G53" s="2493"/>
      <c r="H53" s="905"/>
      <c r="I53" s="2897"/>
      <c r="J53" s="2772"/>
      <c r="K53" s="2453">
        <v>2</v>
      </c>
      <c r="L53" s="3506" t="s">
        <v>2515</v>
      </c>
      <c r="M53" s="3506"/>
      <c r="N53" s="2455">
        <f t="shared" ref="N53:P54" si="1">D55</f>
        <v>0</v>
      </c>
      <c r="O53" s="2453" t="str">
        <f t="shared" si="1"/>
        <v>销售额×税（费）率</v>
      </c>
      <c r="P53" s="2456" t="str">
        <f t="shared" si="1"/>
        <v>免征</v>
      </c>
      <c r="Q53" s="1236"/>
    </row>
    <row r="54" spans="1:17" ht="12" customHeight="1">
      <c r="A54" s="2009" t="s">
        <v>1557</v>
      </c>
      <c r="B54" s="3438" t="s">
        <v>2593</v>
      </c>
      <c r="C54" s="3477"/>
      <c r="D54" s="1028">
        <f ca="1">C68</f>
        <v>134705</v>
      </c>
      <c r="E54" s="264" t="s">
        <v>1558</v>
      </c>
      <c r="F54" s="2492">
        <f>'数据-取费表'!E29</f>
        <v>5.5000000000000007E-2</v>
      </c>
      <c r="G54" s="2493"/>
      <c r="H54" s="2898"/>
      <c r="I54" s="2897"/>
      <c r="J54" s="2772"/>
      <c r="K54" s="2453">
        <v>3</v>
      </c>
      <c r="L54" s="3506" t="s">
        <v>2516</v>
      </c>
      <c r="M54" s="3506"/>
      <c r="N54" s="2455">
        <f t="shared" si="1"/>
        <v>0</v>
      </c>
      <c r="O54" s="2453" t="str">
        <f t="shared" si="1"/>
        <v>增值额×税（费）率</v>
      </c>
      <c r="P54" s="2457" t="str">
        <f t="shared" si="1"/>
        <v>免征</v>
      </c>
      <c r="Q54" s="1236"/>
    </row>
    <row r="55" spans="1:17" ht="24" customHeight="1">
      <c r="A55" s="3436" t="s">
        <v>1560</v>
      </c>
      <c r="B55" s="3437"/>
      <c r="C55" s="3437"/>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506" t="str">
        <f>IF(H59="非个人房产","——","个人所得税")</f>
        <v>——</v>
      </c>
      <c r="M55" s="3506"/>
      <c r="N55" s="2458" t="str">
        <f>D59</f>
        <v>——</v>
      </c>
      <c r="O55" s="2459" t="str">
        <f>E59</f>
        <v>——</v>
      </c>
      <c r="P55" s="2460" t="str">
        <f>F59</f>
        <v>——</v>
      </c>
      <c r="Q55" s="1236"/>
    </row>
    <row r="56" spans="1:17" ht="24.75">
      <c r="A56" s="3436" t="s">
        <v>1563</v>
      </c>
      <c r="B56" s="3437"/>
      <c r="C56" s="3437"/>
      <c r="D56" s="12">
        <f>IF(H56="个人住宅",D57,D58)</f>
        <v>0</v>
      </c>
      <c r="E56" s="2019" t="s">
        <v>1564</v>
      </c>
      <c r="F56" s="2492" t="str">
        <f>IF(H56="正常",F58,"免征")</f>
        <v>免征</v>
      </c>
      <c r="G56" s="2494" t="s">
        <v>1565</v>
      </c>
      <c r="H56" s="2495" t="s">
        <v>2497</v>
      </c>
      <c r="I56" s="2899"/>
      <c r="J56" s="2772"/>
      <c r="K56" s="2453" t="str">
        <f>IF(项目基本情况!I6="上海银行",IF(K55="",4,K55+1),"")</f>
        <v/>
      </c>
      <c r="L56" s="3520" t="str">
        <f>IF(项目基本情况!I6="上海银行","其他处置费用","")</f>
        <v/>
      </c>
      <c r="M56" s="3521"/>
      <c r="N56" s="2455" t="str">
        <f>IF(项目基本情况!I6="上海银行",N69,"")</f>
        <v/>
      </c>
      <c r="O56" s="3520" t="str">
        <f>IF(项目基本情况!I6="上海银行","包含处置中涉及的律师、诉讼、拍卖、评估等费用","")</f>
        <v/>
      </c>
      <c r="P56" s="3532"/>
      <c r="Q56" s="1236"/>
    </row>
    <row r="57" spans="1:17" ht="12.75">
      <c r="A57" s="2009" t="s">
        <v>1540</v>
      </c>
      <c r="B57" s="3438" t="s">
        <v>1566</v>
      </c>
      <c r="C57" s="3477"/>
      <c r="D57" s="2485">
        <v>0</v>
      </c>
      <c r="E57" s="261" t="s">
        <v>1542</v>
      </c>
      <c r="F57" s="235"/>
      <c r="G57" s="2493"/>
      <c r="H57" s="2899"/>
      <c r="I57" s="2899"/>
      <c r="J57" s="2772"/>
      <c r="K57" s="3506">
        <f>IF(AND(K55="",K56=""),4,IF(项目基本情况!I6="上海银行",K56+1,K55+1))</f>
        <v>4</v>
      </c>
      <c r="L57" s="3506" t="s">
        <v>2517</v>
      </c>
      <c r="M57" s="2461" t="s">
        <v>2518</v>
      </c>
      <c r="N57" s="2462"/>
      <c r="O57" s="2463">
        <f ca="1">SUMIF(N52:N56,"&lt;9e307")</f>
        <v>134705</v>
      </c>
      <c r="P57" s="2464"/>
      <c r="Q57" s="1234">
        <f ca="1">O57/N49</f>
        <v>5.2380909791911241E-2</v>
      </c>
    </row>
    <row r="58" spans="1:17" ht="24.75">
      <c r="A58" s="2009" t="s">
        <v>1551</v>
      </c>
      <c r="B58" s="3438" t="s">
        <v>1569</v>
      </c>
      <c r="C58" s="3476"/>
      <c r="D58" s="12">
        <f ca="1">IF(H58="转让取得",C81,C97)</f>
        <v>1457877</v>
      </c>
      <c r="E58" s="2019" t="s">
        <v>1564</v>
      </c>
      <c r="F58" s="235" t="s">
        <v>48</v>
      </c>
      <c r="G58" s="2493"/>
      <c r="H58" s="2495" t="s">
        <v>1570</v>
      </c>
      <c r="I58" s="2899"/>
      <c r="J58" s="2772"/>
      <c r="K58" s="3506"/>
      <c r="L58" s="3506"/>
      <c r="M58" s="2461" t="s">
        <v>2519</v>
      </c>
      <c r="N58" s="2465"/>
      <c r="O58" s="2466" t="str">
        <f ca="1">IF(H19="元",NUMBERSTRING(INT(O57),2)&amp;"元整",NUMBERSTRING(INT(O57*10000),2)&amp;"元整")</f>
        <v>壹拾叁万肆仟柒佰零伍元整</v>
      </c>
      <c r="P58" s="2467"/>
      <c r="Q58" s="1236"/>
    </row>
    <row r="59" spans="1:17" ht="24.75" thickBot="1">
      <c r="A59" s="3460" t="s">
        <v>1572</v>
      </c>
      <c r="B59" s="3461"/>
      <c r="C59" s="3461"/>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504">
        <f>K57+1</f>
        <v>5</v>
      </c>
      <c r="L59" s="3506" t="s">
        <v>2520</v>
      </c>
      <c r="M59" s="2453" t="s">
        <v>2518</v>
      </c>
      <c r="N59" s="2468"/>
      <c r="O59" s="2469">
        <f ca="1">N49-O57</f>
        <v>2436938</v>
      </c>
      <c r="P59" s="2470"/>
      <c r="Q59" s="1236"/>
    </row>
    <row r="60" spans="1:17" ht="12" customHeight="1">
      <c r="A60" s="1384"/>
      <c r="B60" s="1388"/>
      <c r="C60" s="1388"/>
      <c r="D60" s="1388"/>
      <c r="E60" s="770"/>
      <c r="F60" s="2900"/>
      <c r="G60" s="2900"/>
      <c r="H60" s="2901"/>
      <c r="I60" s="31"/>
      <c r="K60" s="3505"/>
      <c r="L60" s="3506"/>
      <c r="M60" s="2461" t="s">
        <v>2519</v>
      </c>
      <c r="N60" s="2465"/>
      <c r="O60" s="2466" t="str">
        <f ca="1">IF(H19="元",NUMBERSTRING(INT(O59),2)&amp;"元整",NUMBERSTRING(INT(O59*10000),2)&amp;"元整")</f>
        <v>贰佰肆拾叁万陆仟玖佰叁拾捌元整</v>
      </c>
      <c r="P60" s="2467"/>
      <c r="Q60" s="1236"/>
    </row>
    <row r="61" spans="1:17" ht="13.5" thickBot="1">
      <c r="A61" s="3486" t="s">
        <v>1574</v>
      </c>
      <c r="B61" s="3486"/>
      <c r="C61" s="3486"/>
      <c r="D61" s="3486"/>
      <c r="E61" s="3486"/>
      <c r="F61" s="2900"/>
      <c r="G61" s="2900"/>
      <c r="H61" s="2902"/>
      <c r="I61" s="31"/>
      <c r="K61" s="2453">
        <f>K59+1</f>
        <v>6</v>
      </c>
      <c r="L61" s="3506" t="s">
        <v>2521</v>
      </c>
      <c r="M61" s="3506"/>
      <c r="N61" s="2471"/>
      <c r="O61" s="2472">
        <f ca="1">IF(H19="元",ROUND(O59/项目基本情况!C12,0),ROUND(O59*10000/项目基本情况!C12,0))</f>
        <v>28898</v>
      </c>
      <c r="P61" s="2473"/>
      <c r="Q61" s="1236"/>
    </row>
    <row r="62" spans="1:17" ht="12.75">
      <c r="A62" s="3495" t="s">
        <v>1576</v>
      </c>
      <c r="B62" s="3496"/>
      <c r="C62" s="1534"/>
      <c r="D62" s="1534" t="s">
        <v>1577</v>
      </c>
      <c r="E62" s="45" t="s">
        <v>1578</v>
      </c>
      <c r="F62" s="2900"/>
      <c r="G62" s="2900"/>
      <c r="H62" s="2902"/>
      <c r="I62" s="31"/>
      <c r="K62" s="2474"/>
      <c r="L62" s="2474"/>
      <c r="M62" s="2474"/>
      <c r="N62" s="2474"/>
      <c r="O62" s="2474"/>
      <c r="P62" s="2474"/>
      <c r="Q62" s="1236"/>
    </row>
    <row r="63" spans="1:17" ht="12.75">
      <c r="A63" s="46">
        <v>1</v>
      </c>
      <c r="B63" s="47" t="s">
        <v>1579</v>
      </c>
      <c r="C63" s="2703">
        <f ca="1">ROUND((C64+C65)/(1+'数据-取费表'!F30),0)</f>
        <v>2449184</v>
      </c>
      <c r="D63" s="47"/>
      <c r="E63" s="48"/>
      <c r="F63" s="2900"/>
      <c r="G63" s="2900"/>
      <c r="H63" s="2902"/>
      <c r="I63" s="31"/>
      <c r="K63" s="3522" t="s">
        <v>2522</v>
      </c>
      <c r="L63" s="2475" t="s">
        <v>2523</v>
      </c>
      <c r="M63" s="2475">
        <f ca="1">IF(N49&gt;10000,N49*0.5%,IF(AND(N49&gt;1000,N49&lt;=10000),N49*1%,IF(AND(N49&gt;100,N49&lt;=1000),N49*3%,IF(AND(N49&gt;10,N49&lt;=100),N49*5%,N49*8%))))</f>
        <v>12858.215</v>
      </c>
      <c r="N63" s="2476">
        <f ca="1">ROUND(M63,1)</f>
        <v>12858.2</v>
      </c>
      <c r="O63" s="2474"/>
      <c r="P63" s="2474"/>
      <c r="Q63" s="1236"/>
    </row>
    <row r="64" spans="1:17" ht="12.75">
      <c r="A64" s="49" t="s">
        <v>71</v>
      </c>
      <c r="B64" s="50" t="s">
        <v>1582</v>
      </c>
      <c r="C64" s="2704">
        <f ca="1">D45</f>
        <v>2571643</v>
      </c>
      <c r="D64" s="50" t="s">
        <v>41</v>
      </c>
      <c r="E64" s="52"/>
      <c r="F64" s="2900"/>
      <c r="G64" s="2900"/>
      <c r="H64" s="2902"/>
      <c r="I64" s="31"/>
      <c r="K64" s="3522"/>
      <c r="L64" s="2475" t="s">
        <v>2524</v>
      </c>
      <c r="M64" s="2475">
        <f ca="1">IF(N49&gt;2000,N49*0.5%,IF(AND(N49&gt;1000,N49&lt;=2000),N49*0.6%,IF(AND(N49&gt;500,N49&lt;=1000),N49*0.7%,IF(AND(N49&gt;200,N49&lt;=500),N49*0.8%,IF(AND(N49&gt;100,N49&lt;=200),N49*0.9%,IF(AND(N49&gt;50,N49&lt;=100),N49*1%,IF(AND(N49&gt;20,N49&lt;=50),N49*1.5%,IF(AND(N49&gt;10,N49&lt;=20),N49*2%,IF(AND(N49&gt;1,N49&lt;=10),N49*2.5%)))))))))</f>
        <v>12858.215</v>
      </c>
      <c r="N64" s="2476">
        <f t="shared" ref="N64:N65" ca="1" si="2">ROUND(M64,1)</f>
        <v>12858.2</v>
      </c>
      <c r="O64" s="2474" t="s">
        <v>2525</v>
      </c>
      <c r="P64" s="2474"/>
      <c r="Q64" s="1236"/>
    </row>
    <row r="65" spans="1:36" ht="12.75">
      <c r="A65" s="49" t="s">
        <v>72</v>
      </c>
      <c r="B65" s="50" t="s">
        <v>1585</v>
      </c>
      <c r="C65" s="2705"/>
      <c r="D65" s="50"/>
      <c r="E65" s="52"/>
      <c r="F65" s="2900"/>
      <c r="G65" s="2900"/>
      <c r="H65" s="2902"/>
      <c r="I65" s="31"/>
      <c r="K65" s="3522"/>
      <c r="L65" s="2475" t="s">
        <v>2526</v>
      </c>
      <c r="M65" s="2475">
        <f ca="1">IF(N49&gt;1000,N49*0.1%,IF(AND(N49&gt;500,N49&lt;=1000),N49*0.5%,IF(AND(N49&gt;50,N49&lt;=500),N49*1%,IF(AND(N49&gt;1,N49&lt;=50),N49*1.5%))))</f>
        <v>2571.643</v>
      </c>
      <c r="N65" s="2476">
        <f t="shared" ca="1" si="2"/>
        <v>2571.6</v>
      </c>
      <c r="O65" s="2474" t="s">
        <v>2525</v>
      </c>
      <c r="P65" s="2474"/>
      <c r="Q65" s="1236"/>
    </row>
    <row r="66" spans="1:36" ht="12.75">
      <c r="A66" s="53" t="s">
        <v>47</v>
      </c>
      <c r="B66" s="54" t="s">
        <v>1587</v>
      </c>
      <c r="C66" s="2706"/>
      <c r="D66" s="54" t="s">
        <v>41</v>
      </c>
      <c r="E66" s="1244" t="s">
        <v>1588</v>
      </c>
      <c r="F66" s="2900"/>
      <c r="G66" s="2900"/>
      <c r="H66" s="2902"/>
      <c r="I66" s="31"/>
      <c r="K66" s="3522"/>
      <c r="L66" s="2475" t="s">
        <v>2527</v>
      </c>
      <c r="M66" s="2475">
        <f ca="1">N49*0.5%</f>
        <v>12858.215</v>
      </c>
      <c r="N66" s="2476">
        <f ca="1">IF(M66&gt;0.5,0.5,ROUND(M66,0))</f>
        <v>0.5</v>
      </c>
      <c r="O66" s="2474" t="s">
        <v>2528</v>
      </c>
      <c r="P66" s="2474"/>
      <c r="Q66" s="1236"/>
    </row>
    <row r="67" spans="1:36" ht="12.75">
      <c r="A67" s="53" t="s">
        <v>42</v>
      </c>
      <c r="B67" s="54" t="s">
        <v>1591</v>
      </c>
      <c r="C67" s="2707">
        <f ca="1">C63-C66</f>
        <v>2449184</v>
      </c>
      <c r="D67" s="50" t="s">
        <v>41</v>
      </c>
      <c r="E67" s="52"/>
      <c r="F67" s="2900"/>
      <c r="G67" s="2900"/>
      <c r="H67" s="2902"/>
      <c r="I67" s="31"/>
      <c r="K67" s="3522"/>
      <c r="L67" s="2475" t="s">
        <v>2529</v>
      </c>
      <c r="M67" s="2475">
        <f ca="1">IF(N49&gt;=10000,(8.25+(N49-10000)*0.01%),IF(AND(N49&gt;=8000,N49&lt;10000),(7.85+(N49-8000)*0.02%),IF(AND(N49&gt;=5000,N49&lt;8000),(6.65+(N49-5000)*0.04%),IF(AND(N49&gt;=2000,N49&lt;5000),(4.25+(PN49-2000)*0.08%),IF(AND(N49&gt;=1000,N49&lt;2000),(2.75+(N49-1000)*0.15%),IF(AND(N49&gt;=100,N49&lt;1000),(0.5+(N49-100)*0.25%),IF(AND(N49&gt;0,N49&lt;100),N49*0.5%)))))))</f>
        <v>264.41430000000003</v>
      </c>
      <c r="N67" s="2476">
        <f ca="1">ROUND(M67*0.9,1)</f>
        <v>238</v>
      </c>
      <c r="O67" s="2474"/>
      <c r="P67" s="2474"/>
      <c r="Q67" s="1236"/>
    </row>
    <row r="68" spans="1:36" ht="13.5" thickBot="1">
      <c r="A68" s="55" t="s">
        <v>46</v>
      </c>
      <c r="B68" s="56" t="s">
        <v>1593</v>
      </c>
      <c r="C68" s="2708">
        <f ca="1">IF(C67&lt;=0,0,ROUND(C67*D68,0))</f>
        <v>134705</v>
      </c>
      <c r="D68" s="2169">
        <f>'数据-取费表'!E29</f>
        <v>5.5000000000000007E-2</v>
      </c>
      <c r="E68" s="57"/>
      <c r="F68" s="2900"/>
      <c r="G68" s="2900"/>
      <c r="H68" s="2902"/>
      <c r="I68" s="31"/>
      <c r="K68" s="3522"/>
      <c r="L68" s="2475" t="s">
        <v>2530</v>
      </c>
      <c r="M68" s="2475">
        <f ca="1">IF(N49&gt;10000,N49*0.5%,IF(AND(N49&gt;5000,N49&lt;=10000),N49*1%,IF(AND(N49&gt;1000,N49&lt;=5000),N49*2%,IF(AND(N49&gt;200,N49&lt;=1000),N49*3%,N49*5%))))</f>
        <v>12858.215</v>
      </c>
      <c r="N68" s="2476">
        <f ca="1">ROUND(M68,1)</f>
        <v>12858.2</v>
      </c>
      <c r="O68" s="2474"/>
      <c r="P68" s="2474"/>
      <c r="Q68" s="1236"/>
    </row>
    <row r="69" spans="1:36" s="1392" customFormat="1" ht="7.5" customHeight="1">
      <c r="A69" s="1404"/>
      <c r="B69" s="1405"/>
      <c r="C69" s="1406"/>
      <c r="D69" s="1407"/>
      <c r="E69" s="1408"/>
      <c r="F69" s="770"/>
      <c r="G69" s="770"/>
      <c r="H69" s="1397"/>
      <c r="I69" s="1388"/>
      <c r="J69" s="2760"/>
      <c r="K69" s="3522"/>
      <c r="L69" s="2475" t="s">
        <v>54</v>
      </c>
      <c r="M69" s="2475"/>
      <c r="N69" s="2476">
        <f ca="1">ROUND(SUM(N63:N68),0)</f>
        <v>41385</v>
      </c>
      <c r="O69" s="2477">
        <f ca="1">N69/N49</f>
        <v>1.6092824703895524E-2</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0" customFormat="1" ht="15" thickBot="1">
      <c r="A70" s="3498" t="s">
        <v>1596</v>
      </c>
      <c r="B70" s="3499"/>
      <c r="C70" s="3499"/>
      <c r="D70" s="3499"/>
      <c r="E70" s="3499"/>
      <c r="F70" s="3499"/>
      <c r="G70" s="3499"/>
      <c r="H70" s="3499"/>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95" t="s">
        <v>1576</v>
      </c>
      <c r="B71" s="3496"/>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2449184</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12246</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38" t="s">
        <v>1606</v>
      </c>
      <c r="F76" s="3476"/>
      <c r="G76" s="3476"/>
      <c r="H76" s="3490"/>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12246</v>
      </c>
      <c r="D78" s="2716">
        <f>'数据-取费表'!E31</f>
        <v>5.000000000000001E-3</v>
      </c>
      <c r="E78" s="3470" t="s">
        <v>1611</v>
      </c>
      <c r="F78" s="3471"/>
      <c r="G78" s="3471"/>
      <c r="H78" s="347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2436938</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198.99869345092276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1457877</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98" t="s">
        <v>1615</v>
      </c>
      <c r="B83" s="3499"/>
      <c r="C83" s="3499"/>
      <c r="D83" s="3499"/>
      <c r="E83" s="3499"/>
      <c r="F83" s="3499"/>
      <c r="G83" s="3499"/>
      <c r="H83" s="3499"/>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95" t="s">
        <v>1576</v>
      </c>
      <c r="B84" s="3496"/>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2449184</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12246</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31" t="s">
        <v>2492</v>
      </c>
      <c r="H90" s="3531"/>
      <c r="I90" s="9"/>
      <c r="J90" s="2775"/>
      <c r="K90" s="2891"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70" t="s">
        <v>1623</v>
      </c>
      <c r="F91" s="3471"/>
      <c r="G91" s="3471"/>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70" t="s">
        <v>1626</v>
      </c>
      <c r="F92" s="3471"/>
      <c r="G92" s="3471"/>
      <c r="H92" s="3472"/>
      <c r="I92" s="9"/>
      <c r="J92" s="2775"/>
      <c r="K92" s="2892"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12246</v>
      </c>
      <c r="D93" s="2716">
        <f>'数据-取费表'!E31</f>
        <v>5.000000000000001E-3</v>
      </c>
      <c r="E93" s="3470" t="s">
        <v>1611</v>
      </c>
      <c r="F93" s="3471"/>
      <c r="G93" s="3471"/>
      <c r="H93" s="347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70" t="s">
        <v>1628</v>
      </c>
      <c r="F94" s="3471"/>
      <c r="G94" s="3471"/>
      <c r="H94" s="347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2436938</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198.99869345092276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1457877</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17" t="s">
        <v>1630</v>
      </c>
      <c r="B99" s="3518"/>
      <c r="C99" s="3518"/>
      <c r="D99" s="3519"/>
      <c r="E99" s="1388"/>
      <c r="F99" s="3526" t="s">
        <v>1631</v>
      </c>
      <c r="G99" s="3527"/>
      <c r="H99" s="3527"/>
      <c r="I99" s="3528"/>
      <c r="J99" s="2778"/>
    </row>
    <row r="100" spans="1:36" ht="15">
      <c r="A100" s="3529" t="s">
        <v>1632</v>
      </c>
      <c r="B100" s="3530"/>
      <c r="C100" s="1235" t="str">
        <f>C4</f>
        <v>比较法-商业</v>
      </c>
      <c r="D100" s="2726" t="str">
        <f>D4</f>
        <v>收益法</v>
      </c>
      <c r="E100" s="1388"/>
      <c r="F100" s="3441" t="s">
        <v>2536</v>
      </c>
      <c r="G100" s="3442"/>
      <c r="H100" s="3441" t="s">
        <v>2537</v>
      </c>
      <c r="I100" s="3440"/>
      <c r="J100" s="2779"/>
    </row>
    <row r="101" spans="1:36" ht="12.75">
      <c r="A101" s="3509" t="s">
        <v>2569</v>
      </c>
      <c r="B101" s="2234" t="str">
        <f>IF(H19="元","总价（元）","总价（万元）")</f>
        <v>总价（元）</v>
      </c>
      <c r="C101" s="1235">
        <f ca="1">C19</f>
        <v>2620302</v>
      </c>
      <c r="D101" s="2726">
        <f ca="1">D19</f>
        <v>2522882</v>
      </c>
      <c r="E101" s="1388"/>
      <c r="F101" s="3441" t="str">
        <f>项目基本情况!I1</f>
        <v>北京市房地产</v>
      </c>
      <c r="G101" s="3442"/>
      <c r="H101" s="3439">
        <f>项目基本情况!C12</f>
        <v>84.33</v>
      </c>
      <c r="I101" s="3440"/>
      <c r="J101" s="2779"/>
    </row>
    <row r="102" spans="1:36" ht="12.75">
      <c r="A102" s="3509"/>
      <c r="B102" s="2234" t="s">
        <v>2570</v>
      </c>
      <c r="C102" s="2727">
        <f ca="1">C20</f>
        <v>31072</v>
      </c>
      <c r="D102" s="2728">
        <f ca="1">D20</f>
        <v>29917</v>
      </c>
      <c r="E102" s="1388"/>
      <c r="F102" s="3451" t="s">
        <v>2566</v>
      </c>
      <c r="G102" s="3452"/>
      <c r="H102" s="2736" t="str">
        <f>C106</f>
        <v>总价（元）</v>
      </c>
      <c r="I102" s="2737">
        <f ca="1">H121</f>
        <v>2571643</v>
      </c>
      <c r="J102" s="2779"/>
    </row>
    <row r="103" spans="1:36" ht="12.75">
      <c r="A103" s="3509" t="s">
        <v>2571</v>
      </c>
      <c r="B103" s="2172" t="str">
        <f>B101</f>
        <v>总价（元）</v>
      </c>
      <c r="C103" s="2731">
        <f ca="1">H121</f>
        <v>2571643</v>
      </c>
      <c r="D103" s="2729"/>
      <c r="E103" s="1388"/>
      <c r="F103" s="3451"/>
      <c r="G103" s="3452"/>
      <c r="H103" s="2736" t="s">
        <v>2539</v>
      </c>
      <c r="I103" s="52">
        <f ca="1">I121</f>
        <v>30495</v>
      </c>
      <c r="J103" s="2763"/>
    </row>
    <row r="104" spans="1:36" ht="13.5" thickBot="1">
      <c r="A104" s="3510"/>
      <c r="B104" s="2733" t="s">
        <v>2570</v>
      </c>
      <c r="C104" s="2734">
        <f ca="1">I121</f>
        <v>30495</v>
      </c>
      <c r="D104" s="2735"/>
      <c r="E104" s="1388"/>
      <c r="F104" s="3451"/>
      <c r="G104" s="3452"/>
      <c r="H104" s="3511"/>
      <c r="I104" s="3512"/>
      <c r="J104" s="2780"/>
    </row>
    <row r="105" spans="1:36" ht="15">
      <c r="A105" s="3517" t="s">
        <v>1633</v>
      </c>
      <c r="B105" s="3518"/>
      <c r="C105" s="3518"/>
      <c r="D105" s="3519"/>
      <c r="E105" s="1388"/>
      <c r="F105" s="3515" t="s">
        <v>2540</v>
      </c>
      <c r="G105" s="3516"/>
      <c r="H105" s="2738" t="str">
        <f>C108</f>
        <v>总额（元）</v>
      </c>
      <c r="I105" s="2737">
        <f>SUMIF(I106:I108,"&lt;9E307")</f>
        <v>0</v>
      </c>
      <c r="J105" s="2779"/>
    </row>
    <row r="106" spans="1:36" ht="14.25">
      <c r="A106" s="3451" t="s">
        <v>2563</v>
      </c>
      <c r="B106" s="3452"/>
      <c r="C106" s="2736" t="str">
        <f>B101</f>
        <v>总价（元）</v>
      </c>
      <c r="D106" s="2737">
        <f ca="1">H121</f>
        <v>2571643</v>
      </c>
      <c r="E106" s="1388"/>
      <c r="F106" s="3453" t="s">
        <v>2541</v>
      </c>
      <c r="G106" s="3454"/>
      <c r="H106" s="2738" t="str">
        <f>C109</f>
        <v>总额（元）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1"/>
      <c r="B107" s="3452"/>
      <c r="C107" s="2736" t="s">
        <v>2564</v>
      </c>
      <c r="D107" s="52">
        <f ca="1">I121</f>
        <v>30495</v>
      </c>
      <c r="E107" s="1388"/>
      <c r="F107" s="3453" t="s">
        <v>2542</v>
      </c>
      <c r="G107" s="3454"/>
      <c r="H107" s="2738" t="str">
        <f>C110</f>
        <v>总额（元）</v>
      </c>
      <c r="I107" s="52">
        <f>C37</f>
        <v>0</v>
      </c>
      <c r="J107" s="2763"/>
    </row>
    <row r="108" spans="1:36" ht="12.75">
      <c r="A108" s="3458" t="s">
        <v>2540</v>
      </c>
      <c r="B108" s="3459"/>
      <c r="C108" s="2738" t="str">
        <f>IF(H19="元","总额（元）","总额（万元）")</f>
        <v>总额（元）</v>
      </c>
      <c r="D108" s="2737">
        <f>IF(D36="正常操作",I106+I107+I108,I107+I108)</f>
        <v>0</v>
      </c>
      <c r="E108" s="1388"/>
      <c r="F108" s="3453" t="s">
        <v>2567</v>
      </c>
      <c r="G108" s="3454"/>
      <c r="H108" s="2738" t="str">
        <f>C111</f>
        <v>总额（元）</v>
      </c>
      <c r="I108" s="52">
        <f>C38</f>
        <v>0</v>
      </c>
      <c r="J108" s="2763"/>
    </row>
    <row r="109" spans="1:36" ht="12.75">
      <c r="A109" s="3453" t="s">
        <v>2541</v>
      </c>
      <c r="B109" s="3454"/>
      <c r="C109" s="2738" t="str">
        <f>C108</f>
        <v>总额（元）</v>
      </c>
      <c r="D109" s="52">
        <f>IF(D36="同一抵押权人同一抵押物续贷",C36&amp;"（未扣减，详见特别提示）",C36)</f>
        <v>0</v>
      </c>
      <c r="E109" s="1388"/>
      <c r="F109" s="3451"/>
      <c r="G109" s="3452"/>
      <c r="H109" s="3513"/>
      <c r="I109" s="3514"/>
      <c r="J109" s="2781"/>
    </row>
    <row r="110" spans="1:36" ht="28.5" customHeight="1">
      <c r="A110" s="3453" t="s">
        <v>2565</v>
      </c>
      <c r="B110" s="3454"/>
      <c r="C110" s="2738" t="str">
        <f>C108</f>
        <v>总额（元）</v>
      </c>
      <c r="D110" s="52">
        <f>C37</f>
        <v>0</v>
      </c>
      <c r="E110" s="1388"/>
      <c r="F110" s="3443" t="str">
        <f>IF(项目基本情况!F5="已注销","——","3.房地产抵押价值")</f>
        <v>3.房地产抵押价值</v>
      </c>
      <c r="G110" s="3444"/>
      <c r="H110" s="2724" t="str">
        <f>C112</f>
        <v>总价（元）</v>
      </c>
      <c r="I110" s="2737">
        <f ca="1">IF(F110="——","——",I102-I105)</f>
        <v>2571643</v>
      </c>
      <c r="J110" s="2779"/>
    </row>
    <row r="111" spans="1:36" ht="12.75">
      <c r="A111" s="3453" t="s">
        <v>2544</v>
      </c>
      <c r="B111" s="3454"/>
      <c r="C111" s="2738" t="str">
        <f>C108</f>
        <v>总额（元）</v>
      </c>
      <c r="D111" s="52">
        <f>C38</f>
        <v>0</v>
      </c>
      <c r="E111" s="1388"/>
      <c r="F111" s="3542"/>
      <c r="G111" s="3543"/>
      <c r="H111" s="2736" t="s">
        <v>2539</v>
      </c>
      <c r="I111" s="2740">
        <f ca="1">D113</f>
        <v>30495</v>
      </c>
      <c r="J111" s="2782"/>
    </row>
    <row r="112" spans="1:36" ht="26.25" customHeight="1">
      <c r="A112" s="3451" t="str">
        <f>IF(项目基本情况!F5="已注销","——","3.房地产抵押价值")</f>
        <v>3.房地产抵押价值</v>
      </c>
      <c r="B112" s="3452"/>
      <c r="C112" s="2736" t="str">
        <f>B101</f>
        <v>总价（元）</v>
      </c>
      <c r="D112" s="2737">
        <f ca="1">IF(A112="——","——",D106-D108)</f>
        <v>2571643</v>
      </c>
      <c r="E112" s="1388"/>
      <c r="F112" s="3443" t="str">
        <f>IF(项目基本情况!F5="已注销及未注销","4.抵押担保权已注销时的房地产抵押价值",IF(项目基本情况!F5="已注销","3.抵押担保权已注销时的房地产抵押价值","——"))</f>
        <v>——</v>
      </c>
      <c r="G112" s="3444"/>
      <c r="H112" s="2724" t="str">
        <f>C114</f>
        <v>总价（元）</v>
      </c>
      <c r="I112" s="2737" t="str">
        <f>IF(F112="——","——",I102-I107-I108)</f>
        <v>——</v>
      </c>
      <c r="J112" s="2779"/>
    </row>
    <row r="113" spans="1:16" ht="12.75">
      <c r="A113" s="3451"/>
      <c r="B113" s="3452"/>
      <c r="C113" s="2736" t="s">
        <v>2532</v>
      </c>
      <c r="D113" s="52">
        <f ca="1">ROUND(IF(D112=D106,D107,IF(H19="元",D112/项目基本情况!C12,D112*10000/项目基本情况!C12)),0)</f>
        <v>30495</v>
      </c>
      <c r="E113" s="1388"/>
      <c r="F113" s="3542"/>
      <c r="G113" s="3543"/>
      <c r="H113" s="2736" t="s">
        <v>2568</v>
      </c>
      <c r="I113" s="52" t="str">
        <f>D115</f>
        <v>——</v>
      </c>
      <c r="J113" s="2763"/>
    </row>
    <row r="114" spans="1:16" ht="12.75">
      <c r="A114" s="3451" t="str">
        <f>IF(项目基本情况!F5="已注销及未注销","4.抵押担保权已注销时的房地产抵押价值",IF(项目基本情况!F5="已注销","3.抵押担保权已注销时的房地产抵押价值","——"))</f>
        <v>——</v>
      </c>
      <c r="B114" s="3452"/>
      <c r="C114" s="2736" t="str">
        <f>B101</f>
        <v>总价（元）</v>
      </c>
      <c r="D114" s="2737" t="str">
        <f>IF(A114="——","——",D106-D110-D111)</f>
        <v>——</v>
      </c>
      <c r="E114" s="1388"/>
      <c r="F114" s="3443" t="str">
        <f>IF(项目基本情况!G5="抵押净值",IF(OR(项目基本情况!F5="已注销",项目基本情况!F5="房地产抵押价值"),"4.抵押净值","5.抵押净值"),"——")</f>
        <v>——</v>
      </c>
      <c r="G114" s="3444"/>
      <c r="H114" s="2736" t="str">
        <f>C116</f>
        <v>总价（元）</v>
      </c>
      <c r="I114" s="2737" t="str">
        <f>IF(F114="——","——",O59)</f>
        <v>——</v>
      </c>
      <c r="J114" s="2779"/>
    </row>
    <row r="115" spans="1:16" ht="13.5" thickBot="1">
      <c r="A115" s="3451"/>
      <c r="B115" s="3452"/>
      <c r="C115" s="2736" t="s">
        <v>2532</v>
      </c>
      <c r="D115" s="52" t="str">
        <f>IF(A114="——","——",ROUND(IF(D114=D106,D107,IF(H19="元",D114/项目基本情况!C12,D114*10000/项目基本情况!C12)),0))</f>
        <v>——</v>
      </c>
      <c r="E115" s="1388"/>
      <c r="F115" s="3445"/>
      <c r="G115" s="3446"/>
      <c r="H115" s="2741" t="s">
        <v>2532</v>
      </c>
      <c r="I115" s="2725" t="str">
        <f ca="1">D117</f>
        <v>——</v>
      </c>
      <c r="J115" s="2763"/>
    </row>
    <row r="116" spans="1:16" ht="15.75">
      <c r="A116" s="3451" t="str">
        <f>IF(项目基本情况!G5="抵押净值",IF(OR(项目基本情况!F5="已注销",项目基本情况!F5="房地产抵押价值"),"4.抵押净值","5.抵押净值"),"——")</f>
        <v>——</v>
      </c>
      <c r="B116" s="3452"/>
      <c r="C116" s="2736" t="str">
        <f>B101</f>
        <v>总价（元）</v>
      </c>
      <c r="D116" s="2737" t="str">
        <f>IF(A116="——","——",O59)</f>
        <v>——</v>
      </c>
      <c r="E116" s="1388"/>
      <c r="F116" s="3537"/>
      <c r="G116" s="3537"/>
      <c r="H116" s="3501"/>
      <c r="I116" s="3501"/>
      <c r="J116" s="2783"/>
      <c r="O116" s="32"/>
      <c r="P116" s="32"/>
    </row>
    <row r="117" spans="1:16" ht="13.5" thickBot="1">
      <c r="A117" s="3456"/>
      <c r="B117" s="3457"/>
      <c r="C117" s="2741" t="s">
        <v>2532</v>
      </c>
      <c r="D117" s="2725" t="str">
        <f ca="1">IF(D116=D112,D113,IF(A116="——","——",O61))</f>
        <v>——</v>
      </c>
      <c r="E117" s="1388"/>
      <c r="F117" s="3435" t="str">
        <f>IF(B32="总价","（以上估价结果中单价为总价除以建筑面积得出）","（以上估价结果中总价为楼面单价乘以建筑面积得出）")</f>
        <v>（以上估价结果中总价为楼面单价乘以建筑面积得出）</v>
      </c>
      <c r="G117" s="3435"/>
      <c r="H117" s="3435"/>
      <c r="I117" s="3435"/>
      <c r="J117" s="2784"/>
      <c r="O117" s="32"/>
      <c r="P117" s="32"/>
    </row>
    <row r="118" spans="1:16" ht="15">
      <c r="A118" s="3502" t="s">
        <v>1634</v>
      </c>
      <c r="B118" s="3503"/>
      <c r="C118" s="3503"/>
      <c r="D118" s="3503"/>
      <c r="E118" s="3503"/>
      <c r="F118" s="3503"/>
      <c r="G118" s="3503"/>
      <c r="H118" s="3503"/>
      <c r="I118" s="3503"/>
      <c r="J118" s="2785"/>
    </row>
    <row r="119" spans="1:16" ht="12.75">
      <c r="A119" s="3436" t="s">
        <v>2550</v>
      </c>
      <c r="B119" s="3462" t="s">
        <v>2560</v>
      </c>
      <c r="C119" s="3462" t="s">
        <v>2561</v>
      </c>
      <c r="D119" s="3524" t="s">
        <v>2552</v>
      </c>
      <c r="E119" s="3525"/>
      <c r="F119" s="3437" t="s">
        <v>2562</v>
      </c>
      <c r="G119" s="3437"/>
      <c r="H119" s="3437" t="s">
        <v>2553</v>
      </c>
      <c r="I119" s="3523"/>
      <c r="J119" s="2763"/>
    </row>
    <row r="120" spans="1:16" ht="12.75">
      <c r="A120" s="3436"/>
      <c r="B120" s="3463"/>
      <c r="C120" s="3463"/>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84.33</v>
      </c>
      <c r="C121" s="2019">
        <f>项目基本情况!C13</f>
        <v>0</v>
      </c>
      <c r="D121" s="2019">
        <f ca="1">ROUND(IF(B32="总价",C34,IF('数据-取费表'!B3="万元",E121*B121/10000,E121*B121)),0)</f>
        <v>2067603</v>
      </c>
      <c r="E121" s="2019">
        <f ca="1">ROUND(IF(B32="楼面单价",C34,IF(H19="元",D121/B121,D121*10000/B121)),0)</f>
        <v>24518</v>
      </c>
      <c r="F121" s="2019">
        <f ca="1">ROUND(IF(B32="总价",C35,IF('数据-取费表'!B3="万元",G121*B121/10000,G121*B121)),0)</f>
        <v>504040</v>
      </c>
      <c r="G121" s="2019">
        <f ca="1">ROUND(IF(B32="楼面单价",C35,IF(H19="元",F121/B121,F121*10000/B121)),0)</f>
        <v>5977</v>
      </c>
      <c r="H121" s="2019">
        <f ca="1">ROUND(IF(B32="总价",C32,IF('数据-取费表'!B3="万元",I121*B121/10000,I121*B121)),0)</f>
        <v>2571643</v>
      </c>
      <c r="I121" s="52">
        <f ca="1">ROUND(IF(B32="楼面单价",C32,IF(H19="元",H121/B121,H121*10000/B121)),0)</f>
        <v>30495</v>
      </c>
      <c r="J121" s="2763"/>
    </row>
    <row r="122" spans="1:16" ht="12.75">
      <c r="A122" s="3436" t="s">
        <v>2556</v>
      </c>
      <c r="B122" s="3437"/>
      <c r="C122" s="3437"/>
      <c r="D122" s="3464" t="str">
        <f ca="1">IF(H19="元",NUMBERSTRING(INT(D121),2)&amp;"元整",NUMBERSTRING(INT(D121*10000),2)&amp;"元整")</f>
        <v>贰佰零陆万柒仟陆佰零叁元整</v>
      </c>
      <c r="E122" s="3507"/>
      <c r="F122" s="3464" t="str">
        <f ca="1">IF(H19="元",NUMBERSTRING(INT(F121),2)&amp;"元整",NUMBERSTRING(INT(F121*10000),2)&amp;"元整")</f>
        <v>伍拾万肆仟零肆拾元整</v>
      </c>
      <c r="G122" s="3507"/>
      <c r="H122" s="3464" t="str">
        <f ca="1">IF(H19="元",NUMBERSTRING(INT(H121),2)&amp;"元整",NUMBERSTRING(INT(H121*10000),2)&amp;"元整")</f>
        <v>贰佰伍拾柒万壹仟陆佰肆拾叁元整</v>
      </c>
      <c r="I122" s="3465"/>
      <c r="J122" s="2786"/>
    </row>
    <row r="123" spans="1:16" ht="12.75">
      <c r="A123" s="3441" t="str">
        <f>IF(项目基本情况!D5="房地产市场价值","——",MID(A108,3,LEN(A108)-2))</f>
        <v>估价师所知悉的法定优先受偿款</v>
      </c>
      <c r="B123" s="3447"/>
      <c r="C123" s="3442"/>
      <c r="D123" s="3439">
        <f>I105</f>
        <v>0</v>
      </c>
      <c r="E123" s="3447"/>
      <c r="F123" s="3447"/>
      <c r="G123" s="3447"/>
      <c r="H123" s="3447"/>
      <c r="I123" s="3440"/>
      <c r="J123" s="2779"/>
    </row>
    <row r="124" spans="1:16" ht="12.75">
      <c r="A124" s="3508" t="s">
        <v>2556</v>
      </c>
      <c r="B124" s="3476"/>
      <c r="C124" s="3477"/>
      <c r="D124" s="3448">
        <f>H109</f>
        <v>0</v>
      </c>
      <c r="E124" s="3449"/>
      <c r="F124" s="3449"/>
      <c r="G124" s="3449"/>
      <c r="H124" s="3449"/>
      <c r="I124" s="3450"/>
      <c r="J124" s="2787"/>
    </row>
    <row r="125" spans="1:16" ht="12.75">
      <c r="A125" s="3451" t="str">
        <f>IF(项目基本情况!D5="房地产市场价值","——",MID(A112,3,LEN(A112)-2))</f>
        <v>房地产抵押价值</v>
      </c>
      <c r="B125" s="3452"/>
      <c r="C125" s="3452"/>
      <c r="D125" s="3439">
        <f ca="1">I110</f>
        <v>2571643</v>
      </c>
      <c r="E125" s="3447"/>
      <c r="F125" s="3447"/>
      <c r="G125" s="3447"/>
      <c r="H125" s="3447"/>
      <c r="I125" s="3440"/>
      <c r="J125" s="2779"/>
    </row>
    <row r="126" spans="1:16" ht="12.75">
      <c r="A126" s="3436" t="s">
        <v>2556</v>
      </c>
      <c r="B126" s="3437"/>
      <c r="C126" s="3437"/>
      <c r="D126" s="3448">
        <f ca="1">I111</f>
        <v>30495</v>
      </c>
      <c r="E126" s="3449"/>
      <c r="F126" s="3449"/>
      <c r="G126" s="3449"/>
      <c r="H126" s="3449"/>
      <c r="I126" s="3450"/>
      <c r="J126" s="2787"/>
    </row>
    <row r="127" spans="1:16" ht="13.5" thickBot="1">
      <c r="A127" s="3451" t="str">
        <f>IF(项目基本情况!D5="房地产市场价值","——",MID(A114,3,LEN(A114)-2))</f>
        <v/>
      </c>
      <c r="B127" s="3452"/>
      <c r="C127" s="3452"/>
      <c r="D127" s="3484" t="str">
        <f>I112</f>
        <v>——</v>
      </c>
      <c r="E127" s="3485"/>
      <c r="F127" s="3485"/>
      <c r="G127" s="3485"/>
      <c r="H127" s="3485"/>
      <c r="I127" s="3536"/>
      <c r="J127" s="2779"/>
    </row>
    <row r="128" spans="1:16" ht="14.25" thickTop="1" thickBot="1">
      <c r="A128" s="3436" t="s">
        <v>2556</v>
      </c>
      <c r="B128" s="3437"/>
      <c r="C128" s="3438"/>
      <c r="D128" s="3500" t="str">
        <f>I113</f>
        <v>——</v>
      </c>
      <c r="E128" s="3500"/>
      <c r="F128" s="3500"/>
      <c r="G128" s="3500"/>
      <c r="H128" s="3500"/>
      <c r="I128" s="3500"/>
      <c r="J128" s="2787"/>
    </row>
    <row r="129" spans="1:10" ht="14.25" thickTop="1" thickBot="1">
      <c r="A129" s="3451" t="str">
        <f>IF(项目基本情况!D5="房地产市场价值","——",MID(F114,3,LEN(F114)-2))</f>
        <v/>
      </c>
      <c r="B129" s="3452"/>
      <c r="C129" s="3439"/>
      <c r="D129" s="3455" t="str">
        <f>I114</f>
        <v>——</v>
      </c>
      <c r="E129" s="3455"/>
      <c r="F129" s="3455"/>
      <c r="G129" s="3455"/>
      <c r="H129" s="3455"/>
      <c r="I129" s="3455"/>
      <c r="J129" s="2779"/>
    </row>
    <row r="130" spans="1:10" ht="14.25" thickTop="1" thickBot="1">
      <c r="A130" s="3460" t="s">
        <v>2556</v>
      </c>
      <c r="B130" s="3461"/>
      <c r="C130" s="3461"/>
      <c r="D130" s="3466">
        <f>H116</f>
        <v>0</v>
      </c>
      <c r="E130" s="3467"/>
      <c r="F130" s="3467"/>
      <c r="G130" s="3467"/>
      <c r="H130" s="3467"/>
      <c r="I130" s="3468"/>
      <c r="J130" s="2787"/>
    </row>
    <row r="131" spans="1:10" ht="12.75">
      <c r="A131" s="1408" t="str">
        <f>IF(H19="元","单位：平方米、元、元/平方米（币种：人民币）","单位：平方米、万元、元/平方米（币种：人民币）")</f>
        <v>单位：平方米、元、元/平方米（币种：人民币）</v>
      </c>
      <c r="B131" s="1408"/>
      <c r="C131" s="1408"/>
      <c r="D131" s="1408"/>
      <c r="E131" s="1408"/>
      <c r="F131" s="1408"/>
      <c r="G131" s="1408"/>
      <c r="H131" s="1408"/>
      <c r="I131" s="1408"/>
      <c r="J131" s="2788"/>
    </row>
    <row r="132" spans="1:10" ht="13.5" thickBot="1">
      <c r="A132" s="3434" t="str">
        <f>IF(B32="总价","（以上估价结果中楼面单价为总价除以建筑面积得出）","（以上估价结果中总价为楼面单价乘以建筑面积得出）")</f>
        <v>（以上估价结果中总价为楼面单价乘以建筑面积得出）</v>
      </c>
      <c r="B132" s="3434"/>
      <c r="C132" s="3434"/>
      <c r="D132" s="3434"/>
      <c r="E132" s="3434"/>
      <c r="F132" s="3434"/>
      <c r="G132" s="3434"/>
      <c r="H132" s="3434"/>
      <c r="I132" s="3434"/>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89"/>
  </cols>
  <sheetData>
    <row r="1" spans="1:15" ht="21.75" customHeight="1">
      <c r="A1" s="1387" t="s">
        <v>1642</v>
      </c>
      <c r="B1" s="1388"/>
      <c r="C1" s="1388"/>
      <c r="D1" s="1388"/>
      <c r="E1" s="1388"/>
      <c r="F1" s="1388"/>
      <c r="G1" s="1388"/>
      <c r="H1" s="1388"/>
      <c r="I1" s="1388"/>
    </row>
    <row r="2" spans="1:15" ht="21.75" customHeight="1">
      <c r="A2" s="3568" t="s">
        <v>1643</v>
      </c>
      <c r="B2" s="3568"/>
      <c r="C2" s="3568"/>
      <c r="D2" s="3568"/>
      <c r="E2" s="3568"/>
      <c r="F2" s="3568"/>
      <c r="G2" s="3568"/>
      <c r="H2" s="3568"/>
      <c r="I2" s="3568"/>
      <c r="J2" s="2792"/>
    </row>
    <row r="3" spans="1:15" ht="12.75">
      <c r="A3" s="3492" t="s">
        <v>1471</v>
      </c>
      <c r="B3" s="3493"/>
      <c r="C3" s="3493"/>
      <c r="D3" s="3493"/>
      <c r="E3" s="3493"/>
      <c r="F3" s="3493"/>
      <c r="G3" s="3493"/>
      <c r="H3" s="3493"/>
      <c r="I3" s="3493"/>
      <c r="J3" s="2762"/>
    </row>
    <row r="4" spans="1:15" ht="14.25">
      <c r="A4" s="2630" t="s">
        <v>1472</v>
      </c>
      <c r="B4" s="2630" t="s">
        <v>1473</v>
      </c>
      <c r="C4" s="2631"/>
      <c r="D4" s="2631"/>
      <c r="E4" s="3438" t="s">
        <v>1644</v>
      </c>
      <c r="F4" s="3476"/>
      <c r="G4" s="3476"/>
      <c r="H4" s="3476"/>
      <c r="I4" s="3477"/>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69" t="s">
        <v>1475</v>
      </c>
      <c r="B5" s="3469">
        <v>25</v>
      </c>
      <c r="C5" s="3478"/>
      <c r="D5" s="3491"/>
      <c r="E5" s="12" t="s">
        <v>1476</v>
      </c>
      <c r="F5" s="2016"/>
      <c r="G5" s="2016"/>
      <c r="H5" s="2016"/>
      <c r="I5" s="2011"/>
      <c r="J5" s="2763"/>
    </row>
    <row r="6" spans="1:15" ht="12.75">
      <c r="A6" s="3469"/>
      <c r="B6" s="3469"/>
      <c r="C6" s="3494"/>
      <c r="D6" s="3491"/>
      <c r="E6" s="12" t="s">
        <v>1477</v>
      </c>
      <c r="F6" s="2016"/>
      <c r="G6" s="2016"/>
      <c r="H6" s="2016"/>
      <c r="I6" s="2011"/>
      <c r="J6" s="2763"/>
    </row>
    <row r="7" spans="1:15" ht="12.75">
      <c r="A7" s="3469"/>
      <c r="B7" s="3469"/>
      <c r="C7" s="3479"/>
      <c r="D7" s="3491"/>
      <c r="E7" s="12" t="s">
        <v>1478</v>
      </c>
      <c r="F7" s="2016"/>
      <c r="G7" s="2016"/>
      <c r="H7" s="2016"/>
      <c r="I7" s="2011"/>
      <c r="J7" s="2763"/>
    </row>
    <row r="8" spans="1:15" ht="12.75">
      <c r="A8" s="3469" t="s">
        <v>1479</v>
      </c>
      <c r="B8" s="3469">
        <v>15</v>
      </c>
      <c r="C8" s="3478"/>
      <c r="D8" s="3491"/>
      <c r="E8" s="12" t="s">
        <v>1480</v>
      </c>
      <c r="F8" s="2016"/>
      <c r="G8" s="2016"/>
      <c r="H8" s="2016"/>
      <c r="I8" s="2011"/>
      <c r="J8" s="2763"/>
    </row>
    <row r="9" spans="1:15" ht="12.75">
      <c r="A9" s="3469"/>
      <c r="B9" s="3469"/>
      <c r="C9" s="3479"/>
      <c r="D9" s="3491"/>
      <c r="E9" s="12" t="s">
        <v>1481</v>
      </c>
      <c r="F9" s="2016"/>
      <c r="G9" s="2016"/>
      <c r="H9" s="2016"/>
      <c r="I9" s="2011"/>
      <c r="J9" s="2763"/>
    </row>
    <row r="10" spans="1:15" ht="12.75">
      <c r="A10" s="3469" t="s">
        <v>1482</v>
      </c>
      <c r="B10" s="3469">
        <v>15</v>
      </c>
      <c r="C10" s="3478"/>
      <c r="D10" s="3491"/>
      <c r="E10" s="12" t="s">
        <v>1483</v>
      </c>
      <c r="F10" s="2016"/>
      <c r="G10" s="2016"/>
      <c r="H10" s="2016"/>
      <c r="I10" s="2011"/>
      <c r="J10" s="2763"/>
    </row>
    <row r="11" spans="1:15" ht="12.75">
      <c r="A11" s="3469"/>
      <c r="B11" s="3469"/>
      <c r="C11" s="3479"/>
      <c r="D11" s="3491"/>
      <c r="E11" s="12" t="s">
        <v>1484</v>
      </c>
      <c r="F11" s="2016"/>
      <c r="G11" s="2016"/>
      <c r="H11" s="2016"/>
      <c r="I11" s="2011"/>
      <c r="J11" s="2763"/>
    </row>
    <row r="12" spans="1:15" ht="12.75">
      <c r="A12" s="3469" t="s">
        <v>1485</v>
      </c>
      <c r="B12" s="3469">
        <v>15</v>
      </c>
      <c r="C12" s="3478"/>
      <c r="D12" s="3491"/>
      <c r="E12" s="12" t="s">
        <v>1486</v>
      </c>
      <c r="F12" s="2016"/>
      <c r="G12" s="2016"/>
      <c r="H12" s="2016"/>
      <c r="I12" s="2011"/>
      <c r="J12" s="2763"/>
    </row>
    <row r="13" spans="1:15" ht="12.75">
      <c r="A13" s="3469"/>
      <c r="B13" s="3469"/>
      <c r="C13" s="3479"/>
      <c r="D13" s="3491"/>
      <c r="E13" s="12" t="s">
        <v>1487</v>
      </c>
      <c r="F13" s="2016"/>
      <c r="G13" s="2016"/>
      <c r="H13" s="2016"/>
      <c r="I13" s="2011"/>
      <c r="J13" s="2763"/>
    </row>
    <row r="14" spans="1:15" ht="12.75">
      <c r="A14" s="3469" t="s">
        <v>1488</v>
      </c>
      <c r="B14" s="3469">
        <v>30</v>
      </c>
      <c r="C14" s="3478"/>
      <c r="D14" s="3491"/>
      <c r="E14" s="12" t="s">
        <v>1489</v>
      </c>
      <c r="F14" s="2016"/>
      <c r="G14" s="2016"/>
      <c r="H14" s="2016"/>
      <c r="I14" s="2011"/>
      <c r="J14" s="2763"/>
    </row>
    <row r="15" spans="1:15" ht="12.75">
      <c r="A15" s="3469"/>
      <c r="B15" s="3469"/>
      <c r="C15" s="3494"/>
      <c r="D15" s="3491"/>
      <c r="E15" s="12" t="s">
        <v>1490</v>
      </c>
      <c r="F15" s="2016"/>
      <c r="G15" s="2016"/>
      <c r="H15" s="2016"/>
      <c r="I15" s="2011"/>
      <c r="J15" s="2763"/>
    </row>
    <row r="16" spans="1:15" ht="12.75">
      <c r="A16" s="3469"/>
      <c r="B16" s="3469"/>
      <c r="C16" s="3479"/>
      <c r="D16" s="3491"/>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487" t="s">
        <v>2575</v>
      </c>
      <c r="F18" s="3488"/>
      <c r="G18" s="3488"/>
      <c r="H18" s="3488"/>
      <c r="I18" s="3488"/>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80" t="s">
        <v>1500</v>
      </c>
      <c r="B24" s="2638" t="s">
        <v>1495</v>
      </c>
      <c r="C24" s="2641">
        <f>D30</f>
        <v>0</v>
      </c>
      <c r="D24" s="2593"/>
      <c r="E24" s="905"/>
      <c r="F24" s="905"/>
      <c r="G24" s="905"/>
      <c r="H24" s="905"/>
      <c r="I24" s="905"/>
      <c r="J24" s="2764"/>
    </row>
    <row r="25" spans="1:36" ht="21.75" customHeight="1">
      <c r="A25" s="3497"/>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45" t="s">
        <v>1647</v>
      </c>
      <c r="B32" s="3545"/>
      <c r="C32" s="3545"/>
      <c r="D32" s="3545"/>
      <c r="E32" s="3545"/>
      <c r="F32" s="3545"/>
      <c r="G32" s="3545"/>
      <c r="H32" s="3545"/>
      <c r="I32" s="3545"/>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8"/>
      <c r="B33" s="2693" t="s">
        <v>1648</v>
      </c>
      <c r="C33" s="2694">
        <f>典型户型修正!R27</f>
        <v>0</v>
      </c>
      <c r="D33" s="2480" t="s">
        <v>1649</v>
      </c>
      <c r="E33" s="905"/>
      <c r="F33" s="905"/>
      <c r="G33" s="905"/>
      <c r="H33" s="905"/>
      <c r="I33" s="905"/>
      <c r="J33" s="2764"/>
    </row>
    <row r="34" spans="1:16" ht="15">
      <c r="A34" s="1439" t="s">
        <v>1650</v>
      </c>
      <c r="B34" s="2695" t="s">
        <v>1651</v>
      </c>
      <c r="C34" s="2696">
        <f>典型户型修正!B2</f>
        <v>0</v>
      </c>
      <c r="D34" s="2697" t="str">
        <f>IF('数据-取费表'!B3="万元","万元","元")</f>
        <v>元</v>
      </c>
      <c r="E34" s="905"/>
      <c r="F34" s="905"/>
      <c r="G34" s="905"/>
      <c r="H34" s="905"/>
      <c r="I34" s="905"/>
      <c r="J34" s="2764"/>
    </row>
    <row r="35" spans="1:16" ht="15.75" thickBot="1">
      <c r="A35" s="1440"/>
      <c r="B35" s="2698" t="s">
        <v>1652</v>
      </c>
      <c r="C35" s="2647" t="e">
        <f>典型户型修正!B3</f>
        <v>#DIV/0!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元</v>
      </c>
      <c r="E36" s="905"/>
      <c r="F36" s="905"/>
      <c r="G36" s="905"/>
      <c r="H36" s="905"/>
      <c r="I36" s="905"/>
      <c r="J36" s="2764"/>
    </row>
    <row r="37" spans="1:16" ht="15.75" thickBot="1">
      <c r="A37" s="1394"/>
      <c r="B37" s="1396" t="s">
        <v>1655</v>
      </c>
      <c r="C37" s="2700">
        <f>IF('数据-取费表'!B3="万元",典型户型修正!Y25,典型户型修正!X25)</f>
        <v>0</v>
      </c>
      <c r="D37" s="2480" t="str">
        <f>D34</f>
        <v>元</v>
      </c>
      <c r="E37" s="905"/>
      <c r="F37" s="905"/>
      <c r="G37" s="905"/>
      <c r="H37" s="905"/>
      <c r="I37" s="905"/>
      <c r="J37" s="2764"/>
    </row>
    <row r="38" spans="1:16" ht="15.75" thickBot="1">
      <c r="A38" s="3480" t="s">
        <v>1656</v>
      </c>
      <c r="B38" s="1395" t="s">
        <v>1657</v>
      </c>
      <c r="C38" s="2674"/>
      <c r="D38" s="2675"/>
      <c r="E38" s="1607"/>
      <c r="F38" s="1607"/>
      <c r="G38" s="905"/>
      <c r="H38" s="905"/>
      <c r="I38" s="905"/>
      <c r="J38" s="2764"/>
    </row>
    <row r="39" spans="1:16" ht="15.75" thickBot="1">
      <c r="A39" s="3481"/>
      <c r="B39" s="2021" t="s">
        <v>1658</v>
      </c>
      <c r="C39" s="2676"/>
      <c r="D39" s="1239"/>
      <c r="E39" s="1239"/>
      <c r="F39" s="1607"/>
      <c r="G39" s="1239"/>
      <c r="H39" s="1239"/>
      <c r="I39" s="1239"/>
      <c r="J39" s="2768"/>
    </row>
    <row r="40" spans="1:16" ht="15.75" thickBot="1">
      <c r="A40" s="3482"/>
      <c r="B40" s="1396" t="s">
        <v>1659</v>
      </c>
      <c r="C40" s="2677"/>
      <c r="D40" s="2678" t="s">
        <v>1660</v>
      </c>
      <c r="E40" s="1239"/>
      <c r="F40" s="1607"/>
      <c r="G40" s="1239"/>
      <c r="H40" s="1239"/>
      <c r="I40" s="1239"/>
      <c r="J40" s="2768"/>
    </row>
    <row r="41" spans="1:16" ht="15">
      <c r="A41" s="2643" t="s">
        <v>1661</v>
      </c>
      <c r="B41" s="2679" t="s">
        <v>1662</v>
      </c>
      <c r="C41" s="2680" t="s">
        <v>1663</v>
      </c>
      <c r="D41" s="2680" t="s">
        <v>1664</v>
      </c>
      <c r="E41" s="2681" t="s">
        <v>1665</v>
      </c>
      <c r="F41" s="1607"/>
      <c r="G41" s="1239"/>
      <c r="H41" s="1239"/>
      <c r="I41" s="1239"/>
      <c r="J41" s="2768"/>
    </row>
    <row r="42" spans="1:16" ht="14.25">
      <c r="A42" s="2682" t="s">
        <v>1666</v>
      </c>
      <c r="B42" s="2683"/>
      <c r="C42" s="2684"/>
      <c r="D42" s="2684"/>
      <c r="E42" s="2685"/>
      <c r="F42" s="1607"/>
      <c r="G42" s="1239"/>
      <c r="H42" s="1239"/>
      <c r="I42" s="1239"/>
      <c r="J42" s="2768"/>
    </row>
    <row r="43" spans="1:16" ht="14.25">
      <c r="A43" s="2682" t="s">
        <v>1667</v>
      </c>
      <c r="B43" s="2683"/>
      <c r="C43" s="2684"/>
      <c r="D43" s="2684"/>
      <c r="E43" s="2685"/>
      <c r="F43" s="1607"/>
      <c r="G43" s="1239"/>
      <c r="H43" s="1239"/>
      <c r="I43" s="1239"/>
      <c r="J43" s="2768"/>
    </row>
    <row r="44" spans="1:16" ht="15" thickBot="1">
      <c r="A44" s="2686"/>
      <c r="B44" s="2687"/>
      <c r="C44" s="2688"/>
      <c r="D44" s="2688"/>
      <c r="E44" s="2673"/>
      <c r="F44" s="1607"/>
      <c r="G44" s="1239"/>
      <c r="H44" s="1239"/>
      <c r="I44" s="1239"/>
      <c r="J44" s="2768"/>
    </row>
    <row r="45" spans="1:16" ht="12.75">
      <c r="A45" s="1408"/>
      <c r="B45" s="1408"/>
      <c r="C45" s="1408"/>
      <c r="D45" s="1408"/>
      <c r="E45" s="1408"/>
      <c r="F45" s="1365"/>
      <c r="G45" s="1365"/>
      <c r="H45" s="1365"/>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84" t="s">
        <v>1669</v>
      </c>
      <c r="B47" s="3485"/>
      <c r="C47" s="3444"/>
      <c r="D47" s="246">
        <f>ROUND(I104*F47,0)</f>
        <v>0</v>
      </c>
      <c r="E47" s="1469" t="s">
        <v>1670</v>
      </c>
      <c r="F47" s="2478">
        <v>1</v>
      </c>
      <c r="G47" s="2479" t="s">
        <v>1671</v>
      </c>
      <c r="H47" s="905"/>
      <c r="I47" s="905"/>
      <c r="J47" s="2764"/>
      <c r="K47" s="3570" t="s">
        <v>1527</v>
      </c>
      <c r="L47" s="3570"/>
      <c r="M47" s="3570"/>
      <c r="N47" s="3570"/>
      <c r="O47" s="3570"/>
      <c r="P47" s="3570"/>
    </row>
    <row r="48" spans="1:16" ht="14.25" customHeight="1">
      <c r="A48" s="3473" t="s">
        <v>1528</v>
      </c>
      <c r="B48" s="3474"/>
      <c r="C48" s="3474"/>
      <c r="D48" s="3474"/>
      <c r="E48" s="3474"/>
      <c r="F48" s="3474"/>
      <c r="G48" s="3475"/>
      <c r="H48" s="2896"/>
      <c r="I48" s="905"/>
      <c r="J48" s="2764"/>
      <c r="K48" s="2430">
        <v>1</v>
      </c>
      <c r="L48" s="3565" t="s">
        <v>1529</v>
      </c>
      <c r="M48" s="3565"/>
      <c r="N48" s="3571"/>
      <c r="O48" s="3571"/>
      <c r="P48" s="3571"/>
    </row>
    <row r="49" spans="1:17" ht="12" customHeight="1">
      <c r="A49" s="38" t="s">
        <v>1530</v>
      </c>
      <c r="B49" s="39"/>
      <c r="C49" s="40"/>
      <c r="D49" s="1028" t="s">
        <v>1531</v>
      </c>
      <c r="E49" s="235" t="s">
        <v>1532</v>
      </c>
      <c r="F49" s="41" t="s">
        <v>1533</v>
      </c>
      <c r="G49" s="2481" t="s">
        <v>1534</v>
      </c>
      <c r="H49" s="2896"/>
      <c r="I49" s="905"/>
      <c r="J49" s="2764"/>
      <c r="K49" s="2430">
        <v>2</v>
      </c>
      <c r="L49" s="3565" t="s">
        <v>1535</v>
      </c>
      <c r="M49" s="3565"/>
      <c r="N49" s="3572">
        <f>'数据-取费表'!B2</f>
        <v>44806</v>
      </c>
      <c r="O49" s="3572"/>
      <c r="P49" s="3572"/>
    </row>
    <row r="50" spans="1:17" ht="25.5">
      <c r="A50" s="3483" t="s">
        <v>1536</v>
      </c>
      <c r="B50" s="3437"/>
      <c r="C50" s="3437"/>
      <c r="D50" s="12">
        <f>IF(H50="情况1",0,IF(H50="情况2",D54,IF(H50="情况3",D55,IF(H50="情况4",D56))))</f>
        <v>0</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65" t="s">
        <v>1539</v>
      </c>
      <c r="M50" s="3565"/>
      <c r="N50" s="3566">
        <f>I104</f>
        <v>0</v>
      </c>
      <c r="O50" s="3566"/>
      <c r="P50" s="3566"/>
    </row>
    <row r="51" spans="1:17" ht="25.5" customHeight="1">
      <c r="A51" s="2018" t="s">
        <v>1540</v>
      </c>
      <c r="B51" s="3476" t="s">
        <v>1541</v>
      </c>
      <c r="C51" s="3476"/>
      <c r="D51" s="2485">
        <v>0</v>
      </c>
      <c r="E51" s="261" t="s">
        <v>1542</v>
      </c>
      <c r="F51" s="2486" t="s">
        <v>48</v>
      </c>
      <c r="G51" s="3533"/>
      <c r="H51" s="2487" t="s">
        <v>2499</v>
      </c>
      <c r="I51" s="2488"/>
      <c r="J51" s="2772"/>
      <c r="K51" s="2430">
        <v>4</v>
      </c>
      <c r="L51" s="3565" t="str">
        <f>IF(项目基本情况!F5="房地产抵押价值","房地产抵押价值","抵押担保权已注销时的房地产抵押价值")</f>
        <v>房地产抵押价值</v>
      </c>
      <c r="M51" s="3565"/>
      <c r="N51" s="3566">
        <f>IF(项目基本情况!F5="房地产抵押价值",I112,I114)</f>
        <v>0</v>
      </c>
      <c r="O51" s="3566"/>
      <c r="P51" s="3566"/>
    </row>
    <row r="52" spans="1:17" ht="25.5" customHeight="1">
      <c r="A52" s="2008"/>
      <c r="B52" s="3476" t="s">
        <v>1543</v>
      </c>
      <c r="C52" s="3476"/>
      <c r="D52" s="2489"/>
      <c r="E52" s="269"/>
      <c r="F52" s="2486"/>
      <c r="G52" s="3534"/>
      <c r="H52" s="2490" t="s">
        <v>2500</v>
      </c>
      <c r="I52" s="2488"/>
      <c r="J52" s="2772"/>
      <c r="K52" s="3565" t="s">
        <v>1544</v>
      </c>
      <c r="L52" s="3565"/>
      <c r="M52" s="3565"/>
      <c r="N52" s="3565"/>
      <c r="O52" s="3565"/>
      <c r="P52" s="3565"/>
    </row>
    <row r="53" spans="1:17" ht="20.45" customHeight="1">
      <c r="A53" s="2491"/>
      <c r="B53" s="3476" t="s">
        <v>1545</v>
      </c>
      <c r="C53" s="3476"/>
      <c r="D53" s="1028"/>
      <c r="E53" s="264"/>
      <c r="F53" s="2486"/>
      <c r="G53" s="3535"/>
      <c r="H53" s="2490" t="s">
        <v>2501</v>
      </c>
      <c r="I53" s="2488"/>
      <c r="J53" s="2772"/>
      <c r="K53" s="2431" t="s">
        <v>1546</v>
      </c>
      <c r="L53" s="3565" t="s">
        <v>1547</v>
      </c>
      <c r="M53" s="3565"/>
      <c r="N53" s="2431" t="s">
        <v>1548</v>
      </c>
      <c r="O53" s="2431" t="s">
        <v>1549</v>
      </c>
      <c r="P53" s="2431" t="s">
        <v>1550</v>
      </c>
    </row>
    <row r="54" spans="1:17" ht="24" customHeight="1">
      <c r="A54" s="2009" t="s">
        <v>1551</v>
      </c>
      <c r="B54" s="3476" t="s">
        <v>1552</v>
      </c>
      <c r="C54" s="3476"/>
      <c r="D54" s="1028">
        <f>ROUND(D47*'数据-取费表'!E29/(1+'数据-取费表'!F30),0)</f>
        <v>0</v>
      </c>
      <c r="E54" s="2019" t="s">
        <v>1553</v>
      </c>
      <c r="F54" s="2492">
        <f>'数据-取费表'!E29</f>
        <v>5.5000000000000007E-2</v>
      </c>
      <c r="G54" s="2493"/>
      <c r="H54" s="905"/>
      <c r="I54" s="2897"/>
      <c r="J54" s="2772"/>
      <c r="K54" s="2430">
        <v>1</v>
      </c>
      <c r="L54" s="3561" t="s">
        <v>1554</v>
      </c>
      <c r="M54" s="3561"/>
      <c r="N54" s="2432">
        <f>D50</f>
        <v>0</v>
      </c>
      <c r="O54" s="2430" t="str">
        <f>E50</f>
        <v>销售额×税（费）率</v>
      </c>
      <c r="P54" s="2433">
        <f>F50</f>
        <v>5.5000000000000007E-2</v>
      </c>
    </row>
    <row r="55" spans="1:17" ht="12" customHeight="1">
      <c r="A55" s="2009" t="s">
        <v>1555</v>
      </c>
      <c r="B55" s="3438" t="s">
        <v>2592</v>
      </c>
      <c r="C55" s="3477"/>
      <c r="D55" s="1028">
        <f>ROUND(D47*'数据-取费表'!E29/(1+'数据-取费表'!F30),0)</f>
        <v>0</v>
      </c>
      <c r="E55" s="2019" t="s">
        <v>1553</v>
      </c>
      <c r="F55" s="2492">
        <f>'数据-取费表'!E29</f>
        <v>5.5000000000000007E-2</v>
      </c>
      <c r="G55" s="2493"/>
      <c r="H55" s="905"/>
      <c r="I55" s="2897"/>
      <c r="J55" s="2772"/>
      <c r="K55" s="2430">
        <v>2</v>
      </c>
      <c r="L55" s="3561" t="s">
        <v>1556</v>
      </c>
      <c r="M55" s="3561"/>
      <c r="N55" s="2432">
        <f t="shared" ref="N55:P56" si="1">D57</f>
        <v>0</v>
      </c>
      <c r="O55" s="2430" t="str">
        <f t="shared" si="1"/>
        <v>销售额×税（费）率</v>
      </c>
      <c r="P55" s="2433">
        <f t="shared" si="1"/>
        <v>5.0000000000000001E-4</v>
      </c>
    </row>
    <row r="56" spans="1:17" ht="12" customHeight="1">
      <c r="A56" s="2009" t="s">
        <v>1557</v>
      </c>
      <c r="B56" s="3438" t="s">
        <v>2593</v>
      </c>
      <c r="C56" s="3477"/>
      <c r="D56" s="1028">
        <f>C70</f>
        <v>0</v>
      </c>
      <c r="E56" s="264" t="s">
        <v>1558</v>
      </c>
      <c r="F56" s="2492">
        <f>'数据-取费表'!E29</f>
        <v>5.5000000000000007E-2</v>
      </c>
      <c r="G56" s="2493"/>
      <c r="H56" s="2898"/>
      <c r="I56" s="2897"/>
      <c r="J56" s="2772"/>
      <c r="K56" s="2430">
        <v>3</v>
      </c>
      <c r="L56" s="3561" t="s">
        <v>1559</v>
      </c>
      <c r="M56" s="3561"/>
      <c r="N56" s="2432">
        <f t="shared" si="1"/>
        <v>0</v>
      </c>
      <c r="O56" s="2430" t="str">
        <f t="shared" si="1"/>
        <v>增值额×税（费）率</v>
      </c>
      <c r="P56" s="2434" t="str">
        <f t="shared" si="1"/>
        <v>——</v>
      </c>
    </row>
    <row r="57" spans="1:17" ht="24" customHeight="1">
      <c r="A57" s="3436" t="s">
        <v>1560</v>
      </c>
      <c r="B57" s="3437"/>
      <c r="C57" s="3437"/>
      <c r="D57" s="12">
        <f>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61" t="str">
        <f>IF(H61="非个人房产","——","个人所得税")</f>
        <v>个人所得税</v>
      </c>
      <c r="M57" s="3561"/>
      <c r="N57" s="2435">
        <f>D61</f>
        <v>0</v>
      </c>
      <c r="O57" s="2436" t="str">
        <f>E61</f>
        <v>销售额×税（费）率</v>
      </c>
      <c r="P57" s="2437">
        <f>F61</f>
        <v>0.01</v>
      </c>
    </row>
    <row r="58" spans="1:17" ht="24.75">
      <c r="A58" s="3436" t="s">
        <v>1563</v>
      </c>
      <c r="B58" s="3437"/>
      <c r="C58" s="3437"/>
      <c r="D58" s="12">
        <f>IF(H58="个人住宅",D59,D60)</f>
        <v>0</v>
      </c>
      <c r="E58" s="2019" t="s">
        <v>1564</v>
      </c>
      <c r="F58" s="2492" t="str">
        <f>IF(H58="正常",F60,"免征")</f>
        <v>——</v>
      </c>
      <c r="G58" s="2494" t="s">
        <v>1565</v>
      </c>
      <c r="H58" s="2495" t="s">
        <v>1562</v>
      </c>
      <c r="I58" s="2899"/>
      <c r="J58" s="2772"/>
      <c r="K58" s="2430" t="str">
        <f>IF(项目基本情况!I6="上海银行",IF(K57="",4,K57+1),"")</f>
        <v/>
      </c>
      <c r="L58" s="3563" t="str">
        <f>IF(项目基本情况!I6="上海银行","其他处置费用","")</f>
        <v/>
      </c>
      <c r="M58" s="3564"/>
      <c r="N58" s="2432" t="str">
        <f>IF(项目基本情况!I6="上海银行",N71,"")</f>
        <v/>
      </c>
      <c r="O58" s="3563" t="str">
        <f>IF(项目基本情况!I6="上海银行","包含处置中涉及的律师、诉讼、拍卖、评估等费用","")</f>
        <v/>
      </c>
      <c r="P58" s="3567"/>
    </row>
    <row r="59" spans="1:17" ht="12.75">
      <c r="A59" s="2009" t="s">
        <v>1540</v>
      </c>
      <c r="B59" s="3438" t="s">
        <v>1566</v>
      </c>
      <c r="C59" s="3477"/>
      <c r="D59" s="2485">
        <v>0</v>
      </c>
      <c r="E59" s="261" t="s">
        <v>1542</v>
      </c>
      <c r="F59" s="235"/>
      <c r="G59" s="2493"/>
      <c r="H59" s="2899"/>
      <c r="I59" s="2899"/>
      <c r="J59" s="2772"/>
      <c r="K59" s="3561">
        <f>IF(AND(K57="",K58=""),4,IF(项目基本情况!I6="上海银行",K58+1,K57+1))</f>
        <v>5</v>
      </c>
      <c r="L59" s="3561" t="s">
        <v>1567</v>
      </c>
      <c r="M59" s="2438" t="s">
        <v>1568</v>
      </c>
      <c r="N59" s="2439"/>
      <c r="O59" s="2440">
        <f>SUMIF(N54:N58,"&lt;9e307")</f>
        <v>0</v>
      </c>
      <c r="P59" s="2441"/>
      <c r="Q59" s="1234" t="e">
        <f>O59/N51</f>
        <v>#DIV/0!</v>
      </c>
    </row>
    <row r="60" spans="1:17" ht="24.75">
      <c r="A60" s="2009" t="s">
        <v>1551</v>
      </c>
      <c r="B60" s="3438" t="s">
        <v>1569</v>
      </c>
      <c r="C60" s="3476"/>
      <c r="D60" s="12">
        <f>IF(H60="转让取得",C83,C99)</f>
        <v>0</v>
      </c>
      <c r="E60" s="2019" t="s">
        <v>1564</v>
      </c>
      <c r="F60" s="235" t="s">
        <v>48</v>
      </c>
      <c r="G60" s="2493"/>
      <c r="H60" s="2495" t="s">
        <v>1570</v>
      </c>
      <c r="I60" s="2899"/>
      <c r="J60" s="2772"/>
      <c r="K60" s="3561"/>
      <c r="L60" s="3561"/>
      <c r="M60" s="2438" t="s">
        <v>1571</v>
      </c>
      <c r="N60" s="2442"/>
      <c r="O60" s="2443" t="str">
        <f>IF(H19="元",NUMBERSTRING(INT(O59),2)&amp;"元整",NUMBERSTRING(INT(O59*10000),2)&amp;"元整")</f>
        <v>零元整</v>
      </c>
      <c r="P60" s="2444"/>
    </row>
    <row r="61" spans="1:17" ht="26.25" thickBot="1">
      <c r="A61" s="3460" t="s">
        <v>1572</v>
      </c>
      <c r="B61" s="3461"/>
      <c r="C61" s="3461"/>
      <c r="D61" s="69">
        <f>IF(H61="非个人房产","——",IF(H61="个人住宅（满五唯一有凭证）",0,IF(H61="个人其他（无凭证）",ROUND(D47*F61,0),ROUND(C69*F61,0))))</f>
        <v>0</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59">
        <f>K59+1</f>
        <v>6</v>
      </c>
      <c r="L61" s="3561" t="s">
        <v>1573</v>
      </c>
      <c r="M61" s="2430" t="s">
        <v>1568</v>
      </c>
      <c r="N61" s="2445"/>
      <c r="O61" s="2446">
        <f>N51-O59</f>
        <v>0</v>
      </c>
      <c r="P61" s="2447"/>
    </row>
    <row r="62" spans="1:17" ht="12" customHeight="1">
      <c r="A62" s="1384"/>
      <c r="B62" s="2480"/>
      <c r="C62" s="2480"/>
      <c r="D62" s="2480"/>
      <c r="E62" s="1384"/>
      <c r="F62" s="2899"/>
      <c r="G62" s="2899"/>
      <c r="H62" s="2894"/>
      <c r="I62" s="905"/>
      <c r="J62" s="2772"/>
      <c r="K62" s="3560"/>
      <c r="L62" s="3561"/>
      <c r="M62" s="2438" t="s">
        <v>1571</v>
      </c>
      <c r="N62" s="2442"/>
      <c r="O62" s="2443" t="str">
        <f>IF(H19="元",NUMBERSTRING(INT(O61),2)&amp;"元整",NUMBERSTRING(INT(O61*10000),2)&amp;"元整")</f>
        <v>零元整</v>
      </c>
      <c r="P62" s="2444"/>
    </row>
    <row r="63" spans="1:17" ht="13.5" thickBot="1">
      <c r="A63" s="3562" t="s">
        <v>1574</v>
      </c>
      <c r="B63" s="3562"/>
      <c r="C63" s="3562"/>
      <c r="D63" s="3562"/>
      <c r="E63" s="3562"/>
      <c r="F63" s="2899"/>
      <c r="G63" s="2899"/>
      <c r="H63" s="2894"/>
      <c r="I63" s="905"/>
      <c r="J63" s="2764"/>
      <c r="K63" s="2430">
        <f>K61+1</f>
        <v>7</v>
      </c>
      <c r="L63" s="3561" t="s">
        <v>1575</v>
      </c>
      <c r="M63" s="3561"/>
      <c r="N63" s="2448"/>
      <c r="O63" s="2449">
        <f>IF(H19="元",ROUND(O61/项目基本情况!C12,0),ROUND(O61*10000/项目基本情况!C12,0))</f>
        <v>0</v>
      </c>
      <c r="P63" s="2450"/>
    </row>
    <row r="64" spans="1:17" ht="12.75">
      <c r="A64" s="3495" t="s">
        <v>1576</v>
      </c>
      <c r="B64" s="3496"/>
      <c r="C64" s="1534"/>
      <c r="D64" s="1534"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69" t="s">
        <v>1580</v>
      </c>
      <c r="L65" s="1235" t="s">
        <v>1581</v>
      </c>
      <c r="M65" s="1235">
        <f>IF(N51&gt;10000,N51*0.5%,IF(AND(N51&gt;1000,N51&lt;=10000),N51*1%,IF(AND(N51&gt;100,N51&lt;=1000),N51*3%,IF(AND(N51&gt;10,N51&lt;=100),N51*5%,N51*8%))))</f>
        <v>0</v>
      </c>
      <c r="N65" s="235">
        <f>ROUND(M65,1)</f>
        <v>0</v>
      </c>
      <c r="O65" s="2451"/>
    </row>
    <row r="66" spans="1:36" ht="12.75">
      <c r="A66" s="49" t="s">
        <v>71</v>
      </c>
      <c r="B66" s="50" t="s">
        <v>1582</v>
      </c>
      <c r="C66" s="2704">
        <f>D47</f>
        <v>0</v>
      </c>
      <c r="D66" s="50" t="s">
        <v>41</v>
      </c>
      <c r="E66" s="52"/>
      <c r="F66" s="2899"/>
      <c r="G66" s="2899"/>
      <c r="H66" s="2894"/>
      <c r="I66" s="905"/>
      <c r="J66" s="2764"/>
      <c r="K66" s="356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1" t="s">
        <v>1584</v>
      </c>
    </row>
    <row r="67" spans="1:36" ht="12.75">
      <c r="A67" s="49" t="s">
        <v>72</v>
      </c>
      <c r="B67" s="50" t="s">
        <v>1585</v>
      </c>
      <c r="C67" s="2705"/>
      <c r="D67" s="50"/>
      <c r="E67" s="52"/>
      <c r="F67" s="2899"/>
      <c r="G67" s="2899"/>
      <c r="H67" s="2894"/>
      <c r="I67" s="905"/>
      <c r="J67" s="2764"/>
      <c r="K67" s="3569"/>
      <c r="L67" s="1235" t="s">
        <v>1586</v>
      </c>
      <c r="M67" s="1235" t="b">
        <f>IF(N51&gt;1000,N51*0.1%,IF(AND(N51&gt;500,N51&lt;=1000),N51*0.5%,IF(AND(N51&gt;50,N51&lt;=500),N51*1%,IF(AND(N51&gt;1,N51&lt;=50),N51*1.5%))))</f>
        <v>0</v>
      </c>
      <c r="N67" s="235">
        <f t="shared" si="2"/>
        <v>0</v>
      </c>
      <c r="O67" s="2451" t="s">
        <v>1584</v>
      </c>
    </row>
    <row r="68" spans="1:36" ht="12.75">
      <c r="A68" s="53" t="s">
        <v>47</v>
      </c>
      <c r="B68" s="54" t="s">
        <v>1587</v>
      </c>
      <c r="C68" s="2706"/>
      <c r="D68" s="54" t="s">
        <v>41</v>
      </c>
      <c r="E68" s="1244" t="s">
        <v>1588</v>
      </c>
      <c r="F68" s="2899"/>
      <c r="G68" s="2899"/>
      <c r="H68" s="2894"/>
      <c r="I68" s="905"/>
      <c r="J68" s="2764"/>
      <c r="K68" s="3569"/>
      <c r="L68" s="1235" t="s">
        <v>1589</v>
      </c>
      <c r="M68" s="1235">
        <f>N51*0.5%</f>
        <v>0</v>
      </c>
      <c r="N68" s="235">
        <f>IF(M68&gt;0.5,0.5,ROUND(M68,0))</f>
        <v>0</v>
      </c>
      <c r="O68" s="2451" t="s">
        <v>1590</v>
      </c>
    </row>
    <row r="69" spans="1:36" ht="12.75">
      <c r="A69" s="53" t="s">
        <v>42</v>
      </c>
      <c r="B69" s="54" t="s">
        <v>1591</v>
      </c>
      <c r="C69" s="2707">
        <f>C65-C68</f>
        <v>0</v>
      </c>
      <c r="D69" s="50" t="s">
        <v>41</v>
      </c>
      <c r="E69" s="52"/>
      <c r="F69" s="2899"/>
      <c r="G69" s="2899"/>
      <c r="H69" s="2894"/>
      <c r="I69" s="905"/>
      <c r="J69" s="2764"/>
      <c r="K69" s="356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1"/>
    </row>
    <row r="70" spans="1:36" ht="13.5" thickBot="1">
      <c r="A70" s="55" t="s">
        <v>46</v>
      </c>
      <c r="B70" s="56" t="s">
        <v>1593</v>
      </c>
      <c r="C70" s="2708">
        <f>IF(C69&lt;=0,0,ROUND(C69*D70,0))</f>
        <v>0</v>
      </c>
      <c r="D70" s="2169">
        <f>'数据-取费表'!E29</f>
        <v>5.5000000000000007E-2</v>
      </c>
      <c r="E70" s="57"/>
      <c r="F70" s="2899"/>
      <c r="G70" s="2899"/>
      <c r="H70" s="2894"/>
      <c r="I70" s="905"/>
      <c r="J70" s="2764"/>
      <c r="K70" s="3569"/>
      <c r="L70" s="1235" t="s">
        <v>1594</v>
      </c>
      <c r="M70" s="1235">
        <f>IF(N51&gt;10000,N51*0.5%,IF(AND(N51&gt;5000,N51&lt;=10000),N51*1%,IF(AND(N51&gt;1000,N51&lt;=5000),N51*2%,IF(AND(N51&gt;200,N51&lt;=1000),N51*3%,N51*5%))))</f>
        <v>0</v>
      </c>
      <c r="N70" s="235">
        <f>ROUND(M70,1)</f>
        <v>0</v>
      </c>
      <c r="O70" s="2451"/>
    </row>
    <row r="71" spans="1:36" s="1392" customFormat="1" ht="7.5" customHeight="1">
      <c r="A71" s="1404"/>
      <c r="B71" s="1405"/>
      <c r="C71" s="2709"/>
      <c r="D71" s="2212"/>
      <c r="E71" s="1408"/>
      <c r="F71" s="1384"/>
      <c r="G71" s="1384"/>
      <c r="H71" s="1408"/>
      <c r="I71" s="2480"/>
      <c r="J71" s="2764"/>
      <c r="K71" s="3569"/>
      <c r="L71" s="1235" t="s">
        <v>1595</v>
      </c>
      <c r="M71" s="1235"/>
      <c r="N71" s="235">
        <f>ROUND(SUM(N65:N70),0)</f>
        <v>0</v>
      </c>
      <c r="O71" s="2452"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0" customFormat="1" ht="15" thickBot="1">
      <c r="A72" s="3556" t="s">
        <v>1596</v>
      </c>
      <c r="B72" s="3557"/>
      <c r="C72" s="3557"/>
      <c r="D72" s="3557"/>
      <c r="E72" s="3557"/>
      <c r="F72" s="3557"/>
      <c r="G72" s="3557"/>
      <c r="H72" s="3557"/>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95" t="s">
        <v>1576</v>
      </c>
      <c r="B73" s="3496"/>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ROUND(D47/(1+'数据-取费表'!F30),0)</f>
        <v>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C76+C80</f>
        <v>0</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38" t="s">
        <v>1606</v>
      </c>
      <c r="F78" s="3476"/>
      <c r="G78" s="3476"/>
      <c r="H78" s="3490"/>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ROUND(D47*D80/(1+'数据-取费表'!F30),0)</f>
        <v>0</v>
      </c>
      <c r="D80" s="2716">
        <f>'数据-取费表'!E31</f>
        <v>5.000000000000001E-3</v>
      </c>
      <c r="E80" s="3470" t="s">
        <v>1611</v>
      </c>
      <c r="F80" s="3471"/>
      <c r="G80" s="3471"/>
      <c r="H80" s="347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C74-C75</f>
        <v>0</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ROUND(IF(C81&lt;=0,0,IF(C82&gt;=200%,C81*60%-C75*35%,IF(C82&gt;=100%,C81*50%-C75*15%,IF(C82&gt;=50%,C81*40%-C75*5%,IF(C82&lt;50%,C81*30%,0))))),0)</f>
        <v>0</v>
      </c>
      <c r="D83" s="209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56" t="s">
        <v>1615</v>
      </c>
      <c r="B85" s="3557"/>
      <c r="C85" s="3557"/>
      <c r="D85" s="3557"/>
      <c r="E85" s="3557"/>
      <c r="F85" s="3557"/>
      <c r="G85" s="3557"/>
      <c r="H85" s="3557"/>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95" t="s">
        <v>1576</v>
      </c>
      <c r="B86" s="3496"/>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ROUND(D47/(1+'数据-取费表'!F30),0)</f>
        <v>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IF(H90="仅含出让金",C89+C92+C93+C94+C95+C96,C89+C93+C94+C95+C96)</f>
        <v>0</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31" t="s">
        <v>2493</v>
      </c>
      <c r="H92" s="3558"/>
      <c r="I92" s="608"/>
      <c r="J92" s="2796"/>
      <c r="K92" s="2891"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70" t="s">
        <v>1623</v>
      </c>
      <c r="F93" s="3471"/>
      <c r="G93" s="3471"/>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70" t="s">
        <v>1626</v>
      </c>
      <c r="F94" s="3471"/>
      <c r="G94" s="3471"/>
      <c r="H94" s="3472"/>
      <c r="I94" s="608"/>
      <c r="J94" s="2796"/>
      <c r="K94" s="2892"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ROUND(D47*D95/(1+'数据-取费表'!F30),0)</f>
        <v>0</v>
      </c>
      <c r="D95" s="2716">
        <f>'数据-取费表'!E31</f>
        <v>5.000000000000001E-3</v>
      </c>
      <c r="E95" s="3470" t="s">
        <v>1611</v>
      </c>
      <c r="F95" s="3471"/>
      <c r="G95" s="3471"/>
      <c r="H95" s="347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70" t="s">
        <v>1628</v>
      </c>
      <c r="F96" s="3471"/>
      <c r="G96" s="3471"/>
      <c r="H96" s="347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ROUND(C87-C88,0)</f>
        <v>0</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17" t="s">
        <v>1630</v>
      </c>
      <c r="B101" s="3518"/>
      <c r="C101" s="3518"/>
      <c r="D101" s="3519"/>
      <c r="E101" s="1388"/>
      <c r="F101" s="3553" t="s">
        <v>2535</v>
      </c>
      <c r="G101" s="3554"/>
      <c r="H101" s="3554"/>
      <c r="I101" s="3555"/>
      <c r="J101" s="2799"/>
    </row>
    <row r="102" spans="1:36" ht="15">
      <c r="A102" s="3529" t="s">
        <v>1632</v>
      </c>
      <c r="B102" s="3530"/>
      <c r="C102" s="2722">
        <f>C4</f>
        <v>0</v>
      </c>
      <c r="D102" s="2723">
        <f>D4</f>
        <v>0</v>
      </c>
      <c r="E102" s="1388"/>
      <c r="F102" s="3441" t="s">
        <v>2536</v>
      </c>
      <c r="G102" s="3442"/>
      <c r="H102" s="3447" t="s">
        <v>2537</v>
      </c>
      <c r="I102" s="3440"/>
      <c r="J102" s="2779"/>
    </row>
    <row r="103" spans="1:36" ht="12.75">
      <c r="A103" s="3550" t="s">
        <v>2531</v>
      </c>
      <c r="B103" s="2234" t="str">
        <f>IF(H19="元","总价（元）","总价（万元）")</f>
        <v>总价（元）</v>
      </c>
      <c r="C103" s="1235" t="e">
        <f ca="1">C19</f>
        <v>#REF!</v>
      </c>
      <c r="D103" s="2726" t="e">
        <f ca="1">D19</f>
        <v>#REF!</v>
      </c>
      <c r="E103" s="1388"/>
      <c r="F103" s="3551"/>
      <c r="G103" s="3552"/>
      <c r="H103" s="3439">
        <f>典型户型修正!B25</f>
        <v>0</v>
      </c>
      <c r="I103" s="3440"/>
      <c r="J103" s="2779"/>
    </row>
    <row r="104" spans="1:36" ht="12.75">
      <c r="A104" s="3550"/>
      <c r="B104" s="2234" t="s">
        <v>2532</v>
      </c>
      <c r="C104" s="2727" t="e">
        <f ca="1">C20</f>
        <v>#REF!</v>
      </c>
      <c r="D104" s="2728" t="e">
        <f ca="1">D20</f>
        <v>#REF!</v>
      </c>
      <c r="E104" s="1388"/>
      <c r="F104" s="3451" t="s">
        <v>2538</v>
      </c>
      <c r="G104" s="3452"/>
      <c r="H104" s="2736" t="str">
        <f>C110</f>
        <v>总价（元）</v>
      </c>
      <c r="I104" s="2737">
        <f>H125</f>
        <v>0</v>
      </c>
      <c r="J104" s="2779"/>
    </row>
    <row r="105" spans="1:36" ht="12.75">
      <c r="A105" s="3550" t="s">
        <v>2533</v>
      </c>
      <c r="B105" s="2172" t="str">
        <f>B103</f>
        <v>总价（元）</v>
      </c>
      <c r="C105" s="12" t="e">
        <f ca="1">ROUND(IF('数据-取费表'!B4="总价",G19,IF(H19="元",G20*'数据-取费表'!E5,G20*'数据-取费表'!E5/10000)),0)</f>
        <v>#REF!</v>
      </c>
      <c r="D105" s="2729"/>
      <c r="E105" s="1388"/>
      <c r="F105" s="3451"/>
      <c r="G105" s="3452"/>
      <c r="H105" s="2736" t="s">
        <v>2539</v>
      </c>
      <c r="I105" s="52" t="e">
        <f>I125</f>
        <v>#DIV/0!</v>
      </c>
      <c r="J105" s="2763"/>
    </row>
    <row r="106" spans="1:36" ht="12.75">
      <c r="A106" s="3550"/>
      <c r="B106" s="2234" t="s">
        <v>2532</v>
      </c>
      <c r="C106" s="1408" t="e">
        <f ca="1">ROUND(IF('数据-取费表'!B4="楼面单价",G20,IF(H19="元",G19/'数据-取费表'!E5,G19*10000/'数据-取费表'!E5)),0)</f>
        <v>#REF!</v>
      </c>
      <c r="D106" s="2729"/>
      <c r="E106" s="1388"/>
      <c r="F106" s="3451"/>
      <c r="G106" s="3452"/>
      <c r="H106" s="3511"/>
      <c r="I106" s="3512"/>
      <c r="J106" s="2780"/>
    </row>
    <row r="107" spans="1:36" ht="12.75">
      <c r="A107" s="3544" t="s">
        <v>2534</v>
      </c>
      <c r="B107" s="2730" t="str">
        <f>B103</f>
        <v>总价（元）</v>
      </c>
      <c r="C107" s="2731">
        <f>H125</f>
        <v>0</v>
      </c>
      <c r="D107" s="2732"/>
      <c r="E107" s="1388"/>
      <c r="F107" s="3515" t="s">
        <v>2540</v>
      </c>
      <c r="G107" s="3516"/>
      <c r="H107" s="2738" t="str">
        <f>C112</f>
        <v>总额（元）</v>
      </c>
      <c r="I107" s="2737">
        <f>SUMIF(I108:I110,"&lt;9E307")</f>
        <v>0</v>
      </c>
      <c r="J107" s="2779"/>
    </row>
    <row r="108" spans="1:36" ht="15" thickBot="1">
      <c r="A108" s="3510"/>
      <c r="B108" s="2733" t="s">
        <v>2532</v>
      </c>
      <c r="C108" s="2734" t="e">
        <f>I125</f>
        <v>#DIV/0!</v>
      </c>
      <c r="D108" s="2735"/>
      <c r="E108" s="1388"/>
      <c r="F108" s="3453" t="s">
        <v>2541</v>
      </c>
      <c r="G108" s="3454"/>
      <c r="H108" s="2738" t="str">
        <f>C113</f>
        <v>总额（元）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47" t="s">
        <v>1633</v>
      </c>
      <c r="B109" s="3548"/>
      <c r="C109" s="3548"/>
      <c r="D109" s="3549"/>
      <c r="E109" s="1388"/>
      <c r="F109" s="3453" t="s">
        <v>2542</v>
      </c>
      <c r="G109" s="3454"/>
      <c r="H109" s="2738" t="str">
        <f>C114</f>
        <v>总额（元）</v>
      </c>
      <c r="I109" s="52">
        <f>C39</f>
        <v>0</v>
      </c>
      <c r="J109" s="2763"/>
    </row>
    <row r="110" spans="1:36" ht="12.75">
      <c r="A110" s="3451" t="s">
        <v>2545</v>
      </c>
      <c r="B110" s="3452"/>
      <c r="C110" s="2736" t="str">
        <f>B103</f>
        <v>总价（元）</v>
      </c>
      <c r="D110" s="2737">
        <f>H125</f>
        <v>0</v>
      </c>
      <c r="E110" s="1388"/>
      <c r="F110" s="3453" t="s">
        <v>2543</v>
      </c>
      <c r="G110" s="3454"/>
      <c r="H110" s="2738" t="str">
        <f>C115</f>
        <v>总额（元）</v>
      </c>
      <c r="I110" s="52">
        <f>C40</f>
        <v>0</v>
      </c>
      <c r="J110" s="2763"/>
    </row>
    <row r="111" spans="1:36" ht="12.75">
      <c r="A111" s="3451"/>
      <c r="B111" s="3452"/>
      <c r="C111" s="2736" t="s">
        <v>2546</v>
      </c>
      <c r="D111" s="52" t="e">
        <f>I125</f>
        <v>#DIV/0!</v>
      </c>
      <c r="E111" s="1388"/>
      <c r="F111" s="3451"/>
      <c r="G111" s="3452"/>
      <c r="H111" s="3513"/>
      <c r="I111" s="3514"/>
      <c r="J111" s="2781"/>
    </row>
    <row r="112" spans="1:36" ht="28.5" customHeight="1">
      <c r="A112" s="3458" t="s">
        <v>2540</v>
      </c>
      <c r="B112" s="3459"/>
      <c r="C112" s="2738" t="str">
        <f>IF(H19="元","总额（元）","总额（万元）")</f>
        <v>总额（元）</v>
      </c>
      <c r="D112" s="2737">
        <f>IF(D38="正常操作",I108+I109+I110,I109+I110)</f>
        <v>0</v>
      </c>
      <c r="E112" s="1388"/>
      <c r="F112" s="3443" t="str">
        <f>IF(项目基本情况!F5="已注销","——","3.房地产抵押价值")</f>
        <v>3.房地产抵押价值</v>
      </c>
      <c r="G112" s="3444"/>
      <c r="H112" s="1408" t="str">
        <f>C116</f>
        <v>总价（元）</v>
      </c>
      <c r="I112" s="2737">
        <f>IF(F112="——","——",I104-I107)</f>
        <v>0</v>
      </c>
      <c r="J112" s="2779"/>
    </row>
    <row r="113" spans="1:27" ht="12.75">
      <c r="A113" s="3453" t="s">
        <v>2547</v>
      </c>
      <c r="B113" s="3454"/>
      <c r="C113" s="2738" t="str">
        <f>C112</f>
        <v>总额（元）</v>
      </c>
      <c r="D113" s="52">
        <f>IF(D38="同一抵押权人同一抵押物续贷",C38&amp;"（未扣减，详见特别提示）",C38)</f>
        <v>0</v>
      </c>
      <c r="E113" s="1388"/>
      <c r="F113" s="3542"/>
      <c r="G113" s="3543"/>
      <c r="H113" s="2736" t="s">
        <v>2539</v>
      </c>
      <c r="I113" s="2740" t="e">
        <f>D117</f>
        <v>#DIV/0!</v>
      </c>
      <c r="J113" s="2782"/>
    </row>
    <row r="114" spans="1:27" ht="12.75">
      <c r="A114" s="3453" t="s">
        <v>2548</v>
      </c>
      <c r="B114" s="3454"/>
      <c r="C114" s="2738" t="str">
        <f>C112</f>
        <v>总额（元）</v>
      </c>
      <c r="D114" s="52">
        <f>C39</f>
        <v>0</v>
      </c>
      <c r="E114" s="1388"/>
      <c r="F114" s="3443" t="str">
        <f>IF(项目基本情况!F5="已注销及未注销","4.抵押担保权已注销时的房地产抵押价值",IF(项目基本情况!F5="已注销","3.抵押担保权已注销时的房地产抵押价值","——"))</f>
        <v>——</v>
      </c>
      <c r="G114" s="3444"/>
      <c r="H114" s="1408" t="str">
        <f>C118</f>
        <v>总价（元）</v>
      </c>
      <c r="I114" s="2737" t="str">
        <f>IF(F114="——","——",I104-I109-I110)</f>
        <v>——</v>
      </c>
      <c r="J114" s="2779"/>
    </row>
    <row r="115" spans="1:27" ht="12.75">
      <c r="A115" s="3453" t="s">
        <v>2549</v>
      </c>
      <c r="B115" s="3454"/>
      <c r="C115" s="2738" t="str">
        <f>C112</f>
        <v>总额（元）</v>
      </c>
      <c r="D115" s="52">
        <f>C40</f>
        <v>0</v>
      </c>
      <c r="E115" s="1388"/>
      <c r="F115" s="3542"/>
      <c r="G115" s="3543"/>
      <c r="H115" s="2736" t="s">
        <v>2539</v>
      </c>
      <c r="I115" s="52" t="str">
        <f>D119</f>
        <v>——</v>
      </c>
      <c r="J115" s="2763"/>
    </row>
    <row r="116" spans="1:27" ht="12.75">
      <c r="A116" s="3451" t="str">
        <f>IF(项目基本情况!F5="已注销","——","3.房地产抵押价值")</f>
        <v>3.房地产抵押价值</v>
      </c>
      <c r="B116" s="3452"/>
      <c r="C116" s="2736" t="str">
        <f>B103</f>
        <v>总价（元）</v>
      </c>
      <c r="D116" s="2737">
        <f>IF(A116="——","——",D110-D112)</f>
        <v>0</v>
      </c>
      <c r="E116" s="1388"/>
      <c r="F116" s="3443" t="str">
        <f>IF(项目基本情况!G5="抵押净值",IF(OR(项目基本情况!F5="已注销",项目基本情况!F5="房地产抵押价值"),"4.抵押净值","5.抵押净值"),"——")</f>
        <v>——</v>
      </c>
      <c r="G116" s="3444"/>
      <c r="H116" s="2736" t="str">
        <f>C120</f>
        <v>总价（元）</v>
      </c>
      <c r="I116" s="2737" t="str">
        <f>IF(F116="——","——",O61)</f>
        <v>——</v>
      </c>
      <c r="J116" s="2779"/>
    </row>
    <row r="117" spans="1:27" ht="13.5" thickBot="1">
      <c r="A117" s="3451"/>
      <c r="B117" s="3452"/>
      <c r="C117" s="2736" t="s">
        <v>2546</v>
      </c>
      <c r="D117" s="52" t="e">
        <f>ROUND(IF(D116=D110,D111,IF(H19="元",D116/B125,D116*10000/B125)),0)</f>
        <v>#DIV/0!</v>
      </c>
      <c r="E117" s="1388"/>
      <c r="F117" s="3445"/>
      <c r="G117" s="3446"/>
      <c r="H117" s="2741" t="s">
        <v>2539</v>
      </c>
      <c r="I117" s="2725" t="str">
        <f>D121</f>
        <v>——</v>
      </c>
      <c r="J117" s="2763"/>
    </row>
    <row r="118" spans="1:27" ht="15.75">
      <c r="A118" s="3451" t="str">
        <f>IF(项目基本情况!F5="已注销及未注销","4.抵押担保权已注销时的房地产抵押价值",IF(项目基本情况!F5="已注销","3.抵押担保权已注销时的房地产抵押价值","——"))</f>
        <v>——</v>
      </c>
      <c r="B118" s="3452"/>
      <c r="C118" s="2736" t="str">
        <f>B103</f>
        <v>总价（元）</v>
      </c>
      <c r="D118" s="2737" t="str">
        <f>IF(A118="——","——",D110-D114-D115)</f>
        <v>——</v>
      </c>
      <c r="E118" s="1388"/>
      <c r="F118" s="3537"/>
      <c r="G118" s="3537"/>
      <c r="H118" s="3501"/>
      <c r="I118" s="3501"/>
      <c r="J118" s="2783"/>
      <c r="O118" s="32"/>
      <c r="P118" s="32"/>
    </row>
    <row r="119" spans="1:27" s="1236" customFormat="1" ht="12.75">
      <c r="A119" s="3451"/>
      <c r="B119" s="3452"/>
      <c r="C119" s="2736" t="s">
        <v>2546</v>
      </c>
      <c r="D119" s="52" t="str">
        <f>IF(A118="——","——",IF(H19="元",ROUND(D118/B125,0),ROUND(D118*10000/B125,0)))</f>
        <v>——</v>
      </c>
      <c r="E119" s="1388"/>
      <c r="F119" s="3546" t="str">
        <f>IF(B33="总价","（以上估价结果中楼面单价为总价除以建筑面积得出）","（以上估价结果中总价为楼面单价乘以建筑面积得出）")</f>
        <v>（以上估价结果中总价为楼面单价乘以建筑面积得出）</v>
      </c>
      <c r="G119" s="3546"/>
      <c r="H119" s="3546"/>
      <c r="I119" s="3546"/>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1" t="str">
        <f>IF(项目基本情况!G5="抵押净值",IF(OR(项目基本情况!F5="已注销",项目基本情况!F5="房地产抵押价值"),"4.抵押净值","5.抵押净值"),"——")</f>
        <v>——</v>
      </c>
      <c r="B120" s="3452"/>
      <c r="C120" s="2736" t="str">
        <f>B103</f>
        <v>总价（元）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6"/>
      <c r="B121" s="3457"/>
      <c r="C121" s="2741" t="s">
        <v>2546</v>
      </c>
      <c r="D121" s="2725" t="str">
        <f>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2" t="s">
        <v>1672</v>
      </c>
      <c r="B122" s="3503"/>
      <c r="C122" s="3503"/>
      <c r="D122" s="3503"/>
      <c r="E122" s="3503"/>
      <c r="F122" s="3503"/>
      <c r="G122" s="3503"/>
      <c r="H122" s="3503"/>
      <c r="I122" s="3503"/>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6" t="s">
        <v>2550</v>
      </c>
      <c r="B123" s="3462" t="s">
        <v>2551</v>
      </c>
      <c r="C123" s="3462" t="s">
        <v>2557</v>
      </c>
      <c r="D123" s="3524" t="s">
        <v>2552</v>
      </c>
      <c r="E123" s="3525"/>
      <c r="F123" s="3437" t="s">
        <v>2558</v>
      </c>
      <c r="G123" s="3437"/>
      <c r="H123" s="3437" t="s">
        <v>2553</v>
      </c>
      <c r="I123" s="3523"/>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6"/>
      <c r="B124" s="3463"/>
      <c r="C124" s="3463"/>
      <c r="D124" s="2019" t="s">
        <v>2554</v>
      </c>
      <c r="E124" s="2019" t="s">
        <v>2559</v>
      </c>
      <c r="F124" s="2019" t="s">
        <v>2554</v>
      </c>
      <c r="G124" s="2019" t="s">
        <v>2555</v>
      </c>
      <c r="H124" s="2019"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9" t="str">
        <f>项目基本情况!I1</f>
        <v>北京市房地产</v>
      </c>
      <c r="B125" s="2019">
        <f>典型户型修正!B25</f>
        <v>0</v>
      </c>
      <c r="C125" s="1383"/>
      <c r="D125" s="2019">
        <f>C36</f>
        <v>0</v>
      </c>
      <c r="E125" s="2019" t="e">
        <f>ROUND(IF(H19="元",D125/B125,D125*10000/B125),0)</f>
        <v>#DIV/0!</v>
      </c>
      <c r="F125" s="2019">
        <f>C37</f>
        <v>0</v>
      </c>
      <c r="G125" s="2019" t="e">
        <f>ROUND(IF(H19="元",F125/B125,F125*10000/B125),0)</f>
        <v>#DIV/0!</v>
      </c>
      <c r="H125" s="2019">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6" t="s">
        <v>2556</v>
      </c>
      <c r="B126" s="3437"/>
      <c r="C126" s="3437"/>
      <c r="D126" s="3464" t="str">
        <f>IF(H19="元",NUMBERSTRING(INT(D125),2)&amp;"元整",NUMBERSTRING(INT(D125*10000),2)&amp;"元整")</f>
        <v>零元整</v>
      </c>
      <c r="E126" s="3507"/>
      <c r="F126" s="3464" t="str">
        <f>IF(H19="元",NUMBERSTRING(INT(F125),2)&amp;"元整",NUMBERSTRING(INT(F125*10000),2)&amp;"元整")</f>
        <v>零元整</v>
      </c>
      <c r="G126" s="3507"/>
      <c r="H126" s="3464" t="str">
        <f>IF(H19="元",NUMBERSTRING(INT(H125),2)&amp;"元整",NUMBERSTRING(INT(H125*10000),2)&amp;"元整")</f>
        <v>零元整</v>
      </c>
      <c r="I126" s="3465"/>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41" t="str">
        <f>IF(项目基本情况!D5="房地产市场价值","——",MID(A112,3,LEN(A112)-2))</f>
        <v>估价师所知悉的法定优先受偿款</v>
      </c>
      <c r="B127" s="3447"/>
      <c r="C127" s="3442"/>
      <c r="D127" s="3439">
        <f>I107</f>
        <v>0</v>
      </c>
      <c r="E127" s="3447"/>
      <c r="F127" s="3447"/>
      <c r="G127" s="3447"/>
      <c r="H127" s="3447"/>
      <c r="I127" s="3440"/>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8" t="s">
        <v>2556</v>
      </c>
      <c r="B128" s="3476"/>
      <c r="C128" s="3477"/>
      <c r="D128" s="3448">
        <f>H111</f>
        <v>0</v>
      </c>
      <c r="E128" s="3449"/>
      <c r="F128" s="3449"/>
      <c r="G128" s="3449"/>
      <c r="H128" s="3449"/>
      <c r="I128" s="3450"/>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1" t="str">
        <f>IF(项目基本情况!D5="房地产市场价值","——",MID(A116,3,LEN(A116)-2))</f>
        <v>房地产抵押价值</v>
      </c>
      <c r="B129" s="3452"/>
      <c r="C129" s="3452"/>
      <c r="D129" s="3439">
        <f>I112</f>
        <v>0</v>
      </c>
      <c r="E129" s="3447"/>
      <c r="F129" s="3447"/>
      <c r="G129" s="3447"/>
      <c r="H129" s="3447"/>
      <c r="I129" s="3440"/>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6" t="s">
        <v>2556</v>
      </c>
      <c r="B130" s="3437"/>
      <c r="C130" s="3437"/>
      <c r="D130" s="3448" t="e">
        <f>I113</f>
        <v>#DIV/0!</v>
      </c>
      <c r="E130" s="3449"/>
      <c r="F130" s="3449"/>
      <c r="G130" s="3449"/>
      <c r="H130" s="3449"/>
      <c r="I130" s="3450"/>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1" t="str">
        <f>IF(项目基本情况!D5="房地产市场价值","——",MID(A118,3,LEN(A118)-2))</f>
        <v/>
      </c>
      <c r="B131" s="3452"/>
      <c r="C131" s="3452"/>
      <c r="D131" s="3484" t="str">
        <f>I114</f>
        <v>——</v>
      </c>
      <c r="E131" s="3485"/>
      <c r="F131" s="3485"/>
      <c r="G131" s="3485"/>
      <c r="H131" s="3485"/>
      <c r="I131" s="3536"/>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6" t="s">
        <v>2556</v>
      </c>
      <c r="B132" s="3437"/>
      <c r="C132" s="3438"/>
      <c r="D132" s="3500" t="str">
        <f>I115</f>
        <v>——</v>
      </c>
      <c r="E132" s="3500"/>
      <c r="F132" s="3500"/>
      <c r="G132" s="3500"/>
      <c r="H132" s="3500"/>
      <c r="I132" s="3500"/>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1" t="str">
        <f>IF(项目基本情况!D5="房地产市场价值","——",MID(F116,3,LEN(F116)-2))</f>
        <v/>
      </c>
      <c r="B133" s="3452"/>
      <c r="C133" s="3439"/>
      <c r="D133" s="3455" t="str">
        <f>I116</f>
        <v>——</v>
      </c>
      <c r="E133" s="3455"/>
      <c r="F133" s="3455"/>
      <c r="G133" s="3455"/>
      <c r="H133" s="3455"/>
      <c r="I133" s="3455"/>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60" t="s">
        <v>2556</v>
      </c>
      <c r="B134" s="3461"/>
      <c r="C134" s="3461"/>
      <c r="D134" s="3466">
        <f>H118</f>
        <v>0</v>
      </c>
      <c r="E134" s="3467"/>
      <c r="F134" s="3467"/>
      <c r="G134" s="3467"/>
      <c r="H134" s="3467"/>
      <c r="I134" s="3468"/>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8" t="str">
        <f>IF(H19="元","单位：平方米、元、元/平方米（币种：人民币）","单位：平方米、万元、元/平方米（币种：人民币）")</f>
        <v>单位：平方米、元、元/平方米（币种：人民币）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34" t="str">
        <f>IF(B33="总价","（以上估价结果中楼面单价为总价除以建筑面积得出）","（以上估价结果中总价为楼面单价乘以建筑面积得出）")</f>
        <v>（以上估价结果中总价为楼面单价乘以建筑面积得出）</v>
      </c>
      <c r="B136" s="3434"/>
      <c r="C136" s="3434"/>
      <c r="D136" s="3434"/>
      <c r="E136" s="3434"/>
      <c r="F136" s="3434"/>
      <c r="G136" s="3434"/>
      <c r="H136" s="3434"/>
      <c r="I136" s="3434"/>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1979905</v>
      </c>
      <c r="C2" s="79" t="str">
        <f>'数据-取费表'!B3</f>
        <v>元</v>
      </c>
      <c r="D2" s="1443" t="s">
        <v>1001</v>
      </c>
      <c r="E2" s="1109" t="e">
        <f ca="1">SUMIF(INDIRECT("'"&amp;G2&amp;"'"&amp;"!A:A"),"承租人权益价值",INDIRECT("'"&amp;G2&amp;"'"&amp;"!c:c"))</f>
        <v>#REF!</v>
      </c>
      <c r="F2" s="1444"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23478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5"/>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84.33</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16866</v>
      </c>
      <c r="D19" s="1104">
        <f>IF(B1="仅计算典型户型",'数据-取费表'!E5,'数据-取费表'!B5)</f>
        <v>84.33</v>
      </c>
      <c r="E19" s="111">
        <f>'数据-取费表'!E15</f>
        <v>200</v>
      </c>
      <c r="F19" s="112"/>
      <c r="G19" s="1445"/>
    </row>
    <row r="20" spans="1:123" s="91" customFormat="1" ht="13.5" customHeight="1">
      <c r="A20" s="120" t="s">
        <v>1702</v>
      </c>
      <c r="B20" s="89" t="s">
        <v>1703</v>
      </c>
      <c r="C20" s="99">
        <f>ROUND((C5+C19)*F20,0)</f>
        <v>20947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89604</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1429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869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213663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213663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1486324</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413428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379485</v>
      </c>
      <c r="D34" s="1096"/>
      <c r="E34" s="115"/>
      <c r="F34" s="1107" t="str">
        <f>IF('数据-取费表'!B26=0,"",'数据-取费表'!E20)</f>
        <v/>
      </c>
      <c r="G34" s="95"/>
    </row>
    <row r="35" spans="1:123" ht="13.5" customHeight="1">
      <c r="A35" s="92" t="s">
        <v>1685</v>
      </c>
      <c r="B35" s="93" t="s">
        <v>1734</v>
      </c>
      <c r="C35" s="115">
        <f>ROUND(C34*F35,0)</f>
        <v>11385</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16866</v>
      </c>
      <c r="D37" s="1096">
        <f>IF(B1="仅计算典型户型",'数据-取费表'!E5,'数据-取费表'!B5)</f>
        <v>84.33</v>
      </c>
      <c r="E37" s="115">
        <f>'数据-取费表'!E23</f>
        <v>200</v>
      </c>
      <c r="F37" s="1108"/>
      <c r="G37" s="124" t="s">
        <v>1739</v>
      </c>
    </row>
    <row r="38" spans="1:123" ht="13.5" customHeight="1">
      <c r="A38" s="92" t="s">
        <v>1740</v>
      </c>
      <c r="B38" s="93" t="s">
        <v>1741</v>
      </c>
      <c r="C38" s="115">
        <f>ROUND(C34*F38,0)</f>
        <v>5692</v>
      </c>
      <c r="D38" s="115"/>
      <c r="E38" s="115"/>
      <c r="F38" s="1108">
        <f>'数据-取费表'!E24</f>
        <v>1.4999999999999999E-2</v>
      </c>
      <c r="G38" s="95" t="s">
        <v>1735</v>
      </c>
    </row>
    <row r="39" spans="1:123" s="91" customFormat="1" ht="13.5" customHeight="1">
      <c r="A39" s="120" t="s">
        <v>1700</v>
      </c>
      <c r="B39" s="89" t="s">
        <v>1703</v>
      </c>
      <c r="C39" s="99">
        <f>ROUND(C33*F20,0)</f>
        <v>8269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17500</v>
      </c>
      <c r="D41" s="101">
        <f ca="1">C44</f>
        <v>8.0000000000000004E-4</v>
      </c>
      <c r="E41" s="102" t="s">
        <v>1743</v>
      </c>
      <c r="F41" s="2805">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17157</v>
      </c>
      <c r="D42" s="104"/>
      <c r="E42" s="104"/>
      <c r="F42" s="105"/>
      <c r="G42" s="3573" t="s">
        <v>1745</v>
      </c>
    </row>
    <row r="43" spans="1:123" ht="13.5" customHeight="1">
      <c r="A43" s="92" t="s">
        <v>1685</v>
      </c>
      <c r="B43" s="93" t="s">
        <v>1714</v>
      </c>
      <c r="C43" s="104">
        <f ca="1">ROUND(IF('数据-取费表'!B24&lt;=1,C39*F22*'数据-取费表'!B23/2,C39*(POWER((1+F22),'数据-取费表'!B23/2)-1)),0)</f>
        <v>343</v>
      </c>
      <c r="D43" s="104"/>
      <c r="E43" s="104"/>
      <c r="F43" s="105"/>
      <c r="G43" s="3574"/>
    </row>
    <row r="44" spans="1:123" ht="13.5" customHeight="1">
      <c r="A44" s="92" t="s">
        <v>1687</v>
      </c>
      <c r="B44" s="93" t="s">
        <v>1716</v>
      </c>
      <c r="C44" s="104">
        <f ca="1">ROUND(IF('数据-取费表'!B24&lt;=1,C40*F22*'数据-取费表'!B23/2,C40*(POWER((1+F22),'数据-取费表'!B23/2)-1)),4)</f>
        <v>8.0000000000000004E-4</v>
      </c>
      <c r="D44" s="104"/>
      <c r="E44" s="104"/>
      <c r="F44" s="105"/>
      <c r="G44" s="3575"/>
    </row>
    <row r="45" spans="1:123" s="91" customFormat="1" ht="13.5" customHeight="1">
      <c r="A45" s="120" t="s">
        <v>1709</v>
      </c>
      <c r="B45" s="110" t="s">
        <v>1721</v>
      </c>
      <c r="C45" s="111">
        <f>C46</f>
        <v>84339</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84339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567334</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493581</v>
      </c>
      <c r="D51" s="99"/>
      <c r="E51" s="99"/>
      <c r="F51" s="126"/>
      <c r="G51" s="100" t="s">
        <v>1759</v>
      </c>
    </row>
    <row r="52" spans="1:123" s="88" customFormat="1" ht="16.5" thickBot="1">
      <c r="A52" s="127" t="s">
        <v>1760</v>
      </c>
      <c r="B52" s="128"/>
      <c r="C52" s="129">
        <f ca="1">C31+C51</f>
        <v>1979905</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0.249</v>
      </c>
    </row>
    <row r="57" spans="1:123">
      <c r="B57" s="135" t="s">
        <v>1763</v>
      </c>
      <c r="C57" s="137">
        <f ca="1">1-C56</f>
        <v>0.751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C37" sqref="C37:J43"/>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t="s">
        <v>2505</v>
      </c>
      <c r="D1" s="2387"/>
      <c r="E1" s="1568" t="s">
        <v>2503</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f>IF(D2="——",IF(C2="元",ROUND(C49*D3,0),ROUND(C49*D3/10000,0)),IF(C2="元",ROUND(C49*D3,0),ROUND(C49*D3/10000,0))-E2)</f>
        <v>2620302</v>
      </c>
      <c r="C2" s="1578" t="str">
        <f>'数据-取费表'!B3</f>
        <v>元</v>
      </c>
      <c r="D2" s="1579" t="s">
        <v>1001</v>
      </c>
      <c r="E2" s="2388" t="e">
        <f ca="1">SUMIF(INDIRECT("'"&amp;G2&amp;"'"&amp;"!A:A"),"承租人权益价值",INDIRECT("'"&amp;G2&amp;"'"&amp;"!c:c"))</f>
        <v>#REF!</v>
      </c>
      <c r="F2" s="1581" t="str">
        <f>C2</f>
        <v>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f>ROUND(IF(D2="——",C49,IF(C2="万元",B2*10000/D3,B2/D3)),0)</f>
        <v>31072</v>
      </c>
      <c r="C3" s="1587" t="s">
        <v>2005</v>
      </c>
      <c r="D3" s="1587">
        <f>IF(C1="仅计算典型户型",'数据-取费表'!E5,'数据-取费表'!B5)</f>
        <v>84.33</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2006</v>
      </c>
      <c r="B4" s="1591"/>
      <c r="C4" s="3602" t="s">
        <v>2007</v>
      </c>
      <c r="D4" s="3603"/>
      <c r="E4" s="3604" t="s">
        <v>2008</v>
      </c>
      <c r="F4" s="3605"/>
      <c r="G4" s="3602" t="s">
        <v>2009</v>
      </c>
      <c r="H4" s="3603"/>
      <c r="I4" s="3602" t="s">
        <v>2010</v>
      </c>
      <c r="J4" s="3603"/>
      <c r="K4" s="1893" t="s">
        <v>2011</v>
      </c>
      <c r="L4" s="2914"/>
      <c r="M4" s="2915"/>
      <c r="N4" s="2915"/>
      <c r="O4" s="2915"/>
      <c r="P4" s="3606" t="s">
        <v>2012</v>
      </c>
      <c r="Q4" s="3607"/>
      <c r="R4" s="3588" t="s">
        <v>2008</v>
      </c>
      <c r="S4" s="3589"/>
      <c r="T4" s="3588" t="s">
        <v>2009</v>
      </c>
      <c r="U4" s="3589"/>
      <c r="V4" s="3612" t="s">
        <v>2010</v>
      </c>
      <c r="W4" s="3612"/>
      <c r="X4" s="2002"/>
      <c r="Y4" s="3588" t="s">
        <v>2012</v>
      </c>
      <c r="Z4" s="3589"/>
      <c r="AA4" s="3599" t="s">
        <v>2008</v>
      </c>
      <c r="AB4" s="3612" t="s">
        <v>2009</v>
      </c>
      <c r="AC4" s="3599" t="s">
        <v>2010</v>
      </c>
    </row>
    <row r="5" spans="1:29" ht="15">
      <c r="A5" s="1595"/>
      <c r="B5" s="1596"/>
      <c r="C5" s="3615" t="s">
        <v>2013</v>
      </c>
      <c r="D5" s="3616"/>
      <c r="E5" s="3613" t="s">
        <v>3077</v>
      </c>
      <c r="F5" s="3614"/>
      <c r="G5" s="3619" t="s">
        <v>3078</v>
      </c>
      <c r="H5" s="3616"/>
      <c r="I5" s="3619" t="s">
        <v>3079</v>
      </c>
      <c r="J5" s="3616"/>
      <c r="K5" s="1893"/>
      <c r="L5" s="2914"/>
      <c r="M5" s="2915"/>
      <c r="N5" s="2915"/>
      <c r="O5" s="2915"/>
      <c r="P5" s="3608"/>
      <c r="Q5" s="3609"/>
      <c r="R5" s="3590"/>
      <c r="S5" s="3591"/>
      <c r="T5" s="3590"/>
      <c r="U5" s="3591"/>
      <c r="V5" s="3612"/>
      <c r="W5" s="3612"/>
      <c r="X5" s="2002"/>
      <c r="Y5" s="3590"/>
      <c r="Z5" s="3591"/>
      <c r="AA5" s="3600"/>
      <c r="AB5" s="3612"/>
      <c r="AC5" s="3600"/>
    </row>
    <row r="6" spans="1:29" ht="15.75" thickBot="1">
      <c r="A6" s="1598"/>
      <c r="B6" s="1599"/>
      <c r="C6" s="3617" t="s">
        <v>2017</v>
      </c>
      <c r="D6" s="3618"/>
      <c r="E6" s="3620" t="s">
        <v>2017</v>
      </c>
      <c r="F6" s="3621"/>
      <c r="G6" s="3617" t="s">
        <v>2017</v>
      </c>
      <c r="H6" s="3618"/>
      <c r="I6" s="3617" t="s">
        <v>2017</v>
      </c>
      <c r="J6" s="3618"/>
      <c r="K6" s="1893" t="s">
        <v>2018</v>
      </c>
      <c r="L6" s="2914"/>
      <c r="M6" s="2915"/>
      <c r="N6" s="2915"/>
      <c r="O6" s="2915"/>
      <c r="P6" s="3610"/>
      <c r="Q6" s="3611"/>
      <c r="R6" s="3590"/>
      <c r="S6" s="3591"/>
      <c r="T6" s="3592"/>
      <c r="U6" s="3593"/>
      <c r="V6" s="3612"/>
      <c r="W6" s="3612"/>
      <c r="X6" s="2002"/>
      <c r="Y6" s="3592"/>
      <c r="Z6" s="3593"/>
      <c r="AA6" s="3601"/>
      <c r="AB6" s="3612"/>
      <c r="AC6" s="3601"/>
    </row>
    <row r="7" spans="1:29" s="1612" customFormat="1" ht="15.75" thickBot="1">
      <c r="A7" s="1600" t="s">
        <v>2019</v>
      </c>
      <c r="B7" s="1601"/>
      <c r="C7" s="1602">
        <f>'数据-取费表'!B2</f>
        <v>44806</v>
      </c>
      <c r="D7" s="1603">
        <v>100</v>
      </c>
      <c r="E7" s="1604">
        <v>44805</v>
      </c>
      <c r="F7" s="1605">
        <f>SUMIF(58:58,YEAR(E7)&amp;"-"&amp;MONTH(E7),59:59)</f>
        <v>100</v>
      </c>
      <c r="G7" s="1604">
        <v>44805</v>
      </c>
      <c r="H7" s="1603">
        <f>SUMIF(58:58,YEAR(G7)&amp;"-"&amp;MONTH(G7),59:59)</f>
        <v>100</v>
      </c>
      <c r="I7" s="1604">
        <v>44805</v>
      </c>
      <c r="J7" s="1603">
        <f>SUMIF(58:58,YEAR(I7)&amp;"-"&amp;MONTH(I7),59:59)</f>
        <v>100</v>
      </c>
      <c r="K7" s="1895"/>
      <c r="L7" s="2914"/>
      <c r="M7" s="2887"/>
      <c r="N7" s="2887"/>
      <c r="O7" s="2887"/>
      <c r="P7" s="3586" t="s">
        <v>2020</v>
      </c>
      <c r="Q7" s="3594"/>
      <c r="R7" s="1608" t="s">
        <v>25</v>
      </c>
      <c r="S7" s="1609">
        <f t="shared" ref="S7:S15" si="0">F7</f>
        <v>100</v>
      </c>
      <c r="T7" s="1608" t="s">
        <v>25</v>
      </c>
      <c r="U7" s="1609">
        <f t="shared" ref="U7:U15" si="1">H7</f>
        <v>100</v>
      </c>
      <c r="V7" s="1608" t="s">
        <v>25</v>
      </c>
      <c r="W7" s="1609">
        <f t="shared" ref="W7:W15" si="2">J7</f>
        <v>100</v>
      </c>
      <c r="X7" s="1610"/>
      <c r="Y7" s="3586" t="s">
        <v>2020</v>
      </c>
      <c r="Z7" s="3587"/>
      <c r="AA7" s="1611">
        <f>D7/F7</f>
        <v>1</v>
      </c>
      <c r="AB7" s="1611">
        <f>D7/H7</f>
        <v>1</v>
      </c>
      <c r="AC7" s="1611">
        <f>D7/J7</f>
        <v>1</v>
      </c>
    </row>
    <row r="8" spans="1:29" s="1612" customFormat="1" ht="15.75" thickBot="1">
      <c r="A8" s="1600" t="s">
        <v>2021</v>
      </c>
      <c r="B8" s="1601"/>
      <c r="C8" s="1613" t="s">
        <v>2022</v>
      </c>
      <c r="D8" s="1603">
        <v>100</v>
      </c>
      <c r="E8" s="1613" t="s">
        <v>2638</v>
      </c>
      <c r="F8" s="1605">
        <f>SUMIF(61:61,E8,62:62)-SUMIF(61:61,C8,62:62)+100</f>
        <v>100</v>
      </c>
      <c r="G8" s="1613" t="s">
        <v>2638</v>
      </c>
      <c r="H8" s="1603">
        <f>SUMIF(61:61,G8,62:62)-SUMIF(61:61,C8,62:62)+100</f>
        <v>100</v>
      </c>
      <c r="I8" s="1613" t="s">
        <v>2638</v>
      </c>
      <c r="J8" s="1603">
        <f>SUMIF(61:61,I8,62:62)-SUMIF(61:61,C8,62:62)+100</f>
        <v>100</v>
      </c>
      <c r="K8" s="1895"/>
      <c r="L8" s="2914"/>
      <c r="M8" s="2887"/>
      <c r="N8" s="2887"/>
      <c r="O8" s="2887"/>
      <c r="P8" s="3586" t="s">
        <v>2023</v>
      </c>
      <c r="Q8" s="3587"/>
      <c r="R8" s="1608" t="s">
        <v>25</v>
      </c>
      <c r="S8" s="1609">
        <f t="shared" si="0"/>
        <v>100</v>
      </c>
      <c r="T8" s="1608" t="s">
        <v>25</v>
      </c>
      <c r="U8" s="1609">
        <f t="shared" si="1"/>
        <v>100</v>
      </c>
      <c r="V8" s="1608" t="s">
        <v>25</v>
      </c>
      <c r="W8" s="1609">
        <f t="shared" si="2"/>
        <v>100</v>
      </c>
      <c r="X8" s="1610"/>
      <c r="Y8" s="3586" t="s">
        <v>2023</v>
      </c>
      <c r="Z8" s="3587"/>
      <c r="AA8" s="1611">
        <f t="shared" ref="AA8:AA46" si="3">D8/F8</f>
        <v>1</v>
      </c>
      <c r="AB8" s="1611">
        <f t="shared" ref="AB8:AB46" si="4">D8/H8</f>
        <v>1</v>
      </c>
      <c r="AC8" s="1611">
        <f t="shared" ref="AC8:AC46" si="5">D8/J8</f>
        <v>1</v>
      </c>
    </row>
    <row r="9" spans="1:29" s="1612" customFormat="1">
      <c r="A9" s="1994" t="s">
        <v>2024</v>
      </c>
      <c r="B9" s="1615" t="s">
        <v>2025</v>
      </c>
      <c r="C9" s="3331" t="s">
        <v>3058</v>
      </c>
      <c r="D9" s="1617">
        <v>100</v>
      </c>
      <c r="E9" s="1618" t="s">
        <v>3039</v>
      </c>
      <c r="F9" s="1619">
        <f>SUMIF(63:63,E9,64:64)-SUMIF(63:63,C9,64:64)+100</f>
        <v>100</v>
      </c>
      <c r="G9" s="1618" t="s">
        <v>3039</v>
      </c>
      <c r="H9" s="1617">
        <f>SUMIF(63:63,G9,64:64)-SUMIF(63:63,C9,64:64)+100</f>
        <v>100</v>
      </c>
      <c r="I9" s="1618" t="s">
        <v>3039</v>
      </c>
      <c r="J9" s="1617">
        <f>SUMIF(63:63,I9,64:64)-SUMIF(63:63,C9,64:64)+100</f>
        <v>100</v>
      </c>
      <c r="K9" s="1895"/>
      <c r="L9" s="2914"/>
      <c r="M9" s="2887"/>
      <c r="N9" s="2887"/>
      <c r="O9" s="2887"/>
      <c r="P9" s="3622" t="s">
        <v>2026</v>
      </c>
      <c r="Q9" s="1993" t="str">
        <f t="shared" ref="Q9:Q15" si="6">B9</f>
        <v>用途</v>
      </c>
      <c r="R9" s="1608" t="s">
        <v>25</v>
      </c>
      <c r="S9" s="1609">
        <f t="shared" si="0"/>
        <v>100</v>
      </c>
      <c r="T9" s="1608" t="s">
        <v>25</v>
      </c>
      <c r="U9" s="1609">
        <f t="shared" si="1"/>
        <v>100</v>
      </c>
      <c r="V9" s="1608" t="s">
        <v>25</v>
      </c>
      <c r="W9" s="1609">
        <f t="shared" si="2"/>
        <v>100</v>
      </c>
      <c r="X9" s="1610"/>
      <c r="Y9" s="3469" t="s">
        <v>2027</v>
      </c>
      <c r="Z9" s="1621" t="str">
        <f t="shared" ref="Z9:Z15" si="7">Q9</f>
        <v>用途</v>
      </c>
      <c r="AA9" s="1611">
        <f t="shared" si="3"/>
        <v>1</v>
      </c>
      <c r="AB9" s="1611">
        <f t="shared" si="4"/>
        <v>1</v>
      </c>
      <c r="AC9" s="1611">
        <f t="shared" si="5"/>
        <v>1</v>
      </c>
    </row>
    <row r="10" spans="1:29" s="1629" customFormat="1" ht="27">
      <c r="A10" s="1622"/>
      <c r="B10" s="1623" t="s">
        <v>2028</v>
      </c>
      <c r="C10" s="1624" t="s">
        <v>3083</v>
      </c>
      <c r="D10" s="1625">
        <v>100</v>
      </c>
      <c r="E10" s="1624" t="s">
        <v>3083</v>
      </c>
      <c r="F10" s="1627">
        <f>SUMIF(65:65,E10,66:66)-SUMIF(65:65,C10,66:66)+100</f>
        <v>100</v>
      </c>
      <c r="G10" s="1624" t="s">
        <v>3083</v>
      </c>
      <c r="H10" s="1625">
        <f>SUMIF(65:65,G10,66:66)-SUMIF(65:65,C10,66:66)+100</f>
        <v>100</v>
      </c>
      <c r="I10" s="1624" t="s">
        <v>3083</v>
      </c>
      <c r="J10" s="1625">
        <f>SUMIF(65:65,I10,66:66)-SUMIF(65:65,C10,66:66)+100</f>
        <v>100</v>
      </c>
      <c r="K10" s="1920">
        <v>1</v>
      </c>
      <c r="L10" s="2916"/>
      <c r="M10" s="2917"/>
      <c r="N10" s="2917"/>
      <c r="O10" s="2917"/>
      <c r="P10" s="3622"/>
      <c r="Q10" s="1993" t="str">
        <f t="shared" si="6"/>
        <v>土地使用年限（年）</v>
      </c>
      <c r="R10" s="1608" t="s">
        <v>25</v>
      </c>
      <c r="S10" s="1609">
        <f t="shared" si="0"/>
        <v>100</v>
      </c>
      <c r="T10" s="1608" t="s">
        <v>25</v>
      </c>
      <c r="U10" s="1609">
        <f t="shared" si="1"/>
        <v>100</v>
      </c>
      <c r="V10" s="1608" t="s">
        <v>25</v>
      </c>
      <c r="W10" s="1609">
        <f t="shared" si="2"/>
        <v>100</v>
      </c>
      <c r="X10" s="1610"/>
      <c r="Y10" s="3469"/>
      <c r="Z10" s="1621" t="str">
        <f t="shared" si="7"/>
        <v>土地使用年限（年）</v>
      </c>
      <c r="AA10" s="1611">
        <f t="shared" si="3"/>
        <v>1</v>
      </c>
      <c r="AB10" s="1611">
        <f t="shared" si="4"/>
        <v>1</v>
      </c>
      <c r="AC10" s="1611">
        <f t="shared" si="5"/>
        <v>1</v>
      </c>
    </row>
    <row r="11" spans="1:29" ht="15">
      <c r="A11" s="1630"/>
      <c r="B11" s="1623" t="s">
        <v>2029</v>
      </c>
      <c r="C11" s="1631">
        <v>2</v>
      </c>
      <c r="D11" s="1625">
        <v>100</v>
      </c>
      <c r="E11" s="1632">
        <v>2</v>
      </c>
      <c r="F11" s="1627">
        <f>LOOKUP(E11,68:68,69:69)-LOOKUP(C11,68:68,69:69)+100</f>
        <v>100</v>
      </c>
      <c r="G11" s="1631">
        <v>2</v>
      </c>
      <c r="H11" s="1625">
        <f>LOOKUP(G11,68:68,69:69)-LOOKUP(C11,68:68,69:69)+100</f>
        <v>100</v>
      </c>
      <c r="I11" s="1631">
        <v>2</v>
      </c>
      <c r="J11" s="1625">
        <f>LOOKUP(I11,68:68,69:69)-LOOKUP(C11,68:68,69:69)+100</f>
        <v>100</v>
      </c>
      <c r="K11" s="1920">
        <v>1</v>
      </c>
      <c r="L11" s="2918"/>
      <c r="M11" s="2915"/>
      <c r="N11" s="2915"/>
      <c r="O11" s="2915"/>
      <c r="P11" s="3622"/>
      <c r="Q11" s="1993" t="str">
        <f t="shared" si="6"/>
        <v>容积率</v>
      </c>
      <c r="R11" s="1608" t="s">
        <v>25</v>
      </c>
      <c r="S11" s="1609">
        <f t="shared" si="0"/>
        <v>100</v>
      </c>
      <c r="T11" s="1608" t="s">
        <v>25</v>
      </c>
      <c r="U11" s="1609">
        <f t="shared" si="1"/>
        <v>100</v>
      </c>
      <c r="V11" s="1608" t="s">
        <v>25</v>
      </c>
      <c r="W11" s="1609">
        <f t="shared" si="2"/>
        <v>100</v>
      </c>
      <c r="X11" s="1610"/>
      <c r="Y11" s="3469"/>
      <c r="Z11" s="1621" t="str">
        <f t="shared" si="7"/>
        <v>容积率</v>
      </c>
      <c r="AA11" s="1611">
        <f t="shared" si="3"/>
        <v>1</v>
      </c>
      <c r="AB11" s="1611">
        <f t="shared" si="4"/>
        <v>1</v>
      </c>
      <c r="AC11" s="1611">
        <f t="shared" si="5"/>
        <v>1</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2"/>
      <c r="Q12" s="1993">
        <f t="shared" si="6"/>
        <v>111</v>
      </c>
      <c r="R12" s="1608" t="s">
        <v>25</v>
      </c>
      <c r="S12" s="1609">
        <f t="shared" si="0"/>
        <v>100</v>
      </c>
      <c r="T12" s="1608" t="s">
        <v>25</v>
      </c>
      <c r="U12" s="1609">
        <f t="shared" si="1"/>
        <v>100</v>
      </c>
      <c r="V12" s="1608" t="s">
        <v>25</v>
      </c>
      <c r="W12" s="1609">
        <f t="shared" si="2"/>
        <v>100</v>
      </c>
      <c r="X12" s="1610"/>
      <c r="Y12" s="3469"/>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2"/>
      <c r="Q13" s="1993">
        <f t="shared" si="6"/>
        <v>111</v>
      </c>
      <c r="R13" s="1608" t="s">
        <v>25</v>
      </c>
      <c r="S13" s="1609">
        <f t="shared" si="0"/>
        <v>100</v>
      </c>
      <c r="T13" s="1608" t="s">
        <v>25</v>
      </c>
      <c r="U13" s="1609">
        <f t="shared" si="1"/>
        <v>100</v>
      </c>
      <c r="V13" s="1608" t="s">
        <v>25</v>
      </c>
      <c r="W13" s="1609">
        <f t="shared" si="2"/>
        <v>100</v>
      </c>
      <c r="X13" s="1610"/>
      <c r="Y13" s="3469"/>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2"/>
      <c r="Q14" s="1993">
        <f t="shared" si="6"/>
        <v>111</v>
      </c>
      <c r="R14" s="1608" t="s">
        <v>25</v>
      </c>
      <c r="S14" s="1609">
        <f t="shared" si="0"/>
        <v>100</v>
      </c>
      <c r="T14" s="1608" t="s">
        <v>25</v>
      </c>
      <c r="U14" s="1609">
        <f t="shared" si="1"/>
        <v>100</v>
      </c>
      <c r="V14" s="1608" t="s">
        <v>25</v>
      </c>
      <c r="W14" s="1609">
        <f t="shared" si="2"/>
        <v>100</v>
      </c>
      <c r="X14" s="1610"/>
      <c r="Y14" s="3469"/>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103</v>
      </c>
      <c r="G15" s="1651"/>
      <c r="H15" s="1648">
        <f>SUMIF(76:76,G16,77:77)-SUMIF(76:76,C16,77:77)+100</f>
        <v>103</v>
      </c>
      <c r="I15" s="1649"/>
      <c r="J15" s="1648">
        <f>SUMIF(76:76,I16,77:77)-SUMIF(76:76,C16,77:77)+100</f>
        <v>100</v>
      </c>
      <c r="K15" s="2390">
        <v>3</v>
      </c>
      <c r="L15" s="2919"/>
      <c r="M15" s="2915"/>
      <c r="N15" s="2915"/>
      <c r="O15" s="2915"/>
      <c r="P15" s="3595" t="s">
        <v>2031</v>
      </c>
      <c r="Q15" s="1999" t="str">
        <f t="shared" si="6"/>
        <v>商业繁华度</v>
      </c>
      <c r="R15" s="1653" t="s">
        <v>25</v>
      </c>
      <c r="S15" s="1654">
        <f t="shared" si="0"/>
        <v>103</v>
      </c>
      <c r="T15" s="1653" t="s">
        <v>25</v>
      </c>
      <c r="U15" s="1654">
        <f t="shared" si="1"/>
        <v>103</v>
      </c>
      <c r="V15" s="1653" t="s">
        <v>25</v>
      </c>
      <c r="W15" s="1654">
        <f t="shared" si="2"/>
        <v>100</v>
      </c>
      <c r="X15" s="2002"/>
      <c r="Y15" s="3597" t="s">
        <v>2031</v>
      </c>
      <c r="Z15" s="2006" t="str">
        <f t="shared" si="7"/>
        <v>商业繁华度</v>
      </c>
      <c r="AA15" s="1997">
        <f t="shared" si="3"/>
        <v>0.970873786407767</v>
      </c>
      <c r="AB15" s="1997">
        <f t="shared" si="4"/>
        <v>0.970873786407767</v>
      </c>
      <c r="AC15" s="1997">
        <f t="shared" si="5"/>
        <v>1</v>
      </c>
    </row>
    <row r="16" spans="1:29" ht="15">
      <c r="A16" s="1630"/>
      <c r="B16" s="1657"/>
      <c r="C16" s="1658" t="s">
        <v>31</v>
      </c>
      <c r="D16" s="1659"/>
      <c r="E16" s="1658" t="s">
        <v>30</v>
      </c>
      <c r="F16" s="1661"/>
      <c r="G16" s="1658" t="s">
        <v>30</v>
      </c>
      <c r="H16" s="1663"/>
      <c r="I16" s="1658" t="s">
        <v>31</v>
      </c>
      <c r="J16" s="1659"/>
      <c r="K16" s="2391"/>
      <c r="L16" s="2919"/>
      <c r="M16" s="2915"/>
      <c r="N16" s="2915"/>
      <c r="O16" s="2915"/>
      <c r="P16" s="3596"/>
      <c r="Q16" s="1999"/>
      <c r="R16" s="1653"/>
      <c r="S16" s="1654"/>
      <c r="T16" s="1653"/>
      <c r="U16" s="1654"/>
      <c r="V16" s="1653"/>
      <c r="W16" s="1654"/>
      <c r="X16" s="2002"/>
      <c r="Y16" s="3598"/>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102</v>
      </c>
      <c r="K17" s="2390">
        <v>2</v>
      </c>
      <c r="L17" s="2919"/>
      <c r="M17" s="2915"/>
      <c r="N17" s="2915"/>
      <c r="O17" s="2915"/>
      <c r="P17" s="3596"/>
      <c r="Q17" s="1999" t="str">
        <f>B17</f>
        <v>交通便捷度</v>
      </c>
      <c r="R17" s="1653" t="s">
        <v>25</v>
      </c>
      <c r="S17" s="1654">
        <f>F17</f>
        <v>100</v>
      </c>
      <c r="T17" s="1653" t="s">
        <v>25</v>
      </c>
      <c r="U17" s="1654">
        <f>H17</f>
        <v>100</v>
      </c>
      <c r="V17" s="1653" t="s">
        <v>25</v>
      </c>
      <c r="W17" s="1654">
        <f>J17</f>
        <v>102</v>
      </c>
      <c r="X17" s="2002"/>
      <c r="Y17" s="3598"/>
      <c r="Z17" s="2006" t="str">
        <f>Q17</f>
        <v>交通便捷度</v>
      </c>
      <c r="AA17" s="1997">
        <f t="shared" si="3"/>
        <v>1</v>
      </c>
      <c r="AB17" s="1997">
        <f t="shared" si="4"/>
        <v>1</v>
      </c>
      <c r="AC17" s="1997">
        <f t="shared" si="5"/>
        <v>0.98039215686274506</v>
      </c>
    </row>
    <row r="18" spans="1:29" ht="15">
      <c r="A18" s="1630"/>
      <c r="B18" s="1671"/>
      <c r="C18" s="1658" t="s">
        <v>31</v>
      </c>
      <c r="D18" s="1663"/>
      <c r="E18" s="1658" t="s">
        <v>31</v>
      </c>
      <c r="F18" s="1668"/>
      <c r="G18" s="1658" t="s">
        <v>31</v>
      </c>
      <c r="H18" s="1659"/>
      <c r="I18" s="1658" t="s">
        <v>30</v>
      </c>
      <c r="J18" s="1659"/>
      <c r="K18" s="2391"/>
      <c r="L18" s="2919"/>
      <c r="M18" s="2915"/>
      <c r="N18" s="2915"/>
      <c r="O18" s="2915"/>
      <c r="P18" s="3596"/>
      <c r="Q18" s="1999"/>
      <c r="R18" s="1653"/>
      <c r="S18" s="1654"/>
      <c r="T18" s="1653"/>
      <c r="U18" s="1654"/>
      <c r="V18" s="1653"/>
      <c r="W18" s="1654"/>
      <c r="X18" s="2002"/>
      <c r="Y18" s="3598"/>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v>2</v>
      </c>
      <c r="L19" s="2919"/>
      <c r="M19" s="2915"/>
      <c r="N19" s="2915"/>
      <c r="O19" s="2915"/>
      <c r="P19" s="3596"/>
      <c r="Q19" s="1999" t="str">
        <f>B19</f>
        <v>公共配套设施</v>
      </c>
      <c r="R19" s="1653" t="s">
        <v>25</v>
      </c>
      <c r="S19" s="1654">
        <f>F19</f>
        <v>100</v>
      </c>
      <c r="T19" s="1653" t="s">
        <v>25</v>
      </c>
      <c r="U19" s="1654">
        <f>H19</f>
        <v>100</v>
      </c>
      <c r="V19" s="1653" t="s">
        <v>25</v>
      </c>
      <c r="W19" s="1654">
        <f>J19</f>
        <v>100</v>
      </c>
      <c r="X19" s="2002"/>
      <c r="Y19" s="3598"/>
      <c r="Z19" s="2006" t="str">
        <f>Q19</f>
        <v>公共配套设施</v>
      </c>
      <c r="AA19" s="1997">
        <f t="shared" si="3"/>
        <v>1</v>
      </c>
      <c r="AB19" s="1997">
        <f t="shared" si="4"/>
        <v>1</v>
      </c>
      <c r="AC19" s="1997">
        <f t="shared" si="5"/>
        <v>1</v>
      </c>
    </row>
    <row r="20" spans="1:29" ht="15">
      <c r="A20" s="1630"/>
      <c r="B20" s="1671"/>
      <c r="C20" s="1658" t="s">
        <v>31</v>
      </c>
      <c r="D20" s="1659"/>
      <c r="E20" s="1658" t="s">
        <v>31</v>
      </c>
      <c r="F20" s="1661"/>
      <c r="G20" s="1658" t="s">
        <v>31</v>
      </c>
      <c r="H20" s="1659"/>
      <c r="I20" s="1658" t="s">
        <v>31</v>
      </c>
      <c r="J20" s="1659"/>
      <c r="K20" s="2391"/>
      <c r="L20" s="2919"/>
      <c r="M20" s="2915"/>
      <c r="N20" s="2915"/>
      <c r="O20" s="2915"/>
      <c r="P20" s="3596"/>
      <c r="Q20" s="1999"/>
      <c r="R20" s="1653"/>
      <c r="S20" s="1654"/>
      <c r="T20" s="1653"/>
      <c r="U20" s="1654"/>
      <c r="V20" s="1653"/>
      <c r="W20" s="1654"/>
      <c r="X20" s="2002"/>
      <c r="Y20" s="3598"/>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v>1</v>
      </c>
      <c r="L21" s="2919"/>
      <c r="M21" s="2915"/>
      <c r="N21" s="2915"/>
      <c r="O21" s="2915"/>
      <c r="P21" s="3596"/>
      <c r="Q21" s="1999" t="str">
        <f>B21</f>
        <v>基础设施水平</v>
      </c>
      <c r="R21" s="1653" t="s">
        <v>25</v>
      </c>
      <c r="S21" s="1654">
        <f>F21</f>
        <v>100</v>
      </c>
      <c r="T21" s="1653" t="s">
        <v>25</v>
      </c>
      <c r="U21" s="1654">
        <f>H21</f>
        <v>100</v>
      </c>
      <c r="V21" s="1653" t="s">
        <v>25</v>
      </c>
      <c r="W21" s="1654">
        <f>J21</f>
        <v>100</v>
      </c>
      <c r="X21" s="2002"/>
      <c r="Y21" s="3598"/>
      <c r="Z21" s="2006" t="str">
        <f>Q21</f>
        <v>基础设施水平</v>
      </c>
      <c r="AA21" s="1997">
        <f t="shared" ref="AA21" si="8">D21/F21</f>
        <v>1</v>
      </c>
      <c r="AB21" s="1997">
        <f t="shared" ref="AB21" si="9">D21/H21</f>
        <v>1</v>
      </c>
      <c r="AC21" s="1997">
        <f t="shared" ref="AC21" si="10">D21/J21</f>
        <v>1</v>
      </c>
    </row>
    <row r="22" spans="1:29" ht="15">
      <c r="A22" s="1630"/>
      <c r="B22" s="1678"/>
      <c r="C22" s="1672" t="s">
        <v>3060</v>
      </c>
      <c r="D22" s="1659"/>
      <c r="E22" s="1672" t="s">
        <v>3060</v>
      </c>
      <c r="F22" s="1661"/>
      <c r="G22" s="1672" t="s">
        <v>3060</v>
      </c>
      <c r="H22" s="1659"/>
      <c r="I22" s="1672" t="s">
        <v>3060</v>
      </c>
      <c r="J22" s="1659"/>
      <c r="K22" s="2392"/>
      <c r="L22" s="2919"/>
      <c r="M22" s="2915"/>
      <c r="N22" s="2915"/>
      <c r="O22" s="2915"/>
      <c r="P22" s="3596"/>
      <c r="Q22" s="1999"/>
      <c r="R22" s="1653"/>
      <c r="S22" s="1654"/>
      <c r="T22" s="1653"/>
      <c r="U22" s="1654"/>
      <c r="V22" s="1653"/>
      <c r="W22" s="1654"/>
      <c r="X22" s="2002"/>
      <c r="Y22" s="3598"/>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v>1</v>
      </c>
      <c r="L23" s="2919"/>
      <c r="M23" s="2915"/>
      <c r="N23" s="2915"/>
      <c r="O23" s="2915"/>
      <c r="P23" s="3596"/>
      <c r="Q23" s="1999" t="str">
        <f>B23</f>
        <v>自然及人文环境</v>
      </c>
      <c r="R23" s="1653" t="s">
        <v>25</v>
      </c>
      <c r="S23" s="1654">
        <f>F23</f>
        <v>100</v>
      </c>
      <c r="T23" s="1653" t="s">
        <v>25</v>
      </c>
      <c r="U23" s="1654">
        <f>H23</f>
        <v>100</v>
      </c>
      <c r="V23" s="1653" t="s">
        <v>25</v>
      </c>
      <c r="W23" s="1654">
        <f>J23</f>
        <v>100</v>
      </c>
      <c r="X23" s="2002"/>
      <c r="Y23" s="3598"/>
      <c r="Z23" s="2006" t="str">
        <f>Q23</f>
        <v>自然及人文环境</v>
      </c>
      <c r="AA23" s="1997">
        <f t="shared" si="3"/>
        <v>1</v>
      </c>
      <c r="AB23" s="1997">
        <f t="shared" si="4"/>
        <v>1</v>
      </c>
      <c r="AC23" s="1997">
        <f t="shared" si="5"/>
        <v>1</v>
      </c>
    </row>
    <row r="24" spans="1:29" ht="15">
      <c r="A24" s="1630"/>
      <c r="B24" s="1671"/>
      <c r="C24" s="1658" t="s">
        <v>31</v>
      </c>
      <c r="D24" s="1659"/>
      <c r="E24" s="1658" t="s">
        <v>31</v>
      </c>
      <c r="F24" s="1661"/>
      <c r="G24" s="1658" t="s">
        <v>31</v>
      </c>
      <c r="H24" s="1659"/>
      <c r="I24" s="1658" t="s">
        <v>31</v>
      </c>
      <c r="J24" s="1659"/>
      <c r="K24" s="2391"/>
      <c r="L24" s="2919"/>
      <c r="M24" s="2915"/>
      <c r="N24" s="2915"/>
      <c r="O24" s="2915"/>
      <c r="P24" s="3596"/>
      <c r="Q24" s="1999"/>
      <c r="R24" s="1653"/>
      <c r="S24" s="1654"/>
      <c r="T24" s="1653"/>
      <c r="U24" s="1654"/>
      <c r="V24" s="1653"/>
      <c r="W24" s="1654"/>
      <c r="X24" s="2002"/>
      <c r="Y24" s="3598"/>
      <c r="Z24" s="2006"/>
      <c r="AA24" s="1997">
        <v>1</v>
      </c>
      <c r="AB24" s="1997">
        <v>1</v>
      </c>
      <c r="AC24" s="1997">
        <v>1</v>
      </c>
    </row>
    <row r="25" spans="1:29" ht="15">
      <c r="A25" s="1630"/>
      <c r="B25" s="1623" t="s">
        <v>2119</v>
      </c>
      <c r="C25" s="1919" t="s">
        <v>3056</v>
      </c>
      <c r="D25" s="1639">
        <v>100</v>
      </c>
      <c r="E25" s="1919" t="s">
        <v>3056</v>
      </c>
      <c r="F25" s="1682">
        <f>SUMIF(86:86,E25,87:87)-SUMIF(86:86,C25,87:87)+100</f>
        <v>100</v>
      </c>
      <c r="G25" s="1919" t="s">
        <v>3056</v>
      </c>
      <c r="H25" s="1639">
        <f>SUMIF(86:86,G25,87:87)-SUMIF(86:86,C25,87:87)+100</f>
        <v>100</v>
      </c>
      <c r="I25" s="1919" t="s">
        <v>3056</v>
      </c>
      <c r="J25" s="1639">
        <f>SUMIF(86:86,I25,87:87)-SUMIF(86:86,C25,87:87)+100</f>
        <v>100</v>
      </c>
      <c r="K25" s="1920">
        <v>2</v>
      </c>
      <c r="L25" s="2919"/>
      <c r="M25" s="2915"/>
      <c r="N25" s="2915"/>
      <c r="O25" s="2915"/>
      <c r="P25" s="3596"/>
      <c r="Q25" s="1999" t="str">
        <f t="shared" ref="Q25:Q46" si="11">B25</f>
        <v>临街状况</v>
      </c>
      <c r="R25" s="1653" t="s">
        <v>25</v>
      </c>
      <c r="S25" s="1654">
        <f>F25</f>
        <v>100</v>
      </c>
      <c r="T25" s="1653" t="s">
        <v>25</v>
      </c>
      <c r="U25" s="1654">
        <f>H25</f>
        <v>100</v>
      </c>
      <c r="V25" s="1653" t="s">
        <v>25</v>
      </c>
      <c r="W25" s="1654">
        <f>J25</f>
        <v>100</v>
      </c>
      <c r="X25" s="2002"/>
      <c r="Y25" s="3598"/>
      <c r="Z25" s="2006" t="str">
        <f>Q25</f>
        <v>临街状况</v>
      </c>
      <c r="AA25" s="1997">
        <f t="shared" si="3"/>
        <v>1</v>
      </c>
      <c r="AB25" s="1997">
        <f t="shared" si="4"/>
        <v>1</v>
      </c>
      <c r="AC25" s="1997">
        <f t="shared" si="5"/>
        <v>1</v>
      </c>
    </row>
    <row r="26" spans="1:29" ht="15">
      <c r="A26" s="1630"/>
      <c r="B26" s="1688" t="s">
        <v>2120</v>
      </c>
      <c r="C26" s="3332" t="s">
        <v>3061</v>
      </c>
      <c r="D26" s="1639">
        <v>100</v>
      </c>
      <c r="E26" s="3332" t="s">
        <v>3062</v>
      </c>
      <c r="F26" s="1682">
        <f>SUMIF(88:88,E26,89:89)-SUMIF(88:88,C26,89:89)+100</f>
        <v>102</v>
      </c>
      <c r="G26" s="3332" t="s">
        <v>3062</v>
      </c>
      <c r="H26" s="1639">
        <f>SUMIF(88:88,G26,89:89)-SUMIF(88:88,C26,89:89)+100</f>
        <v>102</v>
      </c>
      <c r="I26" s="3332" t="s">
        <v>3061</v>
      </c>
      <c r="J26" s="1639">
        <f>SUMIF(88:88,I26,89:89)-SUMIF(88:88,C26,89:89)+100</f>
        <v>100</v>
      </c>
      <c r="K26" s="1917"/>
      <c r="L26" s="2919"/>
      <c r="M26" s="2915"/>
      <c r="N26" s="2915"/>
      <c r="O26" s="2915"/>
      <c r="P26" s="3596"/>
      <c r="Q26" s="1999" t="str">
        <f t="shared" si="11"/>
        <v>平面位置/可视性</v>
      </c>
      <c r="R26" s="1653" t="s">
        <v>25</v>
      </c>
      <c r="S26" s="1654">
        <f>F26</f>
        <v>102</v>
      </c>
      <c r="T26" s="1653" t="s">
        <v>25</v>
      </c>
      <c r="U26" s="1654">
        <f>H26</f>
        <v>102</v>
      </c>
      <c r="V26" s="1653" t="s">
        <v>25</v>
      </c>
      <c r="W26" s="1654">
        <f>J26</f>
        <v>100</v>
      </c>
      <c r="X26" s="2002"/>
      <c r="Y26" s="3598"/>
      <c r="Z26" s="2006" t="str">
        <f>Q26</f>
        <v>平面位置/可视性</v>
      </c>
      <c r="AA26" s="1997">
        <f t="shared" si="3"/>
        <v>0.98039215686274506</v>
      </c>
      <c r="AB26" s="1997">
        <f t="shared" si="4"/>
        <v>0.98039215686274506</v>
      </c>
      <c r="AC26" s="1997">
        <f t="shared" si="5"/>
        <v>1</v>
      </c>
    </row>
    <row r="27" spans="1:29" s="1612" customFormat="1" ht="15">
      <c r="A27" s="1633"/>
      <c r="B27" s="1665" t="s">
        <v>2121</v>
      </c>
      <c r="C27" s="2394" t="s">
        <v>31</v>
      </c>
      <c r="D27" s="1684">
        <v>100</v>
      </c>
      <c r="E27" s="2394" t="s">
        <v>30</v>
      </c>
      <c r="F27" s="1686">
        <f>SUMIF(90:90,E27,91:91)-SUMIF(90:90,C27,91:91)+100</f>
        <v>103</v>
      </c>
      <c r="G27" s="2394" t="s">
        <v>30</v>
      </c>
      <c r="H27" s="1684">
        <f>SUMIF(90:90,G27,91:91)-SUMIF(90:90,C27,91:91)+100</f>
        <v>103</v>
      </c>
      <c r="I27" s="2394" t="s">
        <v>30</v>
      </c>
      <c r="J27" s="1684">
        <f>SUMIF(90:90,I27,91:91)-SUMIF(90:90,C27,91:91)+100</f>
        <v>103</v>
      </c>
      <c r="K27" s="1920">
        <v>3</v>
      </c>
      <c r="L27" s="2914"/>
      <c r="M27" s="2887"/>
      <c r="N27" s="2887"/>
      <c r="O27" s="2887"/>
      <c r="P27" s="3596"/>
      <c r="Q27" s="1993" t="str">
        <f t="shared" si="11"/>
        <v>人流量</v>
      </c>
      <c r="R27" s="1608" t="s">
        <v>25</v>
      </c>
      <c r="S27" s="1609">
        <f>F27</f>
        <v>103</v>
      </c>
      <c r="T27" s="1608" t="s">
        <v>25</v>
      </c>
      <c r="U27" s="1609">
        <f>H27</f>
        <v>103</v>
      </c>
      <c r="V27" s="1608" t="s">
        <v>25</v>
      </c>
      <c r="W27" s="1609">
        <f>J27</f>
        <v>103</v>
      </c>
      <c r="X27" s="1610"/>
      <c r="Y27" s="3598"/>
      <c r="Z27" s="1621" t="str">
        <f>Q27</f>
        <v>人流量</v>
      </c>
      <c r="AA27" s="1997">
        <f>D27/F27</f>
        <v>0.970873786407767</v>
      </c>
      <c r="AB27" s="1997">
        <f>D27/H27</f>
        <v>0.970873786407767</v>
      </c>
      <c r="AC27" s="1997">
        <f>D27/J27</f>
        <v>0.970873786407767</v>
      </c>
    </row>
    <row r="28" spans="1:29" ht="15">
      <c r="A28" s="1630"/>
      <c r="B28" s="1623" t="s">
        <v>2122</v>
      </c>
      <c r="C28" s="1919">
        <v>1</v>
      </c>
      <c r="D28" s="1639">
        <v>100</v>
      </c>
      <c r="E28" s="1919">
        <v>1</v>
      </c>
      <c r="F28" s="1682">
        <f>SUMIF(92:92,E28,93:93)-SUMIF(92:92,C28,93:93)+100</f>
        <v>100</v>
      </c>
      <c r="G28" s="1919">
        <v>1</v>
      </c>
      <c r="H28" s="1639">
        <f>SUMIF(92:92,G28,93:93)-SUMIF(92:92,C28,93:93)+100</f>
        <v>100</v>
      </c>
      <c r="I28" s="1919">
        <v>1</v>
      </c>
      <c r="J28" s="1639">
        <f>SUMIF(92:92,I28,93:93)-SUMIF(92:92,C28,93:93)+100</f>
        <v>100</v>
      </c>
      <c r="K28" s="1917"/>
      <c r="L28" s="2919"/>
      <c r="M28" s="2915"/>
      <c r="N28" s="2915"/>
      <c r="O28" s="2915"/>
      <c r="P28" s="3596"/>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8"/>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6"/>
      <c r="Q29" s="1999">
        <f t="shared" si="11"/>
        <v>111</v>
      </c>
      <c r="R29" s="1653" t="s">
        <v>25</v>
      </c>
      <c r="S29" s="1654">
        <f t="shared" si="12"/>
        <v>100</v>
      </c>
      <c r="T29" s="1653" t="s">
        <v>25</v>
      </c>
      <c r="U29" s="1654">
        <f t="shared" si="13"/>
        <v>100</v>
      </c>
      <c r="V29" s="1653" t="s">
        <v>25</v>
      </c>
      <c r="W29" s="1654">
        <f t="shared" si="14"/>
        <v>100</v>
      </c>
      <c r="X29" s="2002"/>
      <c r="Y29" s="3598"/>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6"/>
      <c r="Q30" s="1999">
        <f t="shared" si="11"/>
        <v>111</v>
      </c>
      <c r="R30" s="1653" t="s">
        <v>25</v>
      </c>
      <c r="S30" s="1654">
        <f t="shared" si="12"/>
        <v>100</v>
      </c>
      <c r="T30" s="1653" t="s">
        <v>25</v>
      </c>
      <c r="U30" s="1654">
        <f t="shared" si="13"/>
        <v>100</v>
      </c>
      <c r="V30" s="1653" t="s">
        <v>25</v>
      </c>
      <c r="W30" s="1654">
        <f t="shared" si="14"/>
        <v>100</v>
      </c>
      <c r="X30" s="2002"/>
      <c r="Y30" s="3598"/>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6"/>
      <c r="Q31" s="1999">
        <f t="shared" si="11"/>
        <v>111</v>
      </c>
      <c r="R31" s="1653" t="s">
        <v>25</v>
      </c>
      <c r="S31" s="1654">
        <f t="shared" si="12"/>
        <v>100</v>
      </c>
      <c r="T31" s="1653" t="s">
        <v>25</v>
      </c>
      <c r="U31" s="1654">
        <f t="shared" si="13"/>
        <v>100</v>
      </c>
      <c r="V31" s="1653" t="s">
        <v>25</v>
      </c>
      <c r="W31" s="1654">
        <f t="shared" si="14"/>
        <v>100</v>
      </c>
      <c r="X31" s="2002"/>
      <c r="Y31" s="3598"/>
      <c r="Z31" s="2006">
        <f t="shared" si="15"/>
        <v>111</v>
      </c>
      <c r="AA31" s="1997">
        <f t="shared" si="3"/>
        <v>1</v>
      </c>
      <c r="AB31" s="1997">
        <f t="shared" si="4"/>
        <v>1</v>
      </c>
      <c r="AC31" s="1997">
        <f t="shared" si="5"/>
        <v>1</v>
      </c>
    </row>
    <row r="32" spans="1:29" ht="15">
      <c r="A32" s="1645" t="s">
        <v>2035</v>
      </c>
      <c r="B32" s="1615" t="s">
        <v>2123</v>
      </c>
      <c r="C32" s="1689" t="s">
        <v>3064</v>
      </c>
      <c r="D32" s="1690">
        <v>100</v>
      </c>
      <c r="E32" s="1689" t="s">
        <v>3064</v>
      </c>
      <c r="F32" s="1682">
        <f>SUMIF(100:100,E32,101:101)-SUMIF(100:100,C32,101:101)+100</f>
        <v>100</v>
      </c>
      <c r="G32" s="1689" t="s">
        <v>3064</v>
      </c>
      <c r="H32" s="1639">
        <f>SUMIF(100:100,G32,101:101)-SUMIF(100:100,C32,101:101)+100</f>
        <v>100</v>
      </c>
      <c r="I32" s="1689" t="s">
        <v>3064</v>
      </c>
      <c r="J32" s="1690">
        <f>SUMIF(100:100,I32,101:101)-SUMIF(100:100,C32,101:101)+100</f>
        <v>100</v>
      </c>
      <c r="K32" s="1920">
        <v>3</v>
      </c>
      <c r="L32" s="2919"/>
      <c r="M32" s="2915"/>
      <c r="N32" s="2915"/>
      <c r="O32" s="2915"/>
      <c r="P32" s="3581" t="s">
        <v>2037</v>
      </c>
      <c r="Q32" s="1999" t="str">
        <f t="shared" si="11"/>
        <v>商业类型</v>
      </c>
      <c r="R32" s="1653" t="s">
        <v>25</v>
      </c>
      <c r="S32" s="1654">
        <f t="shared" si="12"/>
        <v>100</v>
      </c>
      <c r="T32" s="1653" t="s">
        <v>25</v>
      </c>
      <c r="U32" s="1654">
        <f t="shared" si="13"/>
        <v>100</v>
      </c>
      <c r="V32" s="1653" t="s">
        <v>25</v>
      </c>
      <c r="W32" s="1654">
        <f t="shared" si="14"/>
        <v>100</v>
      </c>
      <c r="X32" s="2002"/>
      <c r="Y32" s="3584" t="s">
        <v>2037</v>
      </c>
      <c r="Z32" s="2006" t="str">
        <f t="shared" si="15"/>
        <v>商业类型</v>
      </c>
      <c r="AA32" s="1997">
        <f t="shared" si="3"/>
        <v>1</v>
      </c>
      <c r="AB32" s="1997">
        <f t="shared" si="4"/>
        <v>1</v>
      </c>
      <c r="AC32" s="1997">
        <f t="shared" si="5"/>
        <v>1</v>
      </c>
    </row>
    <row r="33" spans="1:29" s="1699" customFormat="1" ht="15">
      <c r="A33" s="1692"/>
      <c r="B33" s="1623" t="s">
        <v>2038</v>
      </c>
      <c r="C33" s="1693">
        <f>'数据-取费表'!B5</f>
        <v>84.33</v>
      </c>
      <c r="D33" s="1625">
        <v>100</v>
      </c>
      <c r="E33" s="1632">
        <v>142.5</v>
      </c>
      <c r="F33" s="1627">
        <f>LOOKUP(E33,103:103,104:104)-LOOKUP(C33,103:103,104:104)+100</f>
        <v>98</v>
      </c>
      <c r="G33" s="1631">
        <v>150</v>
      </c>
      <c r="H33" s="1625">
        <f>LOOKUP(G33,103:103,104:104)-LOOKUP(C33,103:103,104:104)+100</f>
        <v>98</v>
      </c>
      <c r="I33" s="1631">
        <v>150</v>
      </c>
      <c r="J33" s="1625">
        <f>LOOKUP(I33,103:103,104:104)-LOOKUP(C33,103:103,104:104)+100</f>
        <v>98</v>
      </c>
      <c r="K33" s="1917"/>
      <c r="L33" s="2918"/>
      <c r="M33" s="1987"/>
      <c r="N33" s="1987"/>
      <c r="O33" s="1987"/>
      <c r="P33" s="3582"/>
      <c r="Q33" s="1694" t="str">
        <f t="shared" si="11"/>
        <v>项目建筑规模</v>
      </c>
      <c r="R33" s="1695" t="s">
        <v>25</v>
      </c>
      <c r="S33" s="1696">
        <f t="shared" si="12"/>
        <v>98</v>
      </c>
      <c r="T33" s="1695" t="s">
        <v>25</v>
      </c>
      <c r="U33" s="1696">
        <f t="shared" si="13"/>
        <v>98</v>
      </c>
      <c r="V33" s="1695" t="s">
        <v>25</v>
      </c>
      <c r="W33" s="1696">
        <f t="shared" si="14"/>
        <v>98</v>
      </c>
      <c r="X33" s="1697"/>
      <c r="Y33" s="3584"/>
      <c r="Z33" s="1698" t="str">
        <f t="shared" si="15"/>
        <v>项目建筑规模</v>
      </c>
      <c r="AA33" s="1997">
        <f t="shared" si="3"/>
        <v>1.0204081632653061</v>
      </c>
      <c r="AB33" s="1997">
        <f t="shared" si="4"/>
        <v>1.0204081632653061</v>
      </c>
      <c r="AC33" s="1997">
        <f t="shared" si="5"/>
        <v>1.0204081632653061</v>
      </c>
    </row>
    <row r="34" spans="1:29" ht="15">
      <c r="A34" s="1700"/>
      <c r="B34" s="1623" t="s">
        <v>2039</v>
      </c>
      <c r="C34" s="1701" t="s">
        <v>3052</v>
      </c>
      <c r="D34" s="1639">
        <v>100</v>
      </c>
      <c r="E34" s="1701" t="s">
        <v>3052</v>
      </c>
      <c r="F34" s="1682">
        <f>SUMIF(105:105,E34,106:106)-SUMIF(105:105,C34,106:106)+100</f>
        <v>100</v>
      </c>
      <c r="G34" s="1701" t="s">
        <v>3052</v>
      </c>
      <c r="H34" s="1639">
        <f>SUMIF(105:105,G34,106:106)-SUMIF(105:105,C34,106:106)+100</f>
        <v>100</v>
      </c>
      <c r="I34" s="1701" t="s">
        <v>3052</v>
      </c>
      <c r="J34" s="1639">
        <f>SUMIF(105:105,I34,106:106)-SUMIF(105:105,C34,106:106)+100</f>
        <v>100</v>
      </c>
      <c r="K34" s="1920">
        <v>2</v>
      </c>
      <c r="L34" s="2919"/>
      <c r="M34" s="2915"/>
      <c r="N34" s="2915"/>
      <c r="O34" s="2915"/>
      <c r="P34" s="3582"/>
      <c r="Q34" s="1999" t="str">
        <f t="shared" si="11"/>
        <v>建筑结构</v>
      </c>
      <c r="R34" s="1653" t="s">
        <v>25</v>
      </c>
      <c r="S34" s="1654">
        <f t="shared" si="12"/>
        <v>100</v>
      </c>
      <c r="T34" s="1653" t="s">
        <v>25</v>
      </c>
      <c r="U34" s="1654">
        <f t="shared" si="13"/>
        <v>100</v>
      </c>
      <c r="V34" s="1653" t="s">
        <v>25</v>
      </c>
      <c r="W34" s="1654">
        <f t="shared" si="14"/>
        <v>100</v>
      </c>
      <c r="X34" s="2002"/>
      <c r="Y34" s="3584"/>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582"/>
      <c r="Q35" s="1999" t="str">
        <f t="shared" si="11"/>
        <v>公共部分装修</v>
      </c>
      <c r="R35" s="1653" t="s">
        <v>25</v>
      </c>
      <c r="S35" s="1654">
        <f t="shared" si="12"/>
        <v>100</v>
      </c>
      <c r="T35" s="1653" t="s">
        <v>25</v>
      </c>
      <c r="U35" s="1654">
        <f t="shared" si="13"/>
        <v>100</v>
      </c>
      <c r="V35" s="1653" t="s">
        <v>25</v>
      </c>
      <c r="W35" s="1654">
        <f t="shared" si="14"/>
        <v>100</v>
      </c>
      <c r="X35" s="2002"/>
      <c r="Y35" s="3584"/>
      <c r="Z35" s="2006" t="str">
        <f t="shared" si="15"/>
        <v>公共部分装修</v>
      </c>
      <c r="AA35" s="1997">
        <f t="shared" si="3"/>
        <v>1</v>
      </c>
      <c r="AB35" s="1997">
        <f t="shared" si="4"/>
        <v>1</v>
      </c>
      <c r="AC35" s="1997">
        <f t="shared" si="5"/>
        <v>1</v>
      </c>
    </row>
    <row r="36" spans="1:29" ht="15">
      <c r="A36" s="1700"/>
      <c r="B36" s="1623" t="s">
        <v>2125</v>
      </c>
      <c r="C36" s="1704">
        <v>0.85</v>
      </c>
      <c r="D36" s="1639">
        <v>100</v>
      </c>
      <c r="E36" s="1704">
        <v>0.85</v>
      </c>
      <c r="F36" s="1682">
        <f>LOOKUP(E36,110:110,111:111)-LOOKUP(C36,110:110,111:111)+100</f>
        <v>100</v>
      </c>
      <c r="G36" s="1704">
        <v>0.85</v>
      </c>
      <c r="H36" s="1682">
        <f>LOOKUP(G36,110:110,111:111)-LOOKUP(C36,110:110,111:111)+100</f>
        <v>100</v>
      </c>
      <c r="I36" s="1704">
        <v>0.85</v>
      </c>
      <c r="J36" s="1639">
        <f>LOOKUP(I36,110:110,111:111)-LOOKUP(C36,110:110,111:111)+100</f>
        <v>100</v>
      </c>
      <c r="K36" s="1920">
        <v>0</v>
      </c>
      <c r="L36" s="2919"/>
      <c r="M36" s="2915"/>
      <c r="N36" s="2915"/>
      <c r="O36" s="2915"/>
      <c r="P36" s="3582"/>
      <c r="Q36" s="1999" t="str">
        <f t="shared" si="11"/>
        <v>成新度</v>
      </c>
      <c r="R36" s="1653" t="s">
        <v>25</v>
      </c>
      <c r="S36" s="1654">
        <f t="shared" si="12"/>
        <v>100</v>
      </c>
      <c r="T36" s="1653" t="s">
        <v>25</v>
      </c>
      <c r="U36" s="1654">
        <f t="shared" si="13"/>
        <v>100</v>
      </c>
      <c r="V36" s="1653" t="s">
        <v>25</v>
      </c>
      <c r="W36" s="1654">
        <f t="shared" si="14"/>
        <v>100</v>
      </c>
      <c r="X36" s="2002"/>
      <c r="Y36" s="3584"/>
      <c r="Z36" s="2006" t="str">
        <f t="shared" si="15"/>
        <v>成新度</v>
      </c>
      <c r="AA36" s="1997">
        <f t="shared" si="3"/>
        <v>1</v>
      </c>
      <c r="AB36" s="1997">
        <f t="shared" si="4"/>
        <v>1</v>
      </c>
      <c r="AC36" s="1997">
        <f t="shared" si="5"/>
        <v>1</v>
      </c>
    </row>
    <row r="37" spans="1:29" s="1612" customFormat="1" ht="15">
      <c r="A37" s="1703"/>
      <c r="B37" s="1623" t="s">
        <v>2126</v>
      </c>
      <c r="C37" s="1683" t="s">
        <v>3069</v>
      </c>
      <c r="D37" s="1625">
        <v>100</v>
      </c>
      <c r="E37" s="1683" t="s">
        <v>3069</v>
      </c>
      <c r="F37" s="1682">
        <f>SUMIF(112:112,E37,113:113)-SUMIF(112:112,C37,113:113)+100</f>
        <v>100</v>
      </c>
      <c r="G37" s="1683" t="s">
        <v>3069</v>
      </c>
      <c r="H37" s="1639">
        <f>SUMIF(112:112,G37,113:113)-SUMIF(112:112,C37,113:113)+100</f>
        <v>100</v>
      </c>
      <c r="I37" s="1683" t="s">
        <v>3069</v>
      </c>
      <c r="J37" s="1639">
        <f>SUMIF(112:112,I37,113:113)-SUMIF(112:112,C37,113:113)+100</f>
        <v>100</v>
      </c>
      <c r="K37" s="1920">
        <v>1</v>
      </c>
      <c r="L37" s="2914"/>
      <c r="M37" s="2887"/>
      <c r="N37" s="2887"/>
      <c r="O37" s="2887"/>
      <c r="P37" s="3582"/>
      <c r="Q37" s="1993" t="str">
        <f t="shared" si="11"/>
        <v>市政基础设施</v>
      </c>
      <c r="R37" s="1608" t="s">
        <v>25</v>
      </c>
      <c r="S37" s="1609">
        <f t="shared" si="12"/>
        <v>100</v>
      </c>
      <c r="T37" s="1608" t="s">
        <v>25</v>
      </c>
      <c r="U37" s="1609">
        <f t="shared" si="13"/>
        <v>100</v>
      </c>
      <c r="V37" s="1608" t="s">
        <v>25</v>
      </c>
      <c r="W37" s="1609">
        <f t="shared" si="14"/>
        <v>100</v>
      </c>
      <c r="X37" s="1610"/>
      <c r="Y37" s="3584"/>
      <c r="Z37" s="1621" t="str">
        <f t="shared" si="15"/>
        <v>市政基础设施</v>
      </c>
      <c r="AA37" s="1611">
        <f t="shared" si="3"/>
        <v>1</v>
      </c>
      <c r="AB37" s="1611">
        <f t="shared" si="4"/>
        <v>1</v>
      </c>
      <c r="AC37" s="1611">
        <f t="shared" si="5"/>
        <v>1</v>
      </c>
    </row>
    <row r="38" spans="1:29" ht="15">
      <c r="A38" s="1700"/>
      <c r="B38" s="1623" t="s">
        <v>2127</v>
      </c>
      <c r="C38" s="1683" t="s">
        <v>3076</v>
      </c>
      <c r="D38" s="1639">
        <v>100</v>
      </c>
      <c r="E38" s="1683" t="s">
        <v>3076</v>
      </c>
      <c r="F38" s="1682">
        <f>SUMIF(114:114,E38,115:115)-SUMIF(114:114,C38,115:115)+100</f>
        <v>100</v>
      </c>
      <c r="G38" s="1683" t="s">
        <v>3076</v>
      </c>
      <c r="H38" s="1639">
        <f>SUMIF(114:114,G38,115:115)-SUMIF(114:114,C38,115:115)+100</f>
        <v>100</v>
      </c>
      <c r="I38" s="1683" t="s">
        <v>3076</v>
      </c>
      <c r="J38" s="1639">
        <f>SUMIF(114:114,I38,115:115)-SUMIF(114:114,C38,115:115)+100</f>
        <v>100</v>
      </c>
      <c r="K38" s="1920">
        <v>2</v>
      </c>
      <c r="L38" s="2919"/>
      <c r="M38" s="2915"/>
      <c r="N38" s="2915"/>
      <c r="O38" s="2915"/>
      <c r="P38" s="3582" t="s">
        <v>2037</v>
      </c>
      <c r="Q38" s="1999" t="str">
        <f t="shared" si="11"/>
        <v>业态</v>
      </c>
      <c r="R38" s="1653" t="s">
        <v>25</v>
      </c>
      <c r="S38" s="1654">
        <f t="shared" si="12"/>
        <v>100</v>
      </c>
      <c r="T38" s="1653" t="s">
        <v>25</v>
      </c>
      <c r="U38" s="1654">
        <f t="shared" si="13"/>
        <v>100</v>
      </c>
      <c r="V38" s="1653" t="s">
        <v>25</v>
      </c>
      <c r="W38" s="1654">
        <f t="shared" si="14"/>
        <v>100</v>
      </c>
      <c r="X38" s="2002"/>
      <c r="Y38" s="3584" t="s">
        <v>2037</v>
      </c>
      <c r="Z38" s="2006" t="str">
        <f t="shared" si="15"/>
        <v>业态</v>
      </c>
      <c r="AA38" s="1997">
        <f t="shared" si="3"/>
        <v>1</v>
      </c>
      <c r="AB38" s="1997">
        <f t="shared" si="4"/>
        <v>1</v>
      </c>
      <c r="AC38" s="1997">
        <f t="shared" si="5"/>
        <v>1</v>
      </c>
    </row>
    <row r="39" spans="1:29" ht="15">
      <c r="A39" s="1700"/>
      <c r="B39" s="1623" t="s">
        <v>2128</v>
      </c>
      <c r="C39" s="1683" t="s">
        <v>3074</v>
      </c>
      <c r="D39" s="1639">
        <v>100</v>
      </c>
      <c r="E39" s="1683" t="s">
        <v>3074</v>
      </c>
      <c r="F39" s="1682">
        <f>SUMIF(116:116,E39,117:117)-SUMIF(116:116,C39,117:117)+100</f>
        <v>100</v>
      </c>
      <c r="G39" s="1683" t="s">
        <v>3074</v>
      </c>
      <c r="H39" s="1639">
        <f>SUMIF(116:116,G39,117:117)-SUMIF(116:116,C39,117:117)+100</f>
        <v>100</v>
      </c>
      <c r="I39" s="1683" t="s">
        <v>3074</v>
      </c>
      <c r="J39" s="1639">
        <f>SUMIF(116:116,I39,117:117)-SUMIF(116:116,C39,117:117)+100</f>
        <v>100</v>
      </c>
      <c r="K39" s="1920">
        <v>2</v>
      </c>
      <c r="L39" s="2919"/>
      <c r="M39" s="2915"/>
      <c r="N39" s="2915"/>
      <c r="O39" s="2915"/>
      <c r="P39" s="3582"/>
      <c r="Q39" s="1999" t="str">
        <f t="shared" si="11"/>
        <v>层高</v>
      </c>
      <c r="R39" s="1653" t="s">
        <v>25</v>
      </c>
      <c r="S39" s="1654">
        <f t="shared" si="12"/>
        <v>100</v>
      </c>
      <c r="T39" s="1653" t="s">
        <v>25</v>
      </c>
      <c r="U39" s="1654">
        <f t="shared" si="13"/>
        <v>100</v>
      </c>
      <c r="V39" s="1653" t="s">
        <v>25</v>
      </c>
      <c r="W39" s="1654">
        <f t="shared" si="14"/>
        <v>100</v>
      </c>
      <c r="X39" s="2002"/>
      <c r="Y39" s="3584"/>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582"/>
      <c r="Q40" s="1999" t="str">
        <f t="shared" si="11"/>
        <v>单套建筑面积</v>
      </c>
      <c r="R40" s="1653" t="s">
        <v>25</v>
      </c>
      <c r="S40" s="1654">
        <f t="shared" si="12"/>
        <v>100</v>
      </c>
      <c r="T40" s="1653" t="s">
        <v>25</v>
      </c>
      <c r="U40" s="1654">
        <f t="shared" si="13"/>
        <v>100</v>
      </c>
      <c r="V40" s="1653" t="s">
        <v>25</v>
      </c>
      <c r="W40" s="1654">
        <f t="shared" si="14"/>
        <v>100</v>
      </c>
      <c r="X40" s="2002"/>
      <c r="Y40" s="3584"/>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582"/>
      <c r="Q41" s="1694" t="str">
        <f t="shared" si="11"/>
        <v>进深比</v>
      </c>
      <c r="R41" s="1695" t="s">
        <v>25</v>
      </c>
      <c r="S41" s="1696">
        <f t="shared" si="12"/>
        <v>100</v>
      </c>
      <c r="T41" s="1695" t="s">
        <v>25</v>
      </c>
      <c r="U41" s="1696">
        <f t="shared" si="13"/>
        <v>100</v>
      </c>
      <c r="V41" s="1695" t="s">
        <v>25</v>
      </c>
      <c r="W41" s="1696">
        <f t="shared" si="14"/>
        <v>100</v>
      </c>
      <c r="X41" s="1697"/>
      <c r="Y41" s="3584"/>
      <c r="Z41" s="1698" t="str">
        <f t="shared" si="15"/>
        <v>进深比</v>
      </c>
      <c r="AA41" s="1997">
        <f t="shared" si="3"/>
        <v>1</v>
      </c>
      <c r="AB41" s="1997">
        <f t="shared" si="4"/>
        <v>1</v>
      </c>
      <c r="AC41" s="1997">
        <f t="shared" si="5"/>
        <v>1</v>
      </c>
    </row>
    <row r="42" spans="1:29" ht="15">
      <c r="A42" s="1700"/>
      <c r="B42" s="1623" t="s">
        <v>2131</v>
      </c>
      <c r="C42" s="1683" t="s">
        <v>3065</v>
      </c>
      <c r="D42" s="1639">
        <v>100</v>
      </c>
      <c r="E42" s="1683" t="s">
        <v>3067</v>
      </c>
      <c r="F42" s="1682">
        <f>SUMIF(122:122,E42,123:123)-SUMIF(122:122,C42,123:123)+100</f>
        <v>96</v>
      </c>
      <c r="G42" s="1683" t="s">
        <v>3065</v>
      </c>
      <c r="H42" s="1639">
        <f>SUMIF(122:122,G42,123:123)-SUMIF(122:122,C42,123:123)+100</f>
        <v>100</v>
      </c>
      <c r="I42" s="1683" t="s">
        <v>3067</v>
      </c>
      <c r="J42" s="1639">
        <f>SUMIF(122:122,I42,123:123)-SUMIF(122:122,C42,123:123)+100</f>
        <v>96</v>
      </c>
      <c r="K42" s="1920">
        <v>2</v>
      </c>
      <c r="L42" s="2919"/>
      <c r="M42" s="2915"/>
      <c r="N42" s="2915"/>
      <c r="O42" s="2915"/>
      <c r="P42" s="3582"/>
      <c r="Q42" s="1999" t="str">
        <f t="shared" si="11"/>
        <v>内部装修</v>
      </c>
      <c r="R42" s="1653" t="s">
        <v>25</v>
      </c>
      <c r="S42" s="1654">
        <f t="shared" si="12"/>
        <v>96</v>
      </c>
      <c r="T42" s="1653" t="s">
        <v>25</v>
      </c>
      <c r="U42" s="1654">
        <f t="shared" si="13"/>
        <v>100</v>
      </c>
      <c r="V42" s="1653" t="s">
        <v>25</v>
      </c>
      <c r="W42" s="1654">
        <f t="shared" si="14"/>
        <v>96</v>
      </c>
      <c r="X42" s="2002"/>
      <c r="Y42" s="3584"/>
      <c r="Z42" s="2006" t="str">
        <f t="shared" si="15"/>
        <v>内部装修</v>
      </c>
      <c r="AA42" s="1997">
        <f t="shared" si="3"/>
        <v>1.0416666666666667</v>
      </c>
      <c r="AB42" s="1997">
        <f t="shared" si="4"/>
        <v>1</v>
      </c>
      <c r="AC42" s="1997">
        <f t="shared" si="5"/>
        <v>1.0416666666666667</v>
      </c>
    </row>
    <row r="43" spans="1:29" ht="15">
      <c r="A43" s="1700"/>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920">
        <v>2</v>
      </c>
      <c r="L43" s="2919"/>
      <c r="M43" s="2915"/>
      <c r="N43" s="2915"/>
      <c r="O43" s="2915"/>
      <c r="P43" s="3582"/>
      <c r="Q43" s="1999" t="str">
        <f t="shared" si="11"/>
        <v>内部装修维护情况</v>
      </c>
      <c r="R43" s="1653" t="s">
        <v>25</v>
      </c>
      <c r="S43" s="1654">
        <f t="shared" si="12"/>
        <v>100</v>
      </c>
      <c r="T43" s="1653" t="s">
        <v>25</v>
      </c>
      <c r="U43" s="1654">
        <f t="shared" si="13"/>
        <v>100</v>
      </c>
      <c r="V43" s="1653" t="s">
        <v>25</v>
      </c>
      <c r="W43" s="1654">
        <f t="shared" si="14"/>
        <v>100</v>
      </c>
      <c r="X43" s="2002"/>
      <c r="Y43" s="358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582"/>
      <c r="Q44" s="1993">
        <f t="shared" si="11"/>
        <v>111</v>
      </c>
      <c r="R44" s="1608" t="s">
        <v>25</v>
      </c>
      <c r="S44" s="1609">
        <f t="shared" si="12"/>
        <v>100</v>
      </c>
      <c r="T44" s="1608" t="s">
        <v>25</v>
      </c>
      <c r="U44" s="1609">
        <f t="shared" si="13"/>
        <v>100</v>
      </c>
      <c r="V44" s="1608" t="s">
        <v>25</v>
      </c>
      <c r="W44" s="1609">
        <f t="shared" si="14"/>
        <v>100</v>
      </c>
      <c r="X44" s="1610"/>
      <c r="Y44" s="358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582"/>
      <c r="Q45" s="1999">
        <f t="shared" si="11"/>
        <v>111</v>
      </c>
      <c r="R45" s="1653" t="s">
        <v>25</v>
      </c>
      <c r="S45" s="1654">
        <f t="shared" si="12"/>
        <v>100</v>
      </c>
      <c r="T45" s="1653" t="s">
        <v>25</v>
      </c>
      <c r="U45" s="1654">
        <f t="shared" si="13"/>
        <v>100</v>
      </c>
      <c r="V45" s="1653" t="s">
        <v>25</v>
      </c>
      <c r="W45" s="1654">
        <f t="shared" si="14"/>
        <v>100</v>
      </c>
      <c r="X45" s="2002"/>
      <c r="Y45" s="358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583"/>
      <c r="Q46" s="1999">
        <f t="shared" si="11"/>
        <v>111</v>
      </c>
      <c r="R46" s="1653" t="s">
        <v>25</v>
      </c>
      <c r="S46" s="1654">
        <f t="shared" si="12"/>
        <v>100</v>
      </c>
      <c r="T46" s="1653" t="s">
        <v>25</v>
      </c>
      <c r="U46" s="1654">
        <f t="shared" si="13"/>
        <v>100</v>
      </c>
      <c r="V46" s="1653" t="s">
        <v>25</v>
      </c>
      <c r="W46" s="1654">
        <f t="shared" si="14"/>
        <v>100</v>
      </c>
      <c r="X46" s="2002"/>
      <c r="Y46" s="3585"/>
      <c r="Z46" s="2006">
        <f t="shared" si="15"/>
        <v>111</v>
      </c>
      <c r="AA46" s="1997">
        <f t="shared" si="3"/>
        <v>1</v>
      </c>
      <c r="AB46" s="1997">
        <f t="shared" si="4"/>
        <v>1</v>
      </c>
      <c r="AC46" s="1997">
        <f t="shared" si="5"/>
        <v>1</v>
      </c>
    </row>
    <row r="47" spans="1:29" ht="15">
      <c r="A47" s="1709" t="s">
        <v>2049</v>
      </c>
      <c r="B47" s="1710"/>
      <c r="C47" s="1711" t="s">
        <v>1</v>
      </c>
      <c r="D47" s="1712"/>
      <c r="E47" s="1713">
        <v>32000</v>
      </c>
      <c r="F47" s="1714"/>
      <c r="G47" s="1715">
        <v>33333</v>
      </c>
      <c r="H47" s="1716"/>
      <c r="I47" s="1713">
        <v>30000</v>
      </c>
      <c r="J47" s="1716"/>
      <c r="K47" s="1941"/>
      <c r="L47" s="2920"/>
      <c r="N47" s="2915"/>
      <c r="P47" s="3576" t="str">
        <f>A47</f>
        <v>成交单价（元/平方米）</v>
      </c>
      <c r="Q47" s="3576"/>
      <c r="R47" s="3577">
        <f>E47</f>
        <v>32000</v>
      </c>
      <c r="S47" s="3577"/>
      <c r="T47" s="3577">
        <f>G47</f>
        <v>33333</v>
      </c>
      <c r="U47" s="3577"/>
      <c r="V47" s="3577">
        <f>I47</f>
        <v>30000</v>
      </c>
      <c r="W47" s="3577"/>
      <c r="X47" s="1719"/>
      <c r="Y47" s="2001"/>
      <c r="Z47" s="1719"/>
      <c r="AA47" s="1719"/>
      <c r="AB47" s="1719"/>
      <c r="AC47" s="1719"/>
    </row>
    <row r="48" spans="1:29" ht="15.75" thickBot="1">
      <c r="A48" s="1721" t="s">
        <v>2132</v>
      </c>
      <c r="B48" s="1722"/>
      <c r="C48" s="1723">
        <f>R49</f>
        <v>31072</v>
      </c>
      <c r="D48" s="1724" t="s">
        <v>2502</v>
      </c>
      <c r="E48" s="1725">
        <f>R48</f>
        <v>31432</v>
      </c>
      <c r="F48" s="1726"/>
      <c r="G48" s="1723">
        <f>T48</f>
        <v>31432</v>
      </c>
      <c r="H48" s="1726"/>
      <c r="I48" s="1725">
        <f>V48</f>
        <v>30352</v>
      </c>
      <c r="J48" s="1726"/>
      <c r="K48" s="2428">
        <f>F48+H48+J48</f>
        <v>0</v>
      </c>
      <c r="L48" s="2920"/>
      <c r="N48" s="2915"/>
      <c r="P48" s="3576" t="str">
        <f>A48</f>
        <v>比较价值（元/平方米）</v>
      </c>
      <c r="Q48" s="3576"/>
      <c r="R48" s="3577">
        <f>IF(E1="售价",ROUND(PRODUCT(R47,AA7:AA46),0),ROUND(PRODUCT(R47,AA7:AA46),1))</f>
        <v>31432</v>
      </c>
      <c r="S48" s="3577"/>
      <c r="T48" s="3577">
        <f>IF(E1="售价",ROUND(PRODUCT(T47,AB7:AB46),0),ROUND(PRODUCT(T47,AB7:AB46),1))</f>
        <v>31432</v>
      </c>
      <c r="U48" s="3577"/>
      <c r="V48" s="3577">
        <f>IF(E1="售价",ROUND(PRODUCT(V47,AC7:AC46),0),ROUND(PRODUCT(V47,AC7:AC46),1))</f>
        <v>30352</v>
      </c>
      <c r="W48" s="3577"/>
      <c r="X48" s="1719"/>
      <c r="Y48" s="1719"/>
      <c r="Z48" s="1719"/>
      <c r="AA48" s="1719"/>
      <c r="AB48" s="1719"/>
      <c r="AC48" s="1719"/>
    </row>
    <row r="49" spans="1:29" ht="15.75" thickBot="1">
      <c r="A49" s="1727" t="s">
        <v>2133</v>
      </c>
      <c r="B49" s="1728"/>
      <c r="C49" s="1730">
        <f>R49</f>
        <v>31072</v>
      </c>
      <c r="D49" s="1730"/>
      <c r="E49" s="1730"/>
      <c r="F49" s="1730"/>
      <c r="G49" s="1730"/>
      <c r="H49" s="1730"/>
      <c r="I49" s="1730"/>
      <c r="J49" s="1730"/>
      <c r="K49" s="1946"/>
      <c r="L49" s="2920"/>
      <c r="N49" s="2915"/>
      <c r="P49" s="3578" t="str">
        <f>A49</f>
        <v>估价对象XX用房的比较价值（楼面单价，元/平方米）</v>
      </c>
      <c r="Q49" s="3579"/>
      <c r="R49" s="3580">
        <f>IF(E1="售价",ROUND(IF(D48="简单平均",AVERAGE(R48:V48),R48*F48+T48*H48+V48*J48),0),ROUND(IF(D48="简单平均",AVERAGE(R48:V48),R48*F48+T48*H48+V48*J48),1))</f>
        <v>31072</v>
      </c>
      <c r="S49" s="3580"/>
      <c r="T49" s="3580"/>
      <c r="U49" s="3580"/>
      <c r="V49" s="3580"/>
      <c r="W49" s="3580"/>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f>IF(E47&lt;E48,E48/E47-1,E47/E48-1)</f>
        <v>1.8070755917536374E-2</v>
      </c>
      <c r="F52" s="1737" t="str">
        <f>IF(OR(E52&gt;=0.3,E52&lt;=-0.3),"超过30%","")</f>
        <v/>
      </c>
      <c r="G52" s="1736">
        <f>IF(G47&lt;G48,G48/G47-1,G47/G48-1)</f>
        <v>6.0479765843726163E-2</v>
      </c>
      <c r="H52" s="1737" t="str">
        <f>IF(OR(G52&gt;=0.3,G52&lt;=-0.3),"超过30%","")</f>
        <v/>
      </c>
      <c r="I52" s="1736">
        <f>IF(I47&lt;I48,I48/I47-1,I47/I48-1)</f>
        <v>1.1733333333333373E-2</v>
      </c>
      <c r="J52" s="1737" t="str">
        <f>IF(OR(I52&gt;=0.3,I52&lt;=-0.3),"超过30%","")</f>
        <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f>IF(E48&lt;G48,G48/E48-1,E48/G48-1)</f>
        <v>0</v>
      </c>
      <c r="F53" s="1737" t="str">
        <f>IF(OR(E53&gt;=0.2,E53&lt;=-0.2),"超过20%","")</f>
        <v/>
      </c>
      <c r="G53" s="1736">
        <f>IF(G48&lt;I48,I48/G48-1,G48/I48-1)</f>
        <v>3.5582498682129593E-2</v>
      </c>
      <c r="H53" s="1737" t="str">
        <f>IF(OR(G53&gt;=0.2,G53&lt;=-0.2),"超过20%","")</f>
        <v/>
      </c>
      <c r="I53" s="1736">
        <f>IF(I48&lt;E48,E48/I48-1,I48/E48-1)</f>
        <v>3.5582498682129593E-2</v>
      </c>
      <c r="J53" s="1737" t="str">
        <f>IF(OR(I53&gt;=0.2,I53&lt;=-0.2),"超过20%","")</f>
        <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f>IF(E47&lt;G47,G47/E47-1,E47/G47-1)</f>
        <v>4.165624999999995E-2</v>
      </c>
      <c r="F54" s="1737" t="str">
        <f>IF(OR(E54&gt;=0.3,E54&lt;=-0.3),"超过30%","")</f>
        <v/>
      </c>
      <c r="G54" s="1736">
        <f>IF(G47&lt;I47,I47/G47-1,G47/I47-1)</f>
        <v>0.11109999999999998</v>
      </c>
      <c r="H54" s="1737" t="str">
        <f>IF(OR(G54&gt;=0.3,G54&lt;=-0.3),"超过30%","")</f>
        <v/>
      </c>
      <c r="I54" s="1736">
        <f>IF(I47&lt;E47,E47/I47-1,I47/E47-1)</f>
        <v>6.6666666666666652E-2</v>
      </c>
      <c r="J54" s="1737" t="str">
        <f>IF(OR(I54&gt;=0.3,I54&lt;=-0.3),"超过30%","")</f>
        <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2022-9</v>
      </c>
      <c r="D58" s="1753">
        <f>EDATE(C58,-1)</f>
        <v>44774</v>
      </c>
      <c r="E58" s="1753">
        <f t="shared" ref="E58:O58" si="16">EDATE(D58,-1)</f>
        <v>44743</v>
      </c>
      <c r="F58" s="1753">
        <f t="shared" si="16"/>
        <v>44713</v>
      </c>
      <c r="G58" s="1753">
        <f t="shared" si="16"/>
        <v>44682</v>
      </c>
      <c r="H58" s="1753">
        <f t="shared" si="16"/>
        <v>44652</v>
      </c>
      <c r="I58" s="1753">
        <f t="shared" si="16"/>
        <v>44621</v>
      </c>
      <c r="J58" s="1753">
        <f t="shared" si="16"/>
        <v>44593</v>
      </c>
      <c r="K58" s="1753">
        <f t="shared" si="16"/>
        <v>44562</v>
      </c>
      <c r="L58" s="1753">
        <f t="shared" si="16"/>
        <v>44531</v>
      </c>
      <c r="M58" s="1753">
        <f t="shared" si="16"/>
        <v>44501</v>
      </c>
      <c r="N58" s="1753">
        <f t="shared" si="16"/>
        <v>44470</v>
      </c>
      <c r="O58" s="1753">
        <f t="shared" si="16"/>
        <v>44440</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t="str">
        <f>C9</f>
        <v>商业</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99</v>
      </c>
      <c r="H66" s="1790">
        <f>G66-$K10</f>
        <v>98</v>
      </c>
      <c r="I66" s="1790">
        <f>H66-$K10</f>
        <v>97</v>
      </c>
      <c r="J66" s="1790"/>
      <c r="K66" s="1790"/>
      <c r="L66" s="1790"/>
      <c r="M66" s="1791"/>
      <c r="N66" s="2934"/>
      <c r="O66" s="2934"/>
      <c r="P66" s="1780"/>
      <c r="Q66" s="1749"/>
    </row>
    <row r="67" spans="1:17" ht="15.75" thickTop="1">
      <c r="A67" s="1781"/>
      <c r="B67" s="1792" t="s">
        <v>2029</v>
      </c>
      <c r="C67" s="1793" t="str">
        <f>C68&amp;"（含）"&amp;"-"&amp;D68</f>
        <v>2（含）-3</v>
      </c>
      <c r="D67" s="1793" t="str">
        <f t="shared" ref="D67:L67" si="17">D68&amp;"（含）"&amp;"-"&amp;E68</f>
        <v>3（含）-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v>2</v>
      </c>
      <c r="D68" s="1795">
        <v>3</v>
      </c>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99</v>
      </c>
      <c r="E69" s="1790">
        <f t="shared" si="18"/>
        <v>98</v>
      </c>
      <c r="F69" s="1790">
        <f t="shared" si="18"/>
        <v>97</v>
      </c>
      <c r="G69" s="1790">
        <f t="shared" si="18"/>
        <v>96</v>
      </c>
      <c r="H69" s="1790">
        <f t="shared" si="18"/>
        <v>95</v>
      </c>
      <c r="I69" s="1790">
        <f t="shared" si="18"/>
        <v>94</v>
      </c>
      <c r="J69" s="1790">
        <f t="shared" si="18"/>
        <v>93</v>
      </c>
      <c r="K69" s="1790">
        <f t="shared" si="18"/>
        <v>92</v>
      </c>
      <c r="L69" s="1790">
        <f t="shared" si="18"/>
        <v>91</v>
      </c>
      <c r="M69" s="1791">
        <f t="shared" si="18"/>
        <v>90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97</v>
      </c>
      <c r="E77" s="1790">
        <f>D77-$K15</f>
        <v>94</v>
      </c>
      <c r="F77" s="1790">
        <f>E77-$K15</f>
        <v>91</v>
      </c>
      <c r="G77" s="1790">
        <f>F77-$K15</f>
        <v>88</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98</v>
      </c>
      <c r="E79" s="1790">
        <f>D79-$K17</f>
        <v>96</v>
      </c>
      <c r="F79" s="1790">
        <f>E79-$K17</f>
        <v>94</v>
      </c>
      <c r="G79" s="1790">
        <f>F79-$K17</f>
        <v>92</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98</v>
      </c>
      <c r="E81" s="1790">
        <f>D81-$K19</f>
        <v>96</v>
      </c>
      <c r="F81" s="1790">
        <f>E81-$K19</f>
        <v>94</v>
      </c>
      <c r="G81" s="1790">
        <f>F81-$K19</f>
        <v>92</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99</v>
      </c>
      <c r="E83" s="1790">
        <f>D83-$K21</f>
        <v>98</v>
      </c>
      <c r="F83" s="1790">
        <f>E83-$K21</f>
        <v>97</v>
      </c>
      <c r="G83" s="1790">
        <f>F83-$K21</f>
        <v>96</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99</v>
      </c>
      <c r="E85" s="1790">
        <f>D85-$K23</f>
        <v>98</v>
      </c>
      <c r="F85" s="1790">
        <f>E85-$K23</f>
        <v>97</v>
      </c>
      <c r="G85" s="1790">
        <f>F85-$K23</f>
        <v>96</v>
      </c>
      <c r="H85" s="1790"/>
      <c r="I85" s="1790"/>
      <c r="J85" s="1790"/>
      <c r="K85" s="1790"/>
      <c r="L85" s="1790"/>
      <c r="M85" s="1791"/>
      <c r="N85" s="2934"/>
      <c r="O85" s="2934"/>
      <c r="P85" s="1780"/>
      <c r="Q85" s="1749"/>
    </row>
    <row r="86" spans="1:17" s="1612" customFormat="1" ht="15.75" thickTop="1">
      <c r="A86" s="1817"/>
      <c r="B86" s="1786" t="s">
        <v>2138</v>
      </c>
      <c r="C86" s="3330" t="s">
        <v>3054</v>
      </c>
      <c r="D86" s="3330" t="s">
        <v>3055</v>
      </c>
      <c r="E86" s="3330" t="s">
        <v>3056</v>
      </c>
      <c r="F86" s="3330" t="s">
        <v>3057</v>
      </c>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98</v>
      </c>
      <c r="E87" s="1790">
        <f t="shared" si="19"/>
        <v>96</v>
      </c>
      <c r="F87" s="1790">
        <f t="shared" si="19"/>
        <v>94</v>
      </c>
      <c r="G87" s="1790">
        <f t="shared" si="19"/>
        <v>92</v>
      </c>
      <c r="H87" s="1790">
        <f t="shared" si="19"/>
        <v>90</v>
      </c>
      <c r="I87" s="1790">
        <f t="shared" si="19"/>
        <v>88</v>
      </c>
      <c r="J87" s="1790">
        <f t="shared" si="19"/>
        <v>86</v>
      </c>
      <c r="K87" s="1790">
        <f t="shared" si="19"/>
        <v>84</v>
      </c>
      <c r="L87" s="1790">
        <f t="shared" si="19"/>
        <v>82</v>
      </c>
      <c r="M87" s="1790">
        <f t="shared" si="19"/>
        <v>80</v>
      </c>
      <c r="N87" s="2934"/>
      <c r="O87" s="2934"/>
      <c r="P87" s="1780"/>
      <c r="Q87" s="1749"/>
    </row>
    <row r="88" spans="1:17" s="1612" customFormat="1" ht="15.75" thickTop="1">
      <c r="A88" s="1817"/>
      <c r="B88" s="1786" t="str">
        <f>B26</f>
        <v>平面位置/可视性</v>
      </c>
      <c r="C88" s="3333" t="s">
        <v>29</v>
      </c>
      <c r="D88" s="468" t="s">
        <v>30</v>
      </c>
      <c r="E88" s="468" t="s">
        <v>31</v>
      </c>
      <c r="F88" s="1820" t="s">
        <v>32</v>
      </c>
      <c r="G88" s="468" t="s">
        <v>35</v>
      </c>
      <c r="H88" s="468"/>
      <c r="I88" s="468"/>
      <c r="J88" s="468"/>
      <c r="K88" s="468"/>
      <c r="L88" s="468"/>
      <c r="M88" s="1818"/>
      <c r="N88" s="2932"/>
      <c r="O88" s="2932"/>
      <c r="P88" s="1780"/>
      <c r="Q88" s="1749"/>
    </row>
    <row r="89" spans="1:17" s="1612" customFormat="1" ht="15.75" thickBot="1">
      <c r="A89" s="1817"/>
      <c r="B89" s="1789"/>
      <c r="C89" s="1802">
        <v>100</v>
      </c>
      <c r="D89" s="1783">
        <f>C89-2</f>
        <v>98</v>
      </c>
      <c r="E89" s="1783">
        <f t="shared" ref="E89:G89" si="20">D89-2</f>
        <v>96</v>
      </c>
      <c r="F89" s="1783">
        <f t="shared" si="20"/>
        <v>94</v>
      </c>
      <c r="G89" s="1783">
        <f t="shared" si="20"/>
        <v>92</v>
      </c>
      <c r="H89" s="1783"/>
      <c r="I89" s="1783"/>
      <c r="J89" s="1783"/>
      <c r="K89" s="1783"/>
      <c r="L89" s="1783"/>
      <c r="M89" s="1783"/>
      <c r="N89" s="2934"/>
      <c r="O89" s="2934"/>
      <c r="P89" s="1780"/>
      <c r="Q89" s="1749"/>
    </row>
    <row r="90" spans="1:17" s="1699" customFormat="1" ht="15.75" thickTop="1">
      <c r="A90" s="1797"/>
      <c r="B90" s="1786" t="str">
        <f>B27</f>
        <v>人流量</v>
      </c>
      <c r="C90" s="3333" t="s">
        <v>29</v>
      </c>
      <c r="D90" s="468" t="s">
        <v>30</v>
      </c>
      <c r="E90" s="468" t="s">
        <v>31</v>
      </c>
      <c r="F90" s="1820" t="s">
        <v>32</v>
      </c>
      <c r="G90" s="468" t="s">
        <v>35</v>
      </c>
      <c r="H90" s="443"/>
      <c r="I90" s="443"/>
      <c r="J90" s="443"/>
      <c r="K90" s="443"/>
      <c r="L90" s="443"/>
      <c r="M90" s="1798"/>
      <c r="N90" s="2935"/>
      <c r="O90" s="2935"/>
      <c r="P90" s="1800"/>
      <c r="Q90" s="1801"/>
    </row>
    <row r="91" spans="1:17" s="1699" customFormat="1" ht="15.75" thickBot="1">
      <c r="A91" s="1797"/>
      <c r="B91" s="1789"/>
      <c r="C91" s="1819">
        <v>100</v>
      </c>
      <c r="D91" s="1790">
        <f>C91-$K27</f>
        <v>97</v>
      </c>
      <c r="E91" s="1790">
        <f t="shared" ref="E91:M91" si="21">D91-$K27</f>
        <v>94</v>
      </c>
      <c r="F91" s="1790">
        <f t="shared" si="21"/>
        <v>91</v>
      </c>
      <c r="G91" s="1790">
        <f t="shared" si="21"/>
        <v>88</v>
      </c>
      <c r="H91" s="1790">
        <f t="shared" si="21"/>
        <v>85</v>
      </c>
      <c r="I91" s="1790">
        <f t="shared" si="21"/>
        <v>82</v>
      </c>
      <c r="J91" s="1790">
        <f t="shared" si="21"/>
        <v>79</v>
      </c>
      <c r="K91" s="1790">
        <f t="shared" si="21"/>
        <v>76</v>
      </c>
      <c r="L91" s="1790">
        <f t="shared" si="21"/>
        <v>73</v>
      </c>
      <c r="M91" s="1790">
        <f t="shared" si="21"/>
        <v>70</v>
      </c>
      <c r="N91" s="2935"/>
      <c r="O91" s="2935"/>
      <c r="P91" s="1800"/>
      <c r="Q91" s="1801"/>
    </row>
    <row r="92" spans="1:17" ht="15.75" thickTop="1">
      <c r="A92" s="1781"/>
      <c r="B92" s="1786" t="str">
        <f>B28</f>
        <v>楼层</v>
      </c>
      <c r="C92" s="468">
        <v>1</v>
      </c>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3334" t="s">
        <v>3063</v>
      </c>
      <c r="D100" s="3334" t="s">
        <v>3064</v>
      </c>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2">C101-$K32</f>
        <v>97</v>
      </c>
      <c r="E101" s="1790">
        <f t="shared" si="22"/>
        <v>94</v>
      </c>
      <c r="F101" s="1790">
        <f t="shared" si="22"/>
        <v>91</v>
      </c>
      <c r="G101" s="1790">
        <f t="shared" si="22"/>
        <v>88</v>
      </c>
      <c r="H101" s="1790">
        <f t="shared" si="22"/>
        <v>85</v>
      </c>
      <c r="I101" s="1790">
        <f t="shared" si="22"/>
        <v>82</v>
      </c>
      <c r="J101" s="1790">
        <f t="shared" si="22"/>
        <v>79</v>
      </c>
      <c r="K101" s="1790">
        <f t="shared" si="22"/>
        <v>76</v>
      </c>
      <c r="L101" s="1790">
        <f t="shared" si="22"/>
        <v>73</v>
      </c>
      <c r="M101" s="1791">
        <f t="shared" si="22"/>
        <v>70</v>
      </c>
      <c r="N101" s="2934"/>
      <c r="O101" s="2934"/>
      <c r="P101" s="1780"/>
      <c r="Q101" s="1749"/>
    </row>
    <row r="102" spans="1:17" ht="15.75" thickTop="1">
      <c r="A102" s="1781"/>
      <c r="B102" s="1786" t="s">
        <v>2085</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1988" t="str">
        <f>M103&amp;"(含)"&amp;"-"&amp;P103</f>
        <v>(含)-</v>
      </c>
      <c r="N102" s="2932"/>
      <c r="O102" s="2932"/>
      <c r="P102" s="1780"/>
      <c r="Q102" s="1749"/>
    </row>
    <row r="103" spans="1:17" s="1699" customFormat="1">
      <c r="A103" s="1827"/>
      <c r="B103" s="1828"/>
      <c r="C103" s="3335">
        <v>0</v>
      </c>
      <c r="D103" s="3335">
        <v>100</v>
      </c>
      <c r="E103" s="3335">
        <v>300</v>
      </c>
      <c r="F103" s="3335">
        <v>500</v>
      </c>
      <c r="G103" s="3335">
        <v>800</v>
      </c>
      <c r="H103" s="1829"/>
      <c r="I103" s="1829"/>
      <c r="J103" s="485"/>
      <c r="K103" s="485"/>
      <c r="L103" s="485"/>
      <c r="M103" s="1830"/>
      <c r="N103" s="2935"/>
      <c r="O103" s="2935"/>
      <c r="P103" s="1800"/>
      <c r="Q103" s="1801"/>
    </row>
    <row r="104" spans="1:17" s="1699" customFormat="1" ht="15.75" thickBot="1">
      <c r="A104" s="1797"/>
      <c r="B104" s="1789"/>
      <c r="C104" s="3336">
        <v>100</v>
      </c>
      <c r="D104" s="3337">
        <f>C104-2</f>
        <v>98</v>
      </c>
      <c r="E104" s="3337">
        <f t="shared" ref="E104:G104" si="24">D104-2</f>
        <v>96</v>
      </c>
      <c r="F104" s="3337">
        <f t="shared" si="24"/>
        <v>94</v>
      </c>
      <c r="G104" s="3337">
        <f t="shared" si="24"/>
        <v>92</v>
      </c>
      <c r="H104" s="1783"/>
      <c r="I104" s="1783"/>
      <c r="J104" s="1783"/>
      <c r="K104" s="1783"/>
      <c r="L104" s="1783"/>
      <c r="M104" s="1784"/>
      <c r="N104" s="2934"/>
      <c r="O104" s="2934"/>
      <c r="P104" s="1800"/>
      <c r="Q104" s="1801"/>
    </row>
    <row r="105" spans="1:17" ht="15" thickTop="1">
      <c r="A105" s="1831"/>
      <c r="B105" s="1786" t="s">
        <v>2086</v>
      </c>
      <c r="C105" s="3330" t="s">
        <v>3052</v>
      </c>
      <c r="D105" s="3338"/>
      <c r="E105" s="3339"/>
      <c r="F105" s="3339"/>
      <c r="G105" s="3339"/>
      <c r="H105" s="1505"/>
      <c r="I105" s="1505"/>
      <c r="J105" s="1505"/>
      <c r="K105" s="473"/>
      <c r="L105" s="473"/>
      <c r="M105" s="1821"/>
      <c r="N105" s="2933"/>
      <c r="O105" s="2933"/>
      <c r="P105" s="1780"/>
      <c r="Q105" s="1749"/>
    </row>
    <row r="106" spans="1:17" ht="15.75" thickBot="1">
      <c r="A106" s="1781"/>
      <c r="B106" s="1789"/>
      <c r="C106" s="1790">
        <v>100</v>
      </c>
      <c r="D106" s="1790">
        <f t="shared" ref="D106:M106" si="25">C106-$K34</f>
        <v>98</v>
      </c>
      <c r="E106" s="1790">
        <f t="shared" si="25"/>
        <v>96</v>
      </c>
      <c r="F106" s="1790">
        <f t="shared" si="25"/>
        <v>94</v>
      </c>
      <c r="G106" s="1790">
        <f t="shared" si="25"/>
        <v>92</v>
      </c>
      <c r="H106" s="1790">
        <f t="shared" si="25"/>
        <v>90</v>
      </c>
      <c r="I106" s="1790">
        <f t="shared" si="25"/>
        <v>88</v>
      </c>
      <c r="J106" s="1790">
        <f t="shared" si="25"/>
        <v>86</v>
      </c>
      <c r="K106" s="1790">
        <f t="shared" si="25"/>
        <v>84</v>
      </c>
      <c r="L106" s="1790">
        <f t="shared" si="25"/>
        <v>82</v>
      </c>
      <c r="M106" s="1791">
        <f t="shared" si="25"/>
        <v>80</v>
      </c>
      <c r="N106" s="2934"/>
      <c r="O106" s="2934"/>
      <c r="P106" s="1780"/>
      <c r="Q106" s="1749"/>
    </row>
    <row r="107" spans="1:17" ht="15" thickTop="1">
      <c r="A107" s="1831"/>
      <c r="B107" s="1786" t="s">
        <v>2088</v>
      </c>
      <c r="C107" s="3340" t="s">
        <v>3065</v>
      </c>
      <c r="D107" s="3340" t="s">
        <v>3066</v>
      </c>
      <c r="E107" s="3340" t="s">
        <v>3067</v>
      </c>
      <c r="F107" s="3341" t="s">
        <v>3068</v>
      </c>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6">C108-$K35</f>
        <v>100</v>
      </c>
      <c r="E108" s="1790">
        <f t="shared" si="26"/>
        <v>100</v>
      </c>
      <c r="F108" s="1790">
        <f t="shared" si="26"/>
        <v>100</v>
      </c>
      <c r="G108" s="1790">
        <f t="shared" si="26"/>
        <v>100</v>
      </c>
      <c r="H108" s="1790">
        <f t="shared" si="26"/>
        <v>100</v>
      </c>
      <c r="I108" s="1790">
        <f t="shared" si="26"/>
        <v>100</v>
      </c>
      <c r="J108" s="1790">
        <f t="shared" si="26"/>
        <v>100</v>
      </c>
      <c r="K108" s="1790">
        <f t="shared" si="26"/>
        <v>100</v>
      </c>
      <c r="L108" s="1790">
        <f t="shared" si="26"/>
        <v>100</v>
      </c>
      <c r="M108" s="1791">
        <f t="shared" si="26"/>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7">D111+$K36</f>
        <v>100</v>
      </c>
      <c r="F111" s="1790">
        <f t="shared" si="27"/>
        <v>100</v>
      </c>
      <c r="G111" s="1790">
        <f t="shared" si="27"/>
        <v>100</v>
      </c>
      <c r="H111" s="1790">
        <f t="shared" si="27"/>
        <v>100</v>
      </c>
      <c r="I111" s="1790">
        <f t="shared" si="27"/>
        <v>100</v>
      </c>
      <c r="J111" s="1790">
        <f t="shared" si="27"/>
        <v>100</v>
      </c>
      <c r="K111" s="1790">
        <f t="shared" si="27"/>
        <v>100</v>
      </c>
      <c r="L111" s="1790">
        <f t="shared" si="27"/>
        <v>100</v>
      </c>
      <c r="M111" s="1790">
        <f t="shared" si="27"/>
        <v>100</v>
      </c>
      <c r="N111" s="2934"/>
      <c r="O111" s="2934"/>
      <c r="P111" s="1780"/>
      <c r="Q111" s="1749"/>
    </row>
    <row r="112" spans="1:17" s="1699" customFormat="1" ht="15" thickTop="1">
      <c r="A112" s="1827"/>
      <c r="B112" s="1786" t="s">
        <v>2091</v>
      </c>
      <c r="C112" s="3342" t="s">
        <v>3069</v>
      </c>
      <c r="D112" s="3330" t="s">
        <v>3070</v>
      </c>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99</v>
      </c>
      <c r="E113" s="1790">
        <f t="shared" ref="E113:M113" si="28">D113-$K37</f>
        <v>98</v>
      </c>
      <c r="F113" s="1790">
        <f t="shared" si="28"/>
        <v>97</v>
      </c>
      <c r="G113" s="1790">
        <f t="shared" si="28"/>
        <v>96</v>
      </c>
      <c r="H113" s="1790">
        <f t="shared" si="28"/>
        <v>95</v>
      </c>
      <c r="I113" s="1790">
        <f t="shared" si="28"/>
        <v>94</v>
      </c>
      <c r="J113" s="1790">
        <f t="shared" si="28"/>
        <v>93</v>
      </c>
      <c r="K113" s="1790">
        <f t="shared" si="28"/>
        <v>92</v>
      </c>
      <c r="L113" s="1790">
        <f t="shared" si="28"/>
        <v>91</v>
      </c>
      <c r="M113" s="1790">
        <f t="shared" si="28"/>
        <v>90</v>
      </c>
      <c r="N113" s="2935"/>
      <c r="O113" s="2935"/>
      <c r="P113" s="1800"/>
      <c r="Q113" s="1801"/>
    </row>
    <row r="114" spans="1:17" ht="15" thickTop="1">
      <c r="A114" s="1831"/>
      <c r="B114" s="1786" t="s">
        <v>2140</v>
      </c>
      <c r="C114" s="3333" t="s">
        <v>3071</v>
      </c>
      <c r="D114" s="3333" t="s">
        <v>3072</v>
      </c>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9">C115-$K38</f>
        <v>98</v>
      </c>
      <c r="E115" s="1790">
        <f t="shared" si="29"/>
        <v>96</v>
      </c>
      <c r="F115" s="1790">
        <f t="shared" si="29"/>
        <v>94</v>
      </c>
      <c r="G115" s="1790">
        <f t="shared" si="29"/>
        <v>92</v>
      </c>
      <c r="H115" s="1790">
        <f t="shared" si="29"/>
        <v>90</v>
      </c>
      <c r="I115" s="1790">
        <f t="shared" si="29"/>
        <v>88</v>
      </c>
      <c r="J115" s="1790">
        <f t="shared" si="29"/>
        <v>86</v>
      </c>
      <c r="K115" s="1790">
        <f t="shared" si="29"/>
        <v>84</v>
      </c>
      <c r="L115" s="1790">
        <f t="shared" si="29"/>
        <v>82</v>
      </c>
      <c r="M115" s="1791">
        <f t="shared" si="29"/>
        <v>80</v>
      </c>
      <c r="N115" s="2934"/>
      <c r="O115" s="2934"/>
      <c r="P115" s="1780"/>
      <c r="Q115" s="1749"/>
    </row>
    <row r="116" spans="1:17" ht="15" thickTop="1">
      <c r="A116" s="1831"/>
      <c r="B116" s="1786" t="s">
        <v>2141</v>
      </c>
      <c r="C116" s="3343" t="s">
        <v>3075</v>
      </c>
      <c r="D116" s="3333" t="s">
        <v>3073</v>
      </c>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98</v>
      </c>
      <c r="E117" s="1790">
        <f>D117-$K39</f>
        <v>96</v>
      </c>
      <c r="F117" s="1790">
        <f>E117-$K39</f>
        <v>94</v>
      </c>
      <c r="G117" s="1790">
        <f>F117-$K39</f>
        <v>92</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30">D121-$K41</f>
        <v>100</v>
      </c>
      <c r="F121" s="1790">
        <f t="shared" si="30"/>
        <v>100</v>
      </c>
      <c r="G121" s="1790">
        <f t="shared" si="30"/>
        <v>100</v>
      </c>
      <c r="H121" s="1790">
        <f t="shared" si="30"/>
        <v>100</v>
      </c>
      <c r="I121" s="1790">
        <f t="shared" si="30"/>
        <v>100</v>
      </c>
      <c r="J121" s="1790">
        <f t="shared" si="30"/>
        <v>100</v>
      </c>
      <c r="K121" s="1790">
        <f t="shared" si="30"/>
        <v>100</v>
      </c>
      <c r="L121" s="1790">
        <f t="shared" si="30"/>
        <v>100</v>
      </c>
      <c r="M121" s="1791">
        <f t="shared" si="30"/>
        <v>100</v>
      </c>
      <c r="N121" s="2935"/>
      <c r="O121" s="2935"/>
      <c r="P121" s="1800"/>
      <c r="Q121" s="1801"/>
    </row>
    <row r="122" spans="1:17" ht="15" thickTop="1">
      <c r="A122" s="1831"/>
      <c r="B122" s="1786" t="s">
        <v>2093</v>
      </c>
      <c r="C122" s="3340" t="s">
        <v>3065</v>
      </c>
      <c r="D122" s="3340" t="s">
        <v>3066</v>
      </c>
      <c r="E122" s="3340" t="s">
        <v>3067</v>
      </c>
      <c r="F122" s="3341" t="s">
        <v>3068</v>
      </c>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31">C123-$K42</f>
        <v>98</v>
      </c>
      <c r="E123" s="1790">
        <f t="shared" si="31"/>
        <v>96</v>
      </c>
      <c r="F123" s="1790">
        <f t="shared" si="31"/>
        <v>94</v>
      </c>
      <c r="G123" s="1790">
        <f t="shared" si="31"/>
        <v>92</v>
      </c>
      <c r="H123" s="1790">
        <f t="shared" si="31"/>
        <v>90</v>
      </c>
      <c r="I123" s="1790">
        <f t="shared" si="31"/>
        <v>88</v>
      </c>
      <c r="J123" s="1790">
        <f t="shared" si="31"/>
        <v>86</v>
      </c>
      <c r="K123" s="1790">
        <f t="shared" si="31"/>
        <v>84</v>
      </c>
      <c r="L123" s="1790">
        <f t="shared" si="31"/>
        <v>82</v>
      </c>
      <c r="M123" s="1791">
        <f t="shared" si="31"/>
        <v>80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98</v>
      </c>
      <c r="E125" s="1790">
        <f>D125-$K43</f>
        <v>96</v>
      </c>
      <c r="F125" s="1790">
        <f>E125-$K43</f>
        <v>94</v>
      </c>
      <c r="G125" s="1790">
        <f>F125-$K43</f>
        <v>92</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5" zoomScaleNormal="60" zoomScaleSheetLayoutView="85" workbookViewId="0">
      <selection activeCell="K54" sqref="K54:L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2522882</v>
      </c>
      <c r="C2" s="1446"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29917</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166422</v>
      </c>
      <c r="D5" s="1560" t="s">
        <v>2484</v>
      </c>
      <c r="E5" s="885"/>
      <c r="F5" s="1014"/>
      <c r="G5" s="909"/>
      <c r="H5" s="232">
        <v>1</v>
      </c>
      <c r="I5" s="233" t="s">
        <v>1772</v>
      </c>
      <c r="J5" s="234">
        <f ca="1">J6+J10+J12</f>
        <v>0</v>
      </c>
      <c r="K5" s="1447" t="s">
        <v>1773</v>
      </c>
      <c r="L5" s="885"/>
      <c r="M5" s="1014"/>
    </row>
    <row r="6" spans="1:37" ht="18" customHeight="1">
      <c r="A6" s="1015" t="s">
        <v>1774</v>
      </c>
      <c r="B6" s="1369" t="s">
        <v>1775</v>
      </c>
      <c r="C6" s="234">
        <f>ROUND(F6*F8*F7*(1-F9),0)</f>
        <v>166214</v>
      </c>
      <c r="D6" s="36" t="s">
        <v>2461</v>
      </c>
      <c r="E6" s="235" t="s">
        <v>1776</v>
      </c>
      <c r="F6" s="236">
        <f>'数据-取费表'!B30</f>
        <v>6</v>
      </c>
      <c r="G6" s="909"/>
      <c r="H6" s="1015" t="s">
        <v>1774</v>
      </c>
      <c r="I6" s="1369"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84.33</v>
      </c>
      <c r="G7" s="909"/>
      <c r="H7" s="237"/>
      <c r="I7" s="238"/>
      <c r="J7" s="239"/>
      <c r="K7" s="240"/>
      <c r="L7" s="235" t="s">
        <v>1777</v>
      </c>
      <c r="M7" s="236">
        <f>IF('数据-取费表'!B42="",IF(D1="仅计算典型户型",'数据-取费表'!E5,'数据-取费表'!B5),'数据-取费表'!B42)</f>
        <v>84.33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8" t="s">
        <v>1782</v>
      </c>
      <c r="C10" s="1016">
        <f ca="1">ROUND(IF(F10="押一",C6/12*F11,IF(F10="押二",C6/12*2*F11,IF(F10="押三",C6/12*3*F11,C11*F11))),0)</f>
        <v>208</v>
      </c>
      <c r="D10" s="1449" t="s">
        <v>2466</v>
      </c>
      <c r="E10" s="246" t="s">
        <v>1783</v>
      </c>
      <c r="F10" s="1450" t="s">
        <v>1784</v>
      </c>
      <c r="G10" s="909"/>
      <c r="H10" s="1015" t="s">
        <v>1781</v>
      </c>
      <c r="I10" s="1448" t="s">
        <v>1782</v>
      </c>
      <c r="J10" s="1016">
        <f ca="1">ROUND(IF(M10="押一",J6/12*M11,IF(M10="押二",J6/12*2*M11,IF(M10="押三",J6/12*3*M11,J11*M11))),0)</f>
        <v>0</v>
      </c>
      <c r="K10" s="36" t="s">
        <v>2466</v>
      </c>
      <c r="L10" s="246" t="s">
        <v>1783</v>
      </c>
      <c r="M10" s="1450"/>
    </row>
    <row r="11" spans="1:37" s="257" customFormat="1" ht="18" customHeight="1">
      <c r="A11" s="263"/>
      <c r="B11" s="1451" t="s">
        <v>1785</v>
      </c>
      <c r="C11" s="1020"/>
      <c r="D11" s="240"/>
      <c r="E11" s="246" t="s">
        <v>1786</v>
      </c>
      <c r="F11" s="247">
        <f ca="1">'数据-取费表'!B31</f>
        <v>1.4999999999999999E-2</v>
      </c>
      <c r="G11" s="910"/>
      <c r="H11" s="241"/>
      <c r="I11" s="1451"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2" t="s">
        <v>1789</v>
      </c>
      <c r="C12" s="1026"/>
      <c r="D12" s="1453"/>
      <c r="E12" s="1032"/>
      <c r="F12" s="1027"/>
      <c r="G12" s="909"/>
      <c r="H12" s="1025" t="s">
        <v>1788</v>
      </c>
      <c r="I12" s="1452" t="s">
        <v>1789</v>
      </c>
      <c r="J12" s="1026"/>
      <c r="K12" s="1042"/>
      <c r="L12" s="1032"/>
      <c r="M12" s="1043"/>
    </row>
    <row r="13" spans="1:37" s="257" customFormat="1" ht="18" customHeight="1" thickTop="1">
      <c r="A13" s="1021">
        <v>2</v>
      </c>
      <c r="B13" s="1022" t="s">
        <v>1790</v>
      </c>
      <c r="C13" s="243">
        <f ca="1">ROUND(C29*F13,0)</f>
        <v>493581</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379485</v>
      </c>
      <c r="D14" s="1256" t="s">
        <v>1795</v>
      </c>
      <c r="E14" s="1257"/>
      <c r="F14" s="757"/>
      <c r="G14" s="910"/>
      <c r="H14" s="253" t="s">
        <v>1774</v>
      </c>
      <c r="I14" s="235" t="s">
        <v>1796</v>
      </c>
      <c r="J14" s="13">
        <f ca="1">C29</f>
        <v>567334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11385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8510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16866</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5692</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5.5000000000000007E-2</v>
      </c>
    </row>
    <row r="19" spans="1:37" s="257" customFormat="1" ht="18" customHeight="1">
      <c r="A19" s="253" t="s">
        <v>1811</v>
      </c>
      <c r="B19" s="235" t="s">
        <v>1819</v>
      </c>
      <c r="C19" s="13">
        <f>SUM(C14:C18)</f>
        <v>413428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8269</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8510</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17500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-8510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84339</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567334</v>
      </c>
      <c r="D29" s="1034"/>
      <c r="E29" s="1032"/>
      <c r="F29" s="1035"/>
      <c r="G29" s="652"/>
      <c r="H29" s="271" t="s">
        <v>24</v>
      </c>
      <c r="I29" s="272" t="s">
        <v>1869</v>
      </c>
      <c r="J29" s="273">
        <f ca="1">ROUND(J26/(1+F40)^F41,0)</f>
        <v>0</v>
      </c>
      <c r="K29" s="274" t="s">
        <v>1870</v>
      </c>
      <c r="L29" s="275"/>
      <c r="M29" s="276">
        <f>IF(D1="仅计算典型户型",'数据-取费表'!E5,'数据-取费表'!B5)</f>
        <v>84.33</v>
      </c>
    </row>
    <row r="30" spans="1:37" ht="18" customHeight="1" thickTop="1">
      <c r="A30" s="1021" t="s">
        <v>14</v>
      </c>
      <c r="B30" s="1022" t="s">
        <v>1871</v>
      </c>
      <c r="C30" s="243">
        <f ca="1">ROUND(C31+C36+C37+C38,0)</f>
        <v>21995</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11081</v>
      </c>
      <c r="D31" s="1256" t="s">
        <v>1873</v>
      </c>
      <c r="E31" s="1259"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8510</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740</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1664</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144427</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2522882</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28.15</v>
      </c>
      <c r="H41" s="908"/>
      <c r="I41" s="135" t="s">
        <v>1762</v>
      </c>
      <c r="J41" s="136">
        <f ca="1">ROUND(C13/C40,3)</f>
        <v>0.19600000000000001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0.80400000000000005</v>
      </c>
      <c r="K42" s="905"/>
      <c r="L42" s="908"/>
      <c r="M42" s="908"/>
      <c r="Q42" s="656"/>
    </row>
    <row r="43" spans="1:18" s="652" customFormat="1" ht="18" customHeight="1" thickBot="1">
      <c r="A43" s="271" t="s">
        <v>24</v>
      </c>
      <c r="B43" s="272" t="s">
        <v>1891</v>
      </c>
      <c r="C43" s="273">
        <f ca="1">ROUND(C40/F43,0)</f>
        <v>29917</v>
      </c>
      <c r="D43" s="274" t="s">
        <v>1892</v>
      </c>
      <c r="E43" s="275" t="s">
        <v>1893</v>
      </c>
      <c r="F43" s="276">
        <f>IF(D1="仅计算典型户型",'数据-取费表'!E5,'数据-取费表'!B5)</f>
        <v>84.33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2522882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4" t="s">
        <v>1903</v>
      </c>
      <c r="C47" s="950">
        <f ca="1">IF(C2="元",C69-C40,ROUND((C69-C40)/10000,0))</f>
        <v>-2647151</v>
      </c>
      <c r="D47" s="1455" t="str">
        <f>C2</f>
        <v>元</v>
      </c>
      <c r="E47" s="649"/>
      <c r="F47" s="649"/>
      <c r="I47" s="1456" t="s">
        <v>1904</v>
      </c>
      <c r="J47" s="981"/>
      <c r="K47" s="982"/>
      <c r="L47" s="995" t="str">
        <f>IF(M48="住宅",0,IF(L49&gt;J52,L61,J61))</f>
        <v>0</v>
      </c>
      <c r="O47" s="1009" t="s">
        <v>769</v>
      </c>
      <c r="P47" s="1006" t="s">
        <v>1905</v>
      </c>
      <c r="Q47" s="1007">
        <f ca="1">C29</f>
        <v>567334</v>
      </c>
      <c r="R47" s="1008" t="s">
        <v>1900</v>
      </c>
    </row>
    <row r="48" spans="1:18" s="652" customFormat="1" ht="15.75" thickBot="1">
      <c r="A48" s="228" t="s">
        <v>1906</v>
      </c>
      <c r="B48" s="229" t="s">
        <v>1907</v>
      </c>
      <c r="C48" s="229" t="s">
        <v>1908</v>
      </c>
      <c r="D48" s="229" t="s">
        <v>1909</v>
      </c>
      <c r="E48" s="944" t="s">
        <v>1910</v>
      </c>
      <c r="F48" s="945"/>
      <c r="I48" s="1457" t="s">
        <v>1911</v>
      </c>
      <c r="J48" s="1458" t="s">
        <v>3052</v>
      </c>
      <c r="K48" s="1459"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0" t="s">
        <v>1915</v>
      </c>
      <c r="J49" s="1461" t="s">
        <v>3053</v>
      </c>
      <c r="K49" s="1462" t="s">
        <v>1916</v>
      </c>
      <c r="L49" s="821">
        <f>'数据-取费表'!B13</f>
        <v>28.15</v>
      </c>
      <c r="O49" s="1009" t="s">
        <v>771</v>
      </c>
      <c r="P49" s="1006" t="s">
        <v>1917</v>
      </c>
      <c r="Q49" s="1010">
        <f>J53</f>
        <v>0</v>
      </c>
      <c r="R49" s="1008"/>
    </row>
    <row r="50" spans="1:18" s="652" customFormat="1" ht="15.75" thickBot="1">
      <c r="A50" s="260" t="s">
        <v>1774</v>
      </c>
      <c r="B50" s="1369" t="s">
        <v>1918</v>
      </c>
      <c r="C50" s="234">
        <f>ROUND(F50*F52*F51*(1-F53),0)</f>
        <v>0</v>
      </c>
      <c r="D50" s="42" t="s">
        <v>2462</v>
      </c>
      <c r="E50" s="1463" t="s">
        <v>1919</v>
      </c>
      <c r="F50" s="946"/>
      <c r="I50" s="1460" t="s">
        <v>1920</v>
      </c>
      <c r="J50" s="821">
        <f>'数据-取费表'!B27</f>
        <v>2014</v>
      </c>
      <c r="K50" s="1464" t="s">
        <v>1921</v>
      </c>
      <c r="L50" s="984"/>
      <c r="O50" s="1009" t="s">
        <v>772</v>
      </c>
      <c r="P50" s="1006" t="s">
        <v>1922</v>
      </c>
      <c r="Q50" s="1007">
        <f>J54</f>
        <v>28.15</v>
      </c>
      <c r="R50" s="1008" t="s">
        <v>1923</v>
      </c>
    </row>
    <row r="51" spans="1:18" s="652" customFormat="1" ht="15.75" thickBot="1">
      <c r="A51" s="237"/>
      <c r="B51" s="238"/>
      <c r="C51" s="239"/>
      <c r="D51" s="240"/>
      <c r="E51" s="255" t="s">
        <v>1777</v>
      </c>
      <c r="F51" s="943">
        <f>F7</f>
        <v>84.33</v>
      </c>
      <c r="I51" s="1460" t="s">
        <v>1924</v>
      </c>
      <c r="J51" s="985">
        <f>SUMPRODUCT((I64:I66=J48)*(J63:L63=J49)*(J64:L66))</f>
        <v>60</v>
      </c>
      <c r="K51" s="1464" t="s">
        <v>1925</v>
      </c>
      <c r="L51" s="984"/>
      <c r="O51" s="1005" t="s">
        <v>773</v>
      </c>
      <c r="P51" s="1006" t="str">
        <f>IF(C2="元","收益价值(元)","收益价值(万元)")</f>
        <v>收益价值(元)</v>
      </c>
      <c r="Q51" s="1007">
        <f ca="1">ROUND(IF(C2="元",Q45+Q46,(Q45+Q46)/10000),0)</f>
        <v>2522882</v>
      </c>
      <c r="R51" s="1008" t="s">
        <v>774</v>
      </c>
    </row>
    <row r="52" spans="1:18" s="652" customFormat="1" ht="16.5" thickBot="1">
      <c r="A52" s="237"/>
      <c r="B52" s="238"/>
      <c r="C52" s="239"/>
      <c r="D52" s="240"/>
      <c r="E52" s="235" t="s">
        <v>1779</v>
      </c>
      <c r="F52" s="236">
        <f>F8</f>
        <v>365</v>
      </c>
      <c r="I52" s="1465" t="s">
        <v>1926</v>
      </c>
      <c r="J52" s="986">
        <f>IF(J50="",J51,J50+J51-YEAR('数据-取费表'!B2))</f>
        <v>52</v>
      </c>
      <c r="K52" s="1466" t="s">
        <v>1927</v>
      </c>
      <c r="L52" s="987">
        <f ca="1">ROUND(-PV('数据-取费表'!B15,J52,(C40-C13*J35)),0)</f>
        <v>46466625</v>
      </c>
      <c r="O52" s="999" t="s">
        <v>1928</v>
      </c>
      <c r="P52" s="1000"/>
      <c r="Q52" s="996"/>
      <c r="R52" s="1000"/>
    </row>
    <row r="53" spans="1:18" s="652" customFormat="1" ht="15.75" thickBot="1">
      <c r="A53" s="241"/>
      <c r="B53" s="242"/>
      <c r="C53" s="243"/>
      <c r="D53" s="244"/>
      <c r="E53" s="235" t="s">
        <v>1780</v>
      </c>
      <c r="F53" s="994"/>
      <c r="I53" s="1467" t="s">
        <v>1929</v>
      </c>
      <c r="J53" s="988"/>
      <c r="K53" s="1467" t="s">
        <v>1930</v>
      </c>
      <c r="L53" s="988"/>
      <c r="O53" s="1001" t="s">
        <v>1895</v>
      </c>
      <c r="P53" s="1002" t="s">
        <v>1896</v>
      </c>
      <c r="Q53" s="1003" t="s">
        <v>1897</v>
      </c>
      <c r="R53" s="1004" t="s">
        <v>1898</v>
      </c>
    </row>
    <row r="54" spans="1:18" s="652" customFormat="1" ht="29.25" customHeight="1" thickBot="1">
      <c r="A54" s="1015" t="s">
        <v>1781</v>
      </c>
      <c r="B54" s="1448" t="s">
        <v>1782</v>
      </c>
      <c r="C54" s="1016">
        <f ca="1">ROUND(IF(F54="押一",C50/12*F11,IF(F54="押二",C50/12*2*F11,IF(F54="押三",C50/12*3*F11,C55*F11))),0)</f>
        <v>0</v>
      </c>
      <c r="D54" s="1449" t="s">
        <v>2467</v>
      </c>
      <c r="E54" s="246" t="s">
        <v>1783</v>
      </c>
      <c r="F54" s="1450"/>
      <c r="I54" s="1556" t="s">
        <v>2470</v>
      </c>
      <c r="J54" s="989">
        <f>IF(M48="住宅",IF(E1="——",MAX(J52,L49),MAX(J52,L49-'数据-取费表'!B26)),IF(E1="——",MIN(J52,L49),MIN(J52,L49-'数据-取费表'!B26)))</f>
        <v>28.15</v>
      </c>
      <c r="K54" s="3623" t="s">
        <v>2460</v>
      </c>
      <c r="L54" s="3624"/>
      <c r="O54" s="1005" t="s">
        <v>767</v>
      </c>
      <c r="P54" s="1006" t="s">
        <v>1899</v>
      </c>
      <c r="Q54" s="1007">
        <f ca="1">C40+J29</f>
        <v>2522882</v>
      </c>
      <c r="R54" s="1008" t="s">
        <v>1900</v>
      </c>
    </row>
    <row r="55" spans="1:18" s="652" customFormat="1" ht="20.25" thickBot="1">
      <c r="A55" s="1015"/>
      <c r="B55" s="1468" t="s">
        <v>1787</v>
      </c>
      <c r="C55" s="1020"/>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5" t="s">
        <v>768</v>
      </c>
      <c r="P55" s="1006" t="s">
        <v>1931</v>
      </c>
      <c r="Q55" s="1007">
        <f>L61</f>
        <v>0</v>
      </c>
      <c r="R55" s="1008" t="s">
        <v>1932</v>
      </c>
    </row>
    <row r="56" spans="1:18" s="652" customFormat="1" ht="20.25" thickBot="1">
      <c r="A56" s="1025" t="s">
        <v>1788</v>
      </c>
      <c r="B56" s="1452" t="s">
        <v>1789</v>
      </c>
      <c r="C56" s="1026"/>
      <c r="D56" s="1042"/>
      <c r="E56" s="1471"/>
      <c r="F56" s="1081"/>
      <c r="I56" s="1472" t="s">
        <v>1933</v>
      </c>
      <c r="J56" s="1248" t="e">
        <f>ROUND(IF(J48="钢混",J58/J51,1-(1-2%)*(J51-J58)/J51),3)</f>
        <v>#VALUE!</v>
      </c>
      <c r="K56" s="1473"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493581</v>
      </c>
      <c r="D57" s="941"/>
      <c r="E57" s="942"/>
      <c r="F57" s="949"/>
      <c r="I57" s="1474" t="s">
        <v>1936</v>
      </c>
      <c r="J57" s="993" t="s">
        <v>3045</v>
      </c>
      <c r="K57" s="1460" t="s">
        <v>1937</v>
      </c>
      <c r="L57" s="821" t="str">
        <f>IF(L49&lt;J52,"——",L49-J52)</f>
        <v>——</v>
      </c>
      <c r="O57" s="1009" t="s">
        <v>770</v>
      </c>
      <c r="P57" s="1006" t="s">
        <v>1938</v>
      </c>
      <c r="Q57" s="1010">
        <f>L53</f>
        <v>0</v>
      </c>
      <c r="R57" s="1008"/>
    </row>
    <row r="58" spans="1:18" s="652" customFormat="1" ht="29.25" thickBot="1">
      <c r="A58" s="948"/>
      <c r="B58" s="235" t="s">
        <v>1868</v>
      </c>
      <c r="C58" s="104">
        <f ca="1">C29</f>
        <v>567334</v>
      </c>
      <c r="D58" s="941"/>
      <c r="E58" s="942"/>
      <c r="F58" s="949"/>
      <c r="I58" s="1475" t="s">
        <v>1939</v>
      </c>
      <c r="J58" s="992" t="str">
        <f>IF(OR(M48="住宅",J52&lt;L49,J57="是"),"——",J52-L49)</f>
        <v>——</v>
      </c>
      <c r="K58" s="1460"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9250</v>
      </c>
      <c r="D59" s="12" t="s">
        <v>1872</v>
      </c>
      <c r="E59" s="1261"/>
      <c r="F59" s="15"/>
      <c r="I59" s="1475" t="s">
        <v>1943</v>
      </c>
      <c r="J59" s="1247" t="e">
        <f>IF(J56&lt;0.4,0.4,J56)</f>
        <v>#VALUE!</v>
      </c>
      <c r="K59" s="1466"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7.0000000000000007E-2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2522882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6" t="s">
        <v>1947</v>
      </c>
      <c r="J61" s="991" t="str">
        <f>IF(OR(M48="住宅",J52&lt;L49,J57="是"),"0",ROUND(J60/(1+J53)^J54,0))</f>
        <v>0</v>
      </c>
      <c r="K61" s="1477"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1" t="s">
        <v>1955</v>
      </c>
      <c r="K63" s="1251" t="s">
        <v>1956</v>
      </c>
      <c r="L63" s="1251" t="s">
        <v>1957</v>
      </c>
      <c r="M63" s="1250" t="s">
        <v>1958</v>
      </c>
      <c r="O63" s="1005" t="s">
        <v>767</v>
      </c>
      <c r="P63" s="1006" t="s">
        <v>1899</v>
      </c>
      <c r="Q63" s="1007">
        <f ca="1">C40+J29</f>
        <v>2522882</v>
      </c>
      <c r="R63" s="1008" t="s">
        <v>1900</v>
      </c>
    </row>
    <row r="64" spans="1:18" s="652" customFormat="1" ht="20.25" thickBot="1">
      <c r="A64" s="263"/>
      <c r="B64" s="244"/>
      <c r="C64" s="17"/>
      <c r="D64" s="264"/>
      <c r="E64" s="235" t="s">
        <v>1959</v>
      </c>
      <c r="F64" s="236">
        <f t="shared" si="0"/>
        <v>0</v>
      </c>
      <c r="I64" s="1478"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8510</v>
      </c>
      <c r="D65" s="1259" t="s">
        <v>1881</v>
      </c>
      <c r="E65" s="235" t="s">
        <v>1825</v>
      </c>
      <c r="F65" s="265">
        <f t="shared" si="0"/>
        <v>1.4999999999999999E-2</v>
      </c>
      <c r="I65" s="1478" t="s">
        <v>1961</v>
      </c>
      <c r="J65" s="1251">
        <v>50</v>
      </c>
      <c r="K65" s="1251">
        <v>35</v>
      </c>
      <c r="L65" s="1251">
        <v>60</v>
      </c>
      <c r="M65" s="1250">
        <v>0</v>
      </c>
      <c r="O65" s="1009" t="s">
        <v>769</v>
      </c>
      <c r="P65" s="1006" t="s">
        <v>1935</v>
      </c>
      <c r="Q65" s="1011">
        <f ca="1">L52</f>
        <v>46466625</v>
      </c>
      <c r="R65" s="1012" t="s">
        <v>1962</v>
      </c>
    </row>
    <row r="66" spans="1:18" s="652" customFormat="1" ht="20.25" thickBot="1">
      <c r="A66" s="253" t="s">
        <v>20</v>
      </c>
      <c r="B66" s="235" t="s">
        <v>1840</v>
      </c>
      <c r="C66" s="13">
        <f ca="1">ROUND(C57*F66,0)</f>
        <v>740</v>
      </c>
      <c r="D66" s="1259" t="s">
        <v>1841</v>
      </c>
      <c r="E66" s="235" t="s">
        <v>1842</v>
      </c>
      <c r="F66" s="266">
        <f t="shared" si="0"/>
        <v>1.5E-3</v>
      </c>
      <c r="I66" s="1478" t="s">
        <v>1963</v>
      </c>
      <c r="J66" s="1251">
        <v>40</v>
      </c>
      <c r="K66" s="1251">
        <v>30</v>
      </c>
      <c r="L66" s="1251">
        <v>50</v>
      </c>
      <c r="M66" s="1249">
        <v>0.02</v>
      </c>
      <c r="O66" s="1009" t="s">
        <v>770</v>
      </c>
      <c r="P66" s="1013" t="s">
        <v>1964</v>
      </c>
      <c r="Q66" s="1007">
        <f ca="1">ROUND(Q67-Q68*Q69,0)</f>
        <v>144427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144427</v>
      </c>
      <c r="R67" s="1008" t="s">
        <v>1900</v>
      </c>
    </row>
    <row r="68" spans="1:18" ht="15.75" thickBot="1">
      <c r="A68" s="248" t="s">
        <v>22</v>
      </c>
      <c r="B68" s="41" t="s">
        <v>1850</v>
      </c>
      <c r="C68" s="250">
        <f ca="1">C49-C59</f>
        <v>-9250</v>
      </c>
      <c r="D68" s="1256" t="s">
        <v>1851</v>
      </c>
      <c r="E68" s="1258"/>
      <c r="F68" s="268"/>
      <c r="H68" s="652"/>
      <c r="I68" s="652"/>
      <c r="J68" s="652"/>
      <c r="K68" s="652"/>
      <c r="L68" s="652"/>
      <c r="M68" s="652"/>
      <c r="O68" s="1009" t="s">
        <v>776</v>
      </c>
      <c r="P68" s="1013" t="s">
        <v>1966</v>
      </c>
      <c r="Q68" s="1007">
        <f ca="1">C13</f>
        <v>493581</v>
      </c>
      <c r="R68" s="1008" t="s">
        <v>1900</v>
      </c>
    </row>
    <row r="69" spans="1:18" ht="15.75" thickBot="1">
      <c r="A69" s="232" t="s">
        <v>23</v>
      </c>
      <c r="B69" s="233" t="s">
        <v>1888</v>
      </c>
      <c r="C69" s="234">
        <f ca="1">ROUND(C68*(1-((1+F71)/(1+F69))^F70)/(F69-F71),0)</f>
        <v>-124269</v>
      </c>
      <c r="D69" s="261" t="s">
        <v>1856</v>
      </c>
      <c r="E69" s="235" t="s">
        <v>1857</v>
      </c>
      <c r="F69" s="245">
        <f>F40</f>
        <v>0.06</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28.15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-1474</v>
      </c>
      <c r="D72" s="274" t="s">
        <v>1892</v>
      </c>
      <c r="E72" s="275" t="s">
        <v>1893</v>
      </c>
      <c r="F72" s="276">
        <f>F43</f>
        <v>84.33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2522882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625" t="s">
        <v>2652</v>
      </c>
      <c r="K2" s="3626"/>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627" t="s">
        <v>2662</v>
      </c>
      <c r="K3" s="3628"/>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627" t="s">
        <v>2664</v>
      </c>
      <c r="K4" s="3628"/>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629" t="s">
        <v>2668</v>
      </c>
      <c r="B6" s="3630"/>
      <c r="C6" s="3631"/>
      <c r="D6" s="3153"/>
      <c r="E6" s="3097"/>
      <c r="F6" s="3098"/>
      <c r="G6" s="3198"/>
      <c r="H6" s="3184"/>
      <c r="I6" s="3185"/>
      <c r="J6" s="3632">
        <v>1</v>
      </c>
      <c r="K6" s="3633"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632"/>
      <c r="K7" s="3634"/>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636" t="s">
        <v>2681</v>
      </c>
      <c r="C8" s="3637"/>
      <c r="D8" s="3107" t="s">
        <v>2682</v>
      </c>
      <c r="E8" s="3108" t="s">
        <v>2683</v>
      </c>
      <c r="F8" s="3091" t="s">
        <v>2684</v>
      </c>
      <c r="G8" s="3261" t="s">
        <v>2792</v>
      </c>
      <c r="H8" s="3184"/>
      <c r="I8" s="3185"/>
      <c r="J8" s="3632"/>
      <c r="K8" s="3634"/>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636" t="s">
        <v>2686</v>
      </c>
      <c r="C9" s="3637"/>
      <c r="D9" s="3107">
        <f>ROUND(D6*E9,0)</f>
        <v>0</v>
      </c>
      <c r="E9" s="3154"/>
      <c r="F9" s="3109" t="s">
        <v>2687</v>
      </c>
      <c r="G9" s="3207" t="s">
        <v>2790</v>
      </c>
      <c r="H9" s="3184"/>
      <c r="I9" s="3185"/>
      <c r="J9" s="3632"/>
      <c r="K9" s="3634"/>
      <c r="L9" s="3202" t="s">
        <v>2780</v>
      </c>
      <c r="M9" s="3203"/>
      <c r="N9" s="3203"/>
      <c r="O9" s="3204"/>
      <c r="P9" s="3204"/>
      <c r="Q9" s="3205">
        <v>365</v>
      </c>
      <c r="R9" s="3206">
        <f t="shared" si="0"/>
        <v>0</v>
      </c>
      <c r="S9" s="3182"/>
      <c r="T9" s="3182"/>
      <c r="U9" s="3182"/>
      <c r="V9" s="3185"/>
      <c r="W9" s="3184"/>
    </row>
    <row r="10" spans="1:23" s="3090" customFormat="1" ht="13.15" customHeight="1">
      <c r="A10" s="3106">
        <v>2</v>
      </c>
      <c r="B10" s="3636" t="s">
        <v>2688</v>
      </c>
      <c r="C10" s="3637"/>
      <c r="D10" s="3107">
        <f>ROUND(D6*E10,0)</f>
        <v>0</v>
      </c>
      <c r="E10" s="3154"/>
      <c r="F10" s="3109" t="s">
        <v>2689</v>
      </c>
      <c r="G10" s="3207" t="s">
        <v>2791</v>
      </c>
      <c r="H10" s="3184"/>
      <c r="I10" s="3185"/>
      <c r="J10" s="3632"/>
      <c r="K10" s="3634"/>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636" t="s">
        <v>2690</v>
      </c>
      <c r="C11" s="3637"/>
      <c r="D11" s="3107">
        <f>D12+D14+D15+D16</f>
        <v>0</v>
      </c>
      <c r="E11" s="3110" t="e">
        <f>D11/D6</f>
        <v>#DIV/0!</v>
      </c>
      <c r="F11" s="3091"/>
      <c r="G11" s="3207"/>
      <c r="H11" s="3184"/>
      <c r="I11" s="3185"/>
      <c r="J11" s="3632"/>
      <c r="K11" s="3634"/>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638" t="s">
        <v>2692</v>
      </c>
      <c r="C12" s="3639"/>
      <c r="D12" s="3112">
        <f>ROUND(D13*1.2%*(1-30%),0)</f>
        <v>0</v>
      </c>
      <c r="E12" s="3113">
        <v>1.2E-2</v>
      </c>
      <c r="F12" s="3091" t="s">
        <v>2693</v>
      </c>
      <c r="G12" s="3207"/>
      <c r="H12" s="3184"/>
      <c r="I12" s="3185"/>
      <c r="J12" s="3632"/>
      <c r="K12" s="3634"/>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632"/>
      <c r="K13" s="3634"/>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638" t="s">
        <v>2696</v>
      </c>
      <c r="C14" s="3639"/>
      <c r="D14" s="3112">
        <f>ROUND(E14*B5/10000,0)</f>
        <v>0</v>
      </c>
      <c r="E14" s="3156"/>
      <c r="F14" s="3091" t="s">
        <v>2697</v>
      </c>
      <c r="G14" s="3207"/>
      <c r="H14" s="3184"/>
      <c r="I14" s="3185"/>
      <c r="J14" s="3632"/>
      <c r="K14" s="3635"/>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638" t="s">
        <v>2700</v>
      </c>
      <c r="C15" s="3639"/>
      <c r="D15" s="3112">
        <f>ROUND(D6*E15,0)</f>
        <v>0</v>
      </c>
      <c r="E15" s="3113">
        <v>5.5E-2</v>
      </c>
      <c r="F15" s="3091" t="s">
        <v>2701</v>
      </c>
      <c r="G15" s="3207"/>
      <c r="H15" s="3184"/>
      <c r="I15" s="3185"/>
      <c r="J15" s="3632">
        <v>2</v>
      </c>
      <c r="K15" s="3633"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638" t="s">
        <v>2711</v>
      </c>
      <c r="C16" s="3639"/>
      <c r="D16" s="3157">
        <f>D6*E16</f>
        <v>0</v>
      </c>
      <c r="E16" s="3158"/>
      <c r="F16" s="3109" t="s">
        <v>2712</v>
      </c>
      <c r="G16" s="3207"/>
      <c r="H16" s="3184"/>
      <c r="I16" s="3185"/>
      <c r="J16" s="3632"/>
      <c r="K16" s="3634"/>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40" t="s">
        <v>2713</v>
      </c>
      <c r="C17" s="3641"/>
      <c r="D17" s="3118">
        <f>ROUND(D6*E17,0)</f>
        <v>0</v>
      </c>
      <c r="E17" s="3159"/>
      <c r="F17" s="3119" t="s">
        <v>2714</v>
      </c>
      <c r="G17" s="3260">
        <v>0.1</v>
      </c>
      <c r="H17" s="3184"/>
      <c r="I17" s="3185"/>
      <c r="J17" s="3632"/>
      <c r="K17" s="3634"/>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632"/>
      <c r="K18" s="3634"/>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632"/>
      <c r="K19" s="3635"/>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32">
        <v>3</v>
      </c>
      <c r="K20" s="3633"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632"/>
      <c r="K21" s="3634"/>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632"/>
      <c r="K22" s="3634"/>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632"/>
      <c r="K23" s="3634"/>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632"/>
      <c r="K24" s="3635"/>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642">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643"/>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625" t="s">
        <v>2750</v>
      </c>
      <c r="K32" s="3626"/>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627" t="s">
        <v>2754</v>
      </c>
      <c r="K33" s="3628"/>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627" t="s">
        <v>2756</v>
      </c>
      <c r="K34" s="3628"/>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632">
        <v>1</v>
      </c>
      <c r="K36" s="3633"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632"/>
      <c r="K37" s="3634"/>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32"/>
      <c r="K38" s="3634"/>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632"/>
      <c r="K39" s="3634"/>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632"/>
      <c r="K40" s="3635"/>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42">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643"/>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7" t="s">
        <v>1973</v>
      </c>
      <c r="D4" s="3648"/>
      <c r="E4" s="3648"/>
      <c r="F4" s="3648"/>
      <c r="G4" s="3648"/>
      <c r="H4" s="3648"/>
      <c r="I4" s="3648"/>
      <c r="J4" s="3648"/>
      <c r="K4" s="3648"/>
      <c r="L4" s="3648"/>
      <c r="M4" s="3648"/>
      <c r="N4" s="3648"/>
      <c r="O4" s="3648"/>
      <c r="P4" s="3648"/>
      <c r="Q4" s="3648"/>
      <c r="R4" s="3648"/>
      <c r="S4" s="364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2" t="str">
        <f>'数据-取费表'!B3</f>
        <v>元</v>
      </c>
      <c r="D23" s="37"/>
      <c r="E23" s="37"/>
      <c r="F23" s="1483" t="s">
        <v>1001</v>
      </c>
      <c r="G23" s="1254"/>
      <c r="H23" s="575" t="e">
        <f ca="1">SUMIF(INDIRECT("'"&amp;J23&amp;"'"&amp;"!A:A"),"承租人权益价值",INDIRECT("'"&amp;J23&amp;"'"&amp;"!c:c"))</f>
        <v>#REF!</v>
      </c>
      <c r="I23" s="575" t="str">
        <f>C2</f>
        <v>元</v>
      </c>
      <c r="J23" s="1484"/>
      <c r="K23" s="37"/>
      <c r="L23" s="37"/>
      <c r="M23" s="37"/>
      <c r="N23" s="37"/>
      <c r="O23" s="37"/>
      <c r="P23" s="37"/>
      <c r="Q23" s="37"/>
      <c r="R23" s="645"/>
      <c r="S23" s="31"/>
      <c r="T23" s="31"/>
      <c r="U23" s="957"/>
      <c r="V23" s="958"/>
      <c r="W23" s="662"/>
      <c r="X23" s="662"/>
      <c r="Y23" s="662"/>
      <c r="Z23" s="662"/>
    </row>
    <row r="24" spans="1:45" ht="15.75">
      <c r="A24" s="1482"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2" t="s">
        <v>1989</v>
      </c>
      <c r="V24" s="2905"/>
      <c r="W24" s="2906" t="s">
        <v>1990</v>
      </c>
      <c r="X24" s="2172" t="s">
        <v>1991</v>
      </c>
      <c r="Y24" s="2905"/>
      <c r="Z24" s="2907" t="s">
        <v>1990</v>
      </c>
    </row>
    <row r="25" spans="1:45">
      <c r="A25" s="250" t="s">
        <v>1992</v>
      </c>
      <c r="B25" s="13">
        <f>SUM(B27:B10000)</f>
        <v>0</v>
      </c>
      <c r="C25" s="3644" t="s">
        <v>45</v>
      </c>
      <c r="D25" s="3645"/>
      <c r="E25" s="3645"/>
      <c r="F25" s="3645"/>
      <c r="G25" s="3645"/>
      <c r="H25" s="3645"/>
      <c r="I25" s="3645"/>
      <c r="J25" s="3645"/>
      <c r="K25" s="3645"/>
      <c r="L25" s="3645"/>
      <c r="M25" s="3645"/>
      <c r="N25" s="3645"/>
      <c r="O25" s="3645"/>
      <c r="P25" s="3645"/>
      <c r="Q25" s="3646"/>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c r="D1" s="1567"/>
      <c r="E1" s="1568" t="s">
        <v>985</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元</v>
      </c>
      <c r="D2" s="1579"/>
      <c r="E2" s="1580" t="e">
        <f ca="1">SUMIF(INDIRECT("'"&amp;G2&amp;"'"&amp;"!A:A"),"承租人权益价值",INDIRECT("'"&amp;G2&amp;"'"&amp;"!c:c"))</f>
        <v>#REF!</v>
      </c>
      <c r="F2" s="1581" t="str">
        <f>C2</f>
        <v>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2005</v>
      </c>
      <c r="D3" s="1587">
        <f>IF(C1="仅计算典型户型",'数据-取费表'!E5,'数据-取费表'!B5)</f>
        <v>84.33</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2006</v>
      </c>
      <c r="B4" s="1591"/>
      <c r="C4" s="3602" t="s">
        <v>2007</v>
      </c>
      <c r="D4" s="3603"/>
      <c r="E4" s="3604" t="s">
        <v>2008</v>
      </c>
      <c r="F4" s="3605"/>
      <c r="G4" s="3602" t="s">
        <v>2009</v>
      </c>
      <c r="H4" s="3603"/>
      <c r="I4" s="3602" t="s">
        <v>2010</v>
      </c>
      <c r="J4" s="3603"/>
      <c r="K4" s="1592" t="s">
        <v>2011</v>
      </c>
      <c r="L4" s="2914"/>
      <c r="M4" s="2915"/>
      <c r="N4" s="2915"/>
      <c r="O4" s="2915"/>
      <c r="P4" s="3606" t="s">
        <v>2012</v>
      </c>
      <c r="Q4" s="3607"/>
      <c r="R4" s="3588" t="s">
        <v>2008</v>
      </c>
      <c r="S4" s="3589"/>
      <c r="T4" s="3588" t="s">
        <v>2009</v>
      </c>
      <c r="U4" s="3589"/>
      <c r="V4" s="3612" t="s">
        <v>2010</v>
      </c>
      <c r="W4" s="3612"/>
      <c r="X4" s="1593"/>
      <c r="Y4" s="3588" t="s">
        <v>2012</v>
      </c>
      <c r="Z4" s="3589"/>
      <c r="AA4" s="3599" t="s">
        <v>2008</v>
      </c>
      <c r="AB4" s="3599" t="s">
        <v>2009</v>
      </c>
      <c r="AC4" s="3599" t="s">
        <v>2010</v>
      </c>
    </row>
    <row r="5" spans="1:29" ht="15">
      <c r="A5" s="1595"/>
      <c r="B5" s="1596"/>
      <c r="C5" s="3615" t="s">
        <v>2013</v>
      </c>
      <c r="D5" s="3616"/>
      <c r="E5" s="3652" t="s">
        <v>2014</v>
      </c>
      <c r="F5" s="3614"/>
      <c r="G5" s="3615" t="s">
        <v>2015</v>
      </c>
      <c r="H5" s="3616"/>
      <c r="I5" s="3615" t="s">
        <v>2016</v>
      </c>
      <c r="J5" s="3616"/>
      <c r="K5" s="1597"/>
      <c r="L5" s="2914"/>
      <c r="M5" s="2915"/>
      <c r="N5" s="2915"/>
      <c r="O5" s="2915"/>
      <c r="P5" s="3608"/>
      <c r="Q5" s="3609"/>
      <c r="R5" s="3590"/>
      <c r="S5" s="3591"/>
      <c r="T5" s="3590"/>
      <c r="U5" s="3591"/>
      <c r="V5" s="3612"/>
      <c r="W5" s="3612"/>
      <c r="X5" s="1593"/>
      <c r="Y5" s="3590"/>
      <c r="Z5" s="3591"/>
      <c r="AA5" s="3600"/>
      <c r="AB5" s="3600"/>
      <c r="AC5" s="3600"/>
    </row>
    <row r="6" spans="1:29" ht="15.75" thickBot="1">
      <c r="A6" s="1598"/>
      <c r="B6" s="1599"/>
      <c r="C6" s="3617" t="s">
        <v>2017</v>
      </c>
      <c r="D6" s="3618"/>
      <c r="E6" s="3620" t="s">
        <v>2017</v>
      </c>
      <c r="F6" s="3621"/>
      <c r="G6" s="3617" t="s">
        <v>2017</v>
      </c>
      <c r="H6" s="3618"/>
      <c r="I6" s="3617" t="s">
        <v>2017</v>
      </c>
      <c r="J6" s="3618"/>
      <c r="K6" s="1597" t="s">
        <v>2018</v>
      </c>
      <c r="L6" s="2914"/>
      <c r="M6" s="2915"/>
      <c r="N6" s="2915"/>
      <c r="O6" s="2915"/>
      <c r="P6" s="3610"/>
      <c r="Q6" s="3611"/>
      <c r="R6" s="3590"/>
      <c r="S6" s="3591"/>
      <c r="T6" s="3592"/>
      <c r="U6" s="3593"/>
      <c r="V6" s="3612"/>
      <c r="W6" s="3612"/>
      <c r="X6" s="1593"/>
      <c r="Y6" s="3592"/>
      <c r="Z6" s="3593"/>
      <c r="AA6" s="3601"/>
      <c r="AB6" s="3601"/>
      <c r="AC6" s="3601"/>
    </row>
    <row r="7" spans="1:29" s="1612" customFormat="1" ht="15.75" thickBot="1">
      <c r="A7" s="1600" t="s">
        <v>2019</v>
      </c>
      <c r="B7" s="1601"/>
      <c r="C7" s="1602">
        <f>'数据-取费表'!B2</f>
        <v>44806</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586" t="s">
        <v>2020</v>
      </c>
      <c r="Q7" s="3594"/>
      <c r="R7" s="1608" t="s">
        <v>34</v>
      </c>
      <c r="S7" s="1609">
        <f t="shared" ref="S7:S15" si="0">F7</f>
        <v>0</v>
      </c>
      <c r="T7" s="1608" t="s">
        <v>34</v>
      </c>
      <c r="U7" s="1609">
        <f t="shared" ref="U7:U15" si="1">H7</f>
        <v>0</v>
      </c>
      <c r="V7" s="1608" t="s">
        <v>34</v>
      </c>
      <c r="W7" s="1609">
        <f t="shared" ref="W7:W15" si="2">J7</f>
        <v>0</v>
      </c>
      <c r="X7" s="1610"/>
      <c r="Y7" s="3586" t="s">
        <v>2020</v>
      </c>
      <c r="Z7" s="3587"/>
      <c r="AA7" s="1611" t="e">
        <f>D7/F7</f>
        <v>#DIV/0!</v>
      </c>
      <c r="AB7" s="1611" t="e">
        <f>D7/H7</f>
        <v>#DIV/0!</v>
      </c>
      <c r="AC7" s="1611" t="e">
        <f>D7/J7</f>
        <v>#DIV/0!</v>
      </c>
    </row>
    <row r="8" spans="1:29" s="1612" customFormat="1" ht="15.75" thickBot="1">
      <c r="A8" s="1600" t="s">
        <v>2021</v>
      </c>
      <c r="B8" s="1601"/>
      <c r="C8" s="1613" t="s">
        <v>2022</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586" t="s">
        <v>2023</v>
      </c>
      <c r="Q8" s="3587"/>
      <c r="R8" s="1608" t="s">
        <v>34</v>
      </c>
      <c r="S8" s="1609">
        <f t="shared" si="0"/>
        <v>0</v>
      </c>
      <c r="T8" s="1608" t="s">
        <v>34</v>
      </c>
      <c r="U8" s="1609">
        <f t="shared" si="1"/>
        <v>0</v>
      </c>
      <c r="V8" s="1608" t="s">
        <v>34</v>
      </c>
      <c r="W8" s="1609">
        <f t="shared" si="2"/>
        <v>0</v>
      </c>
      <c r="X8" s="1610"/>
      <c r="Y8" s="3586" t="s">
        <v>2023</v>
      </c>
      <c r="Z8" s="3587"/>
      <c r="AA8" s="1611" t="e">
        <f t="shared" ref="AA8:AA46" si="3">D8/F8</f>
        <v>#DIV/0!</v>
      </c>
      <c r="AB8" s="1611" t="e">
        <f t="shared" ref="AB8:AB46" si="4">D8/H8</f>
        <v>#DIV/0!</v>
      </c>
      <c r="AC8" s="1611" t="e">
        <f t="shared" ref="AC8:AC46" si="5">D8/J8</f>
        <v>#DIV/0!</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2" t="s">
        <v>2026</v>
      </c>
      <c r="Q9" s="1562" t="str">
        <f t="shared" ref="Q9:Q15" si="6">B9</f>
        <v>用途</v>
      </c>
      <c r="R9" s="1608" t="s">
        <v>25</v>
      </c>
      <c r="S9" s="1609">
        <f t="shared" si="0"/>
        <v>100</v>
      </c>
      <c r="T9" s="1608" t="s">
        <v>25</v>
      </c>
      <c r="U9" s="1609">
        <f t="shared" si="1"/>
        <v>100</v>
      </c>
      <c r="V9" s="1608" t="s">
        <v>25</v>
      </c>
      <c r="W9" s="1609">
        <f t="shared" si="2"/>
        <v>100</v>
      </c>
      <c r="X9" s="1610"/>
      <c r="Y9" s="3469"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2"/>
      <c r="Q10" s="1562" t="str">
        <f t="shared" si="6"/>
        <v>土地使用年限（年）</v>
      </c>
      <c r="R10" s="1608" t="s">
        <v>25</v>
      </c>
      <c r="S10" s="1609">
        <f t="shared" si="0"/>
        <v>100</v>
      </c>
      <c r="T10" s="1608" t="s">
        <v>25</v>
      </c>
      <c r="U10" s="1609">
        <f t="shared" si="1"/>
        <v>100</v>
      </c>
      <c r="V10" s="1608" t="s">
        <v>25</v>
      </c>
      <c r="W10" s="1609">
        <f t="shared" si="2"/>
        <v>100</v>
      </c>
      <c r="X10" s="1610"/>
      <c r="Y10" s="3469"/>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2"/>
      <c r="Q11" s="1562" t="str">
        <f t="shared" si="6"/>
        <v>容积率</v>
      </c>
      <c r="R11" s="1608" t="s">
        <v>28</v>
      </c>
      <c r="S11" s="1609" t="e">
        <f t="shared" si="0"/>
        <v>#N/A</v>
      </c>
      <c r="T11" s="1608" t="s">
        <v>28</v>
      </c>
      <c r="U11" s="1609" t="e">
        <f t="shared" si="1"/>
        <v>#N/A</v>
      </c>
      <c r="V11" s="1608" t="s">
        <v>28</v>
      </c>
      <c r="W11" s="1609" t="e">
        <f t="shared" si="2"/>
        <v>#N/A</v>
      </c>
      <c r="X11" s="1610"/>
      <c r="Y11" s="3469"/>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2"/>
      <c r="Q12" s="1562">
        <f t="shared" si="6"/>
        <v>111</v>
      </c>
      <c r="R12" s="1608" t="s">
        <v>28</v>
      </c>
      <c r="S12" s="1609">
        <f t="shared" si="0"/>
        <v>100</v>
      </c>
      <c r="T12" s="1608" t="s">
        <v>28</v>
      </c>
      <c r="U12" s="1609">
        <f t="shared" si="1"/>
        <v>100</v>
      </c>
      <c r="V12" s="1608" t="s">
        <v>28</v>
      </c>
      <c r="W12" s="1609">
        <f t="shared" si="2"/>
        <v>100</v>
      </c>
      <c r="X12" s="1610"/>
      <c r="Y12" s="3469"/>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2"/>
      <c r="Q13" s="1562">
        <f t="shared" si="6"/>
        <v>111</v>
      </c>
      <c r="R13" s="1608" t="s">
        <v>28</v>
      </c>
      <c r="S13" s="1609">
        <f t="shared" si="0"/>
        <v>100</v>
      </c>
      <c r="T13" s="1608" t="s">
        <v>28</v>
      </c>
      <c r="U13" s="1609">
        <f t="shared" si="1"/>
        <v>100</v>
      </c>
      <c r="V13" s="1608" t="s">
        <v>28</v>
      </c>
      <c r="W13" s="1609">
        <f t="shared" si="2"/>
        <v>100</v>
      </c>
      <c r="X13" s="1610"/>
      <c r="Y13" s="3469"/>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2"/>
      <c r="Q14" s="1562">
        <f t="shared" si="6"/>
        <v>111</v>
      </c>
      <c r="R14" s="1608" t="s">
        <v>28</v>
      </c>
      <c r="S14" s="1609">
        <f t="shared" si="0"/>
        <v>100</v>
      </c>
      <c r="T14" s="1608" t="s">
        <v>28</v>
      </c>
      <c r="U14" s="1609">
        <f t="shared" si="1"/>
        <v>100</v>
      </c>
      <c r="V14" s="1608" t="s">
        <v>28</v>
      </c>
      <c r="W14" s="1609">
        <f t="shared" si="2"/>
        <v>100</v>
      </c>
      <c r="X14" s="1610"/>
      <c r="Y14" s="3469"/>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5" t="s">
        <v>2031</v>
      </c>
      <c r="Q15" s="1543" t="str">
        <f t="shared" si="6"/>
        <v>居住社区成熟度</v>
      </c>
      <c r="R15" s="1653" t="s">
        <v>28</v>
      </c>
      <c r="S15" s="1654">
        <f t="shared" si="0"/>
        <v>100</v>
      </c>
      <c r="T15" s="1653" t="s">
        <v>28</v>
      </c>
      <c r="U15" s="1654">
        <f t="shared" si="1"/>
        <v>100</v>
      </c>
      <c r="V15" s="1653" t="s">
        <v>28</v>
      </c>
      <c r="W15" s="1654">
        <f t="shared" si="2"/>
        <v>100</v>
      </c>
      <c r="X15" s="1593"/>
      <c r="Y15" s="3597"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6"/>
      <c r="Q16" s="1543"/>
      <c r="R16" s="1653"/>
      <c r="S16" s="1654"/>
      <c r="T16" s="1653"/>
      <c r="U16" s="1654"/>
      <c r="V16" s="1653"/>
      <c r="W16" s="1654"/>
      <c r="X16" s="1593"/>
      <c r="Y16" s="3598"/>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6"/>
      <c r="Q17" s="1543" t="str">
        <f>B17</f>
        <v>交通便捷度</v>
      </c>
      <c r="R17" s="1653" t="s">
        <v>28</v>
      </c>
      <c r="S17" s="1654">
        <f>F17</f>
        <v>100</v>
      </c>
      <c r="T17" s="1653" t="s">
        <v>28</v>
      </c>
      <c r="U17" s="1654">
        <f>H17</f>
        <v>100</v>
      </c>
      <c r="V17" s="1653" t="s">
        <v>28</v>
      </c>
      <c r="W17" s="1654">
        <f>J17</f>
        <v>100</v>
      </c>
      <c r="X17" s="1593"/>
      <c r="Y17" s="3598"/>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6"/>
      <c r="Q18" s="1543"/>
      <c r="R18" s="1653"/>
      <c r="S18" s="1654"/>
      <c r="T18" s="1653"/>
      <c r="U18" s="1654"/>
      <c r="V18" s="1653"/>
      <c r="W18" s="1654"/>
      <c r="X18" s="1593"/>
      <c r="Y18" s="3598"/>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6"/>
      <c r="Q19" s="1543" t="str">
        <f>B19</f>
        <v>公共配套设施</v>
      </c>
      <c r="R19" s="1653" t="s">
        <v>28</v>
      </c>
      <c r="S19" s="1654">
        <f>F19</f>
        <v>100</v>
      </c>
      <c r="T19" s="1653" t="s">
        <v>28</v>
      </c>
      <c r="U19" s="1654">
        <f>H19</f>
        <v>100</v>
      </c>
      <c r="V19" s="1653" t="s">
        <v>28</v>
      </c>
      <c r="W19" s="1654">
        <f>J19</f>
        <v>100</v>
      </c>
      <c r="X19" s="1593"/>
      <c r="Y19" s="3598"/>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6"/>
      <c r="Q20" s="1543"/>
      <c r="R20" s="1653"/>
      <c r="S20" s="1654"/>
      <c r="T20" s="1653"/>
      <c r="U20" s="1654"/>
      <c r="V20" s="1653"/>
      <c r="W20" s="1654"/>
      <c r="X20" s="1593"/>
      <c r="Y20" s="3598"/>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6"/>
      <c r="Q21" s="1543" t="str">
        <f>B21</f>
        <v>基础设施水平</v>
      </c>
      <c r="R21" s="1653" t="s">
        <v>28</v>
      </c>
      <c r="S21" s="1654">
        <f>F21</f>
        <v>100</v>
      </c>
      <c r="T21" s="1653" t="s">
        <v>28</v>
      </c>
      <c r="U21" s="1654">
        <f>H21</f>
        <v>100</v>
      </c>
      <c r="V21" s="1653" t="s">
        <v>28</v>
      </c>
      <c r="W21" s="1654">
        <f>J21</f>
        <v>100</v>
      </c>
      <c r="X21" s="1593"/>
      <c r="Y21" s="3598"/>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6"/>
      <c r="Q22" s="1543"/>
      <c r="R22" s="1653"/>
      <c r="S22" s="1654"/>
      <c r="T22" s="1653"/>
      <c r="U22" s="1654"/>
      <c r="V22" s="1653"/>
      <c r="W22" s="1654"/>
      <c r="X22" s="1593"/>
      <c r="Y22" s="3598"/>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6"/>
      <c r="Q23" s="1543" t="str">
        <f>B23</f>
        <v>自然及人文环境</v>
      </c>
      <c r="R23" s="1653" t="s">
        <v>28</v>
      </c>
      <c r="S23" s="1654">
        <f>F23</f>
        <v>100</v>
      </c>
      <c r="T23" s="1653" t="s">
        <v>28</v>
      </c>
      <c r="U23" s="1654">
        <f>H23</f>
        <v>100</v>
      </c>
      <c r="V23" s="1653" t="s">
        <v>28</v>
      </c>
      <c r="W23" s="1654">
        <f>J23</f>
        <v>100</v>
      </c>
      <c r="X23" s="1593"/>
      <c r="Y23" s="3598"/>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6"/>
      <c r="Q24" s="1543"/>
      <c r="R24" s="1653"/>
      <c r="S24" s="1654"/>
      <c r="T24" s="1653"/>
      <c r="U24" s="1654"/>
      <c r="V24" s="1653"/>
      <c r="W24" s="1654"/>
      <c r="X24" s="1593"/>
      <c r="Y24" s="3598"/>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6"/>
      <c r="Q25" s="1543" t="str">
        <f t="shared" ref="Q25:Q46" si="11">B25</f>
        <v>楼层-1</v>
      </c>
      <c r="R25" s="1653" t="s">
        <v>28</v>
      </c>
      <c r="S25" s="1654">
        <f>F25</f>
        <v>100</v>
      </c>
      <c r="T25" s="1653" t="s">
        <v>28</v>
      </c>
      <c r="U25" s="1654">
        <f>H25</f>
        <v>100</v>
      </c>
      <c r="V25" s="1653" t="s">
        <v>28</v>
      </c>
      <c r="W25" s="1654">
        <f>J25</f>
        <v>100</v>
      </c>
      <c r="X25" s="1593"/>
      <c r="Y25" s="3598"/>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6"/>
      <c r="Q26" s="1543" t="str">
        <f t="shared" si="11"/>
        <v>朝向</v>
      </c>
      <c r="R26" s="1653" t="s">
        <v>28</v>
      </c>
      <c r="S26" s="1654">
        <f>F26</f>
        <v>100</v>
      </c>
      <c r="T26" s="1653" t="s">
        <v>28</v>
      </c>
      <c r="U26" s="1654">
        <f>H26</f>
        <v>100</v>
      </c>
      <c r="V26" s="1653" t="s">
        <v>28</v>
      </c>
      <c r="W26" s="1654">
        <f>J26</f>
        <v>100</v>
      </c>
      <c r="X26" s="1593"/>
      <c r="Y26" s="3598"/>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6"/>
      <c r="Q27" s="1562" t="str">
        <f t="shared" si="11"/>
        <v>道路级别</v>
      </c>
      <c r="R27" s="1608" t="s">
        <v>28</v>
      </c>
      <c r="S27" s="1609">
        <f>F27</f>
        <v>100</v>
      </c>
      <c r="T27" s="1608" t="s">
        <v>28</v>
      </c>
      <c r="U27" s="1609">
        <f>H27</f>
        <v>100</v>
      </c>
      <c r="V27" s="1608" t="s">
        <v>28</v>
      </c>
      <c r="W27" s="1609">
        <f>J27</f>
        <v>100</v>
      </c>
      <c r="X27" s="1610"/>
      <c r="Y27" s="3598"/>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6"/>
      <c r="Q28" s="1543">
        <f t="shared" si="11"/>
        <v>111</v>
      </c>
      <c r="R28" s="1653" t="s">
        <v>28</v>
      </c>
      <c r="S28" s="1654">
        <f t="shared" ref="S28:S46" si="12">F28</f>
        <v>100</v>
      </c>
      <c r="T28" s="1653" t="s">
        <v>28</v>
      </c>
      <c r="U28" s="1654">
        <f t="shared" ref="U28:U46" si="13">H28</f>
        <v>100</v>
      </c>
      <c r="V28" s="1653" t="s">
        <v>28</v>
      </c>
      <c r="W28" s="1654">
        <f t="shared" ref="W28:W46" si="14">J28</f>
        <v>100</v>
      </c>
      <c r="X28" s="1593"/>
      <c r="Y28" s="3598"/>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6"/>
      <c r="Q29" s="1543">
        <f t="shared" si="11"/>
        <v>111</v>
      </c>
      <c r="R29" s="1653" t="s">
        <v>28</v>
      </c>
      <c r="S29" s="1654">
        <f t="shared" si="12"/>
        <v>100</v>
      </c>
      <c r="T29" s="1653" t="s">
        <v>28</v>
      </c>
      <c r="U29" s="1654">
        <f t="shared" si="13"/>
        <v>100</v>
      </c>
      <c r="V29" s="1653" t="s">
        <v>28</v>
      </c>
      <c r="W29" s="1654">
        <f t="shared" si="14"/>
        <v>100</v>
      </c>
      <c r="X29" s="1593"/>
      <c r="Y29" s="3598"/>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6"/>
      <c r="Q30" s="1543">
        <f t="shared" si="11"/>
        <v>111</v>
      </c>
      <c r="R30" s="1653" t="s">
        <v>28</v>
      </c>
      <c r="S30" s="1654">
        <f t="shared" si="12"/>
        <v>100</v>
      </c>
      <c r="T30" s="1653" t="s">
        <v>28</v>
      </c>
      <c r="U30" s="1654">
        <f t="shared" si="13"/>
        <v>100</v>
      </c>
      <c r="V30" s="1653" t="s">
        <v>28</v>
      </c>
      <c r="W30" s="1654">
        <f t="shared" si="14"/>
        <v>100</v>
      </c>
      <c r="X30" s="1593"/>
      <c r="Y30" s="3598"/>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6"/>
      <c r="Q31" s="1543">
        <f t="shared" si="11"/>
        <v>111</v>
      </c>
      <c r="R31" s="1653" t="s">
        <v>28</v>
      </c>
      <c r="S31" s="1654">
        <f t="shared" si="12"/>
        <v>100</v>
      </c>
      <c r="T31" s="1653" t="s">
        <v>28</v>
      </c>
      <c r="U31" s="1654">
        <f t="shared" si="13"/>
        <v>100</v>
      </c>
      <c r="V31" s="1653" t="s">
        <v>28</v>
      </c>
      <c r="W31" s="1654">
        <f t="shared" si="14"/>
        <v>100</v>
      </c>
      <c r="X31" s="1593"/>
      <c r="Y31" s="3598"/>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581" t="s">
        <v>2037</v>
      </c>
      <c r="Q32" s="1543" t="str">
        <f t="shared" si="11"/>
        <v>建筑类型</v>
      </c>
      <c r="R32" s="1653" t="s">
        <v>28</v>
      </c>
      <c r="S32" s="1654">
        <f t="shared" si="12"/>
        <v>100</v>
      </c>
      <c r="T32" s="1653" t="s">
        <v>28</v>
      </c>
      <c r="U32" s="1654">
        <f t="shared" si="13"/>
        <v>100</v>
      </c>
      <c r="V32" s="1653" t="s">
        <v>28</v>
      </c>
      <c r="W32" s="1654">
        <f t="shared" si="14"/>
        <v>100</v>
      </c>
      <c r="X32" s="1593"/>
      <c r="Y32" s="3584"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582"/>
      <c r="Q33" s="1694" t="str">
        <f t="shared" si="11"/>
        <v>项目建筑规模</v>
      </c>
      <c r="R33" s="1695" t="s">
        <v>28</v>
      </c>
      <c r="S33" s="1696" t="e">
        <f t="shared" si="12"/>
        <v>#N/A</v>
      </c>
      <c r="T33" s="1695" t="s">
        <v>28</v>
      </c>
      <c r="U33" s="1696" t="e">
        <f t="shared" si="13"/>
        <v>#N/A</v>
      </c>
      <c r="V33" s="1695" t="s">
        <v>28</v>
      </c>
      <c r="W33" s="1696" t="e">
        <f t="shared" si="14"/>
        <v>#N/A</v>
      </c>
      <c r="X33" s="1697"/>
      <c r="Y33" s="3584"/>
      <c r="Z33" s="1698" t="str">
        <f t="shared" si="15"/>
        <v>项目建筑规模</v>
      </c>
      <c r="AA33" s="1656" t="e">
        <f t="shared" si="3"/>
        <v>#N/A</v>
      </c>
      <c r="AB33" s="1656" t="e">
        <f t="shared" si="4"/>
        <v>#N/A</v>
      </c>
      <c r="AC33" s="1656"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582"/>
      <c r="Q34" s="1543" t="str">
        <f t="shared" si="11"/>
        <v>建筑结构</v>
      </c>
      <c r="R34" s="1653" t="s">
        <v>28</v>
      </c>
      <c r="S34" s="1654">
        <f t="shared" si="12"/>
        <v>100</v>
      </c>
      <c r="T34" s="1653" t="s">
        <v>28</v>
      </c>
      <c r="U34" s="1654">
        <f t="shared" si="13"/>
        <v>100</v>
      </c>
      <c r="V34" s="1653" t="s">
        <v>28</v>
      </c>
      <c r="W34" s="1654">
        <f t="shared" si="14"/>
        <v>100</v>
      </c>
      <c r="X34" s="1593"/>
      <c r="Y34" s="3584"/>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582"/>
      <c r="Q35" s="1543" t="str">
        <f t="shared" si="11"/>
        <v>建筑品质</v>
      </c>
      <c r="R35" s="1653" t="s">
        <v>28</v>
      </c>
      <c r="S35" s="1654">
        <f t="shared" si="12"/>
        <v>100</v>
      </c>
      <c r="T35" s="1653" t="s">
        <v>28</v>
      </c>
      <c r="U35" s="1654">
        <f t="shared" si="13"/>
        <v>100</v>
      </c>
      <c r="V35" s="1653" t="s">
        <v>28</v>
      </c>
      <c r="W35" s="1654">
        <f t="shared" si="14"/>
        <v>100</v>
      </c>
      <c r="X35" s="1593"/>
      <c r="Y35" s="3584"/>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582"/>
      <c r="Q36" s="1543" t="str">
        <f t="shared" si="11"/>
        <v>公共部分装修</v>
      </c>
      <c r="R36" s="1653" t="s">
        <v>28</v>
      </c>
      <c r="S36" s="1654">
        <f t="shared" si="12"/>
        <v>100</v>
      </c>
      <c r="T36" s="1653" t="s">
        <v>28</v>
      </c>
      <c r="U36" s="1654">
        <f t="shared" si="13"/>
        <v>100</v>
      </c>
      <c r="V36" s="1653" t="s">
        <v>28</v>
      </c>
      <c r="W36" s="1654">
        <f t="shared" si="14"/>
        <v>100</v>
      </c>
      <c r="X36" s="1593"/>
      <c r="Y36" s="3584"/>
      <c r="Z36" s="1655" t="str">
        <f t="shared" si="15"/>
        <v>公共部分装修</v>
      </c>
      <c r="AA36" s="1656">
        <f t="shared" si="3"/>
        <v>1</v>
      </c>
      <c r="AB36" s="1656">
        <f t="shared" si="4"/>
        <v>1</v>
      </c>
      <c r="AC36" s="1656">
        <f t="shared" si="5"/>
        <v>1</v>
      </c>
    </row>
    <row r="37" spans="1:29" s="1612" customFormat="1" ht="15">
      <c r="A37" s="1703"/>
      <c r="B37" s="1623" t="s">
        <v>2042</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582"/>
      <c r="Q37" s="1562" t="str">
        <f t="shared" si="11"/>
        <v>成新度</v>
      </c>
      <c r="R37" s="1608" t="s">
        <v>28</v>
      </c>
      <c r="S37" s="1609" t="e">
        <f t="shared" si="12"/>
        <v>#N/A</v>
      </c>
      <c r="T37" s="1608" t="s">
        <v>28</v>
      </c>
      <c r="U37" s="1609" t="e">
        <f t="shared" si="13"/>
        <v>#N/A</v>
      </c>
      <c r="V37" s="1608" t="s">
        <v>28</v>
      </c>
      <c r="W37" s="1609" t="e">
        <f t="shared" si="14"/>
        <v>#N/A</v>
      </c>
      <c r="X37" s="1610"/>
      <c r="Y37" s="3584"/>
      <c r="Z37" s="1621" t="str">
        <f t="shared" si="15"/>
        <v>成新度</v>
      </c>
      <c r="AA37" s="1611" t="e">
        <f t="shared" si="3"/>
        <v>#N/A</v>
      </c>
      <c r="AB37" s="1611" t="e">
        <f t="shared" si="4"/>
        <v>#N/A</v>
      </c>
      <c r="AC37" s="1611" t="e">
        <f t="shared" si="5"/>
        <v>#N/A</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582" t="s">
        <v>2037</v>
      </c>
      <c r="Q38" s="1543" t="str">
        <f t="shared" si="11"/>
        <v>物业管理</v>
      </c>
      <c r="R38" s="1653" t="s">
        <v>28</v>
      </c>
      <c r="S38" s="1654">
        <f t="shared" si="12"/>
        <v>100</v>
      </c>
      <c r="T38" s="1653" t="s">
        <v>28</v>
      </c>
      <c r="U38" s="1654">
        <f t="shared" si="13"/>
        <v>100</v>
      </c>
      <c r="V38" s="1653" t="s">
        <v>28</v>
      </c>
      <c r="W38" s="1654">
        <f t="shared" si="14"/>
        <v>100</v>
      </c>
      <c r="X38" s="1593"/>
      <c r="Y38" s="3584"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582"/>
      <c r="Q39" s="1543" t="str">
        <f t="shared" si="11"/>
        <v>市政基础设施</v>
      </c>
      <c r="R39" s="1653" t="s">
        <v>28</v>
      </c>
      <c r="S39" s="1654">
        <f t="shared" si="12"/>
        <v>100</v>
      </c>
      <c r="T39" s="1653" t="s">
        <v>28</v>
      </c>
      <c r="U39" s="1654">
        <f t="shared" si="13"/>
        <v>100</v>
      </c>
      <c r="V39" s="1653" t="s">
        <v>28</v>
      </c>
      <c r="W39" s="1654">
        <f t="shared" si="14"/>
        <v>100</v>
      </c>
      <c r="X39" s="1593"/>
      <c r="Y39" s="3584"/>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582"/>
      <c r="Q40" s="1543" t="str">
        <f t="shared" si="11"/>
        <v>房型</v>
      </c>
      <c r="R40" s="1653" t="s">
        <v>28</v>
      </c>
      <c r="S40" s="1654">
        <f t="shared" si="12"/>
        <v>100</v>
      </c>
      <c r="T40" s="1653" t="s">
        <v>28</v>
      </c>
      <c r="U40" s="1654">
        <f t="shared" si="13"/>
        <v>100</v>
      </c>
      <c r="V40" s="1653" t="s">
        <v>28</v>
      </c>
      <c r="W40" s="1654">
        <f t="shared" si="14"/>
        <v>100</v>
      </c>
      <c r="X40" s="1593"/>
      <c r="Y40" s="3584"/>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582"/>
      <c r="Q41" s="1694" t="str">
        <f t="shared" si="11"/>
        <v>单套/主力户型建筑面积</v>
      </c>
      <c r="R41" s="1695" t="s">
        <v>28</v>
      </c>
      <c r="S41" s="1696">
        <f t="shared" si="12"/>
        <v>100</v>
      </c>
      <c r="T41" s="1695" t="s">
        <v>28</v>
      </c>
      <c r="U41" s="1696">
        <f t="shared" si="13"/>
        <v>100</v>
      </c>
      <c r="V41" s="1695" t="s">
        <v>28</v>
      </c>
      <c r="W41" s="1696">
        <f t="shared" si="14"/>
        <v>100</v>
      </c>
      <c r="X41" s="1697"/>
      <c r="Y41" s="3584"/>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582"/>
      <c r="Q42" s="1543" t="str">
        <f t="shared" si="11"/>
        <v>内部装修</v>
      </c>
      <c r="R42" s="1653" t="s">
        <v>28</v>
      </c>
      <c r="S42" s="1654">
        <f t="shared" si="12"/>
        <v>100</v>
      </c>
      <c r="T42" s="1653" t="s">
        <v>28</v>
      </c>
      <c r="U42" s="1654">
        <f t="shared" si="13"/>
        <v>100</v>
      </c>
      <c r="V42" s="1653" t="s">
        <v>28</v>
      </c>
      <c r="W42" s="1654">
        <f t="shared" si="14"/>
        <v>100</v>
      </c>
      <c r="X42" s="1593"/>
      <c r="Y42" s="3584"/>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582"/>
      <c r="Q43" s="1543" t="str">
        <f t="shared" si="11"/>
        <v>内部装修维护情况</v>
      </c>
      <c r="R43" s="1653" t="s">
        <v>28</v>
      </c>
      <c r="S43" s="1654">
        <f t="shared" si="12"/>
        <v>100</v>
      </c>
      <c r="T43" s="1653" t="s">
        <v>28</v>
      </c>
      <c r="U43" s="1654">
        <f t="shared" si="13"/>
        <v>100</v>
      </c>
      <c r="V43" s="1653" t="s">
        <v>28</v>
      </c>
      <c r="W43" s="1654">
        <f t="shared" si="14"/>
        <v>100</v>
      </c>
      <c r="X43" s="1593"/>
      <c r="Y43" s="358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582"/>
      <c r="Q44" s="1562">
        <f t="shared" si="11"/>
        <v>111</v>
      </c>
      <c r="R44" s="1608" t="s">
        <v>28</v>
      </c>
      <c r="S44" s="1609">
        <f t="shared" si="12"/>
        <v>100</v>
      </c>
      <c r="T44" s="1608" t="s">
        <v>28</v>
      </c>
      <c r="U44" s="1609">
        <f t="shared" si="13"/>
        <v>100</v>
      </c>
      <c r="V44" s="1608" t="s">
        <v>28</v>
      </c>
      <c r="W44" s="1609">
        <f t="shared" si="14"/>
        <v>100</v>
      </c>
      <c r="X44" s="1610"/>
      <c r="Y44" s="358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582"/>
      <c r="Q45" s="1543">
        <f t="shared" si="11"/>
        <v>111</v>
      </c>
      <c r="R45" s="1653" t="s">
        <v>28</v>
      </c>
      <c r="S45" s="1654">
        <f t="shared" si="12"/>
        <v>100</v>
      </c>
      <c r="T45" s="1653" t="s">
        <v>28</v>
      </c>
      <c r="U45" s="1654">
        <f t="shared" si="13"/>
        <v>100</v>
      </c>
      <c r="V45" s="1653" t="s">
        <v>28</v>
      </c>
      <c r="W45" s="1654">
        <f t="shared" si="14"/>
        <v>100</v>
      </c>
      <c r="X45" s="1593"/>
      <c r="Y45" s="358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583"/>
      <c r="Q46" s="1543">
        <f t="shared" si="11"/>
        <v>111</v>
      </c>
      <c r="R46" s="1653" t="s">
        <v>27</v>
      </c>
      <c r="S46" s="1654">
        <f t="shared" si="12"/>
        <v>100</v>
      </c>
      <c r="T46" s="1653" t="s">
        <v>27</v>
      </c>
      <c r="U46" s="1654">
        <f t="shared" si="13"/>
        <v>100</v>
      </c>
      <c r="V46" s="1653" t="s">
        <v>27</v>
      </c>
      <c r="W46" s="1654">
        <f t="shared" si="14"/>
        <v>100</v>
      </c>
      <c r="X46" s="1593"/>
      <c r="Y46" s="3585"/>
      <c r="Z46" s="1655">
        <f t="shared" si="15"/>
        <v>111</v>
      </c>
      <c r="AA46" s="1656">
        <f t="shared" si="3"/>
        <v>1</v>
      </c>
      <c r="AB46" s="1656">
        <f t="shared" si="4"/>
        <v>1</v>
      </c>
      <c r="AC46" s="1656">
        <f t="shared" si="5"/>
        <v>1</v>
      </c>
    </row>
    <row r="47" spans="1:29" ht="15">
      <c r="A47" s="1709" t="s">
        <v>2049</v>
      </c>
      <c r="B47" s="1710"/>
      <c r="C47" s="1711" t="s">
        <v>26</v>
      </c>
      <c r="D47" s="1712"/>
      <c r="E47" s="1713"/>
      <c r="F47" s="1714"/>
      <c r="G47" s="1715"/>
      <c r="H47" s="1716"/>
      <c r="I47" s="1713"/>
      <c r="J47" s="1716"/>
      <c r="K47" s="1717"/>
      <c r="L47" s="2920"/>
      <c r="N47" s="2915"/>
      <c r="P47" s="3576" t="str">
        <f>A47</f>
        <v>成交单价（元/平方米）</v>
      </c>
      <c r="Q47" s="3576"/>
      <c r="R47" s="3577">
        <f>E47</f>
        <v>0</v>
      </c>
      <c r="S47" s="3577"/>
      <c r="T47" s="3577">
        <f>G47</f>
        <v>0</v>
      </c>
      <c r="U47" s="3577"/>
      <c r="V47" s="3577">
        <f>I47</f>
        <v>0</v>
      </c>
      <c r="W47" s="3577"/>
      <c r="X47" s="1719"/>
      <c r="Y47" s="1720"/>
      <c r="Z47" s="1719"/>
      <c r="AA47" s="1719"/>
      <c r="AB47" s="1719"/>
      <c r="AC47" s="1719"/>
    </row>
    <row r="48" spans="1:29" ht="15.75" thickBot="1">
      <c r="A48" s="1721" t="s">
        <v>2050</v>
      </c>
      <c r="B48" s="1722"/>
      <c r="C48" s="1723" t="e">
        <f>R49</f>
        <v>#DIV/0!</v>
      </c>
      <c r="D48" s="1724" t="s">
        <v>2502</v>
      </c>
      <c r="E48" s="1725" t="e">
        <f>R48</f>
        <v>#DIV/0!</v>
      </c>
      <c r="F48" s="1726"/>
      <c r="G48" s="1723" t="e">
        <f>T48</f>
        <v>#DIV/0!</v>
      </c>
      <c r="H48" s="1726"/>
      <c r="I48" s="1725" t="e">
        <f>V48</f>
        <v>#DIV/0!</v>
      </c>
      <c r="J48" s="1726"/>
      <c r="K48" s="2429">
        <f>F48+H48+J48</f>
        <v>0</v>
      </c>
      <c r="L48" s="2920"/>
      <c r="P48" s="3576" t="str">
        <f>A48</f>
        <v>比较价值（元/平方米）</v>
      </c>
      <c r="Q48" s="3576"/>
      <c r="R48" s="3577" t="e">
        <f>IF(E1="售价",ROUND(PRODUCT(R47,AA7:AA46),0),ROUND(PRODUCT(R47,AA7:AA46),1))</f>
        <v>#DIV/0!</v>
      </c>
      <c r="S48" s="3577"/>
      <c r="T48" s="3650" t="e">
        <f>IF(E1="售价",ROUND(PRODUCT(T47,AB7:AB46),0),ROUND(PRODUCT(T47,AB7:AB46),1))</f>
        <v>#DIV/0!</v>
      </c>
      <c r="U48" s="3651"/>
      <c r="V48" s="3577" t="e">
        <f>IF(E1="售价",ROUND(PRODUCT(V47,AC7:AC46),0),ROUND(PRODUCT(V47,AC7:AC46),1))</f>
        <v>#DIV/0!</v>
      </c>
      <c r="W48" s="3577"/>
      <c r="X48" s="1719"/>
      <c r="Y48" s="1719"/>
      <c r="Z48" s="1719"/>
      <c r="AA48" s="1719"/>
      <c r="AB48" s="1719"/>
      <c r="AC48" s="1719"/>
    </row>
    <row r="49" spans="1:29" ht="15.75" thickBot="1">
      <c r="A49" s="1727" t="s">
        <v>2051</v>
      </c>
      <c r="B49" s="1728"/>
      <c r="C49" s="1729" t="e">
        <f>R49</f>
        <v>#DIV/0!</v>
      </c>
      <c r="D49" s="1730"/>
      <c r="E49" s="1730"/>
      <c r="F49" s="1730"/>
      <c r="G49" s="1730"/>
      <c r="H49" s="1730"/>
      <c r="I49" s="1730"/>
      <c r="J49" s="1730"/>
      <c r="K49" s="1731"/>
      <c r="L49" s="2920"/>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719"/>
      <c r="Y49" s="1719"/>
      <c r="Z49" s="1719"/>
      <c r="AA49" s="1719"/>
      <c r="AB49" s="1719"/>
      <c r="AC49" s="1719"/>
    </row>
    <row r="50" spans="1:29">
      <c r="G50" s="2924"/>
    </row>
    <row r="52" spans="1:29" ht="13.5" customHeight="1">
      <c r="C52" s="383" t="s">
        <v>2052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2022-9</v>
      </c>
      <c r="D58" s="1753">
        <f>EDATE(C58,-1)</f>
        <v>44774</v>
      </c>
      <c r="E58" s="1753">
        <f t="shared" ref="E58:O58" si="16">EDATE(D58,-1)</f>
        <v>44743</v>
      </c>
      <c r="F58" s="1753">
        <f t="shared" si="16"/>
        <v>44713</v>
      </c>
      <c r="G58" s="1753">
        <f t="shared" si="16"/>
        <v>44682</v>
      </c>
      <c r="H58" s="1753">
        <f t="shared" si="16"/>
        <v>44652</v>
      </c>
      <c r="I58" s="1753">
        <f t="shared" si="16"/>
        <v>44621</v>
      </c>
      <c r="J58" s="1753">
        <f t="shared" si="16"/>
        <v>44593</v>
      </c>
      <c r="K58" s="1753">
        <f t="shared" si="16"/>
        <v>44562</v>
      </c>
      <c r="L58" s="1753">
        <f t="shared" si="16"/>
        <v>44531</v>
      </c>
      <c r="M58" s="1753">
        <f t="shared" si="16"/>
        <v>44501</v>
      </c>
      <c r="N58" s="1753">
        <f t="shared" si="16"/>
        <v>44470</v>
      </c>
      <c r="O58" s="1753">
        <f t="shared" si="16"/>
        <v>44440</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8" t="s">
        <v>2110</v>
      </c>
      <c r="E144" s="1861">
        <v>102</v>
      </c>
      <c r="F144" s="1869">
        <v>100</v>
      </c>
      <c r="G144" s="1348"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31" sqref="M31"/>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元</v>
      </c>
      <c r="D2" s="1579"/>
      <c r="E2" s="2405" t="e">
        <f ca="1">SUMIF(INDIRECT("'"&amp;G2&amp;"'"&amp;"!A:A"),"承租人权益价值",INDIRECT("'"&amp;G2&amp;"'"&amp;"!c:c"))</f>
        <v>#REF!</v>
      </c>
      <c r="F2" s="1581" t="str">
        <f>C2</f>
        <v>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2005</v>
      </c>
      <c r="D3" s="1587">
        <f>IF(C1="仅计算典型户型",'数据-取费表'!E5,'数据-取费表'!B5)</f>
        <v>84.33</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2006</v>
      </c>
      <c r="B4" s="1591"/>
      <c r="C4" s="3602" t="s">
        <v>2007</v>
      </c>
      <c r="D4" s="3603"/>
      <c r="E4" s="3604" t="s">
        <v>2008</v>
      </c>
      <c r="F4" s="3605"/>
      <c r="G4" s="3602" t="s">
        <v>2009</v>
      </c>
      <c r="H4" s="3603"/>
      <c r="I4" s="3602" t="s">
        <v>2010</v>
      </c>
      <c r="J4" s="3603"/>
      <c r="K4" s="1893" t="s">
        <v>2011</v>
      </c>
      <c r="L4" s="2914"/>
      <c r="M4" s="2915"/>
      <c r="N4" s="2915"/>
      <c r="O4" s="2915"/>
      <c r="P4" s="3606" t="s">
        <v>2012</v>
      </c>
      <c r="Q4" s="3607"/>
      <c r="R4" s="3588" t="s">
        <v>2008</v>
      </c>
      <c r="S4" s="3589"/>
      <c r="T4" s="3588" t="s">
        <v>2009</v>
      </c>
      <c r="U4" s="3589"/>
      <c r="V4" s="3612" t="s">
        <v>2010</v>
      </c>
      <c r="W4" s="3612"/>
      <c r="X4" s="2002"/>
      <c r="Y4" s="3588" t="s">
        <v>2012</v>
      </c>
      <c r="Z4" s="3589"/>
      <c r="AA4" s="3599" t="s">
        <v>2008</v>
      </c>
      <c r="AB4" s="3599" t="s">
        <v>2009</v>
      </c>
      <c r="AC4" s="3599" t="s">
        <v>2010</v>
      </c>
    </row>
    <row r="5" spans="1:29" ht="15">
      <c r="A5" s="1595"/>
      <c r="B5" s="1596"/>
      <c r="C5" s="3615" t="s">
        <v>2013</v>
      </c>
      <c r="D5" s="3616"/>
      <c r="E5" s="3652" t="s">
        <v>2014</v>
      </c>
      <c r="F5" s="3614"/>
      <c r="G5" s="3615" t="s">
        <v>2015</v>
      </c>
      <c r="H5" s="3616"/>
      <c r="I5" s="3615" t="s">
        <v>2016</v>
      </c>
      <c r="J5" s="3616"/>
      <c r="K5" s="1893"/>
      <c r="L5" s="2914"/>
      <c r="M5" s="2915"/>
      <c r="N5" s="2915"/>
      <c r="O5" s="2915"/>
      <c r="P5" s="3608"/>
      <c r="Q5" s="3609"/>
      <c r="R5" s="3590"/>
      <c r="S5" s="3591"/>
      <c r="T5" s="3590"/>
      <c r="U5" s="3591"/>
      <c r="V5" s="3612"/>
      <c r="W5" s="3612"/>
      <c r="X5" s="2002"/>
      <c r="Y5" s="3590"/>
      <c r="Z5" s="3591"/>
      <c r="AA5" s="3600"/>
      <c r="AB5" s="3600"/>
      <c r="AC5" s="3600"/>
    </row>
    <row r="6" spans="1:29" ht="15.75" thickBot="1">
      <c r="A6" s="1598"/>
      <c r="B6" s="1599"/>
      <c r="C6" s="3617" t="s">
        <v>2017</v>
      </c>
      <c r="D6" s="3618"/>
      <c r="E6" s="3620" t="s">
        <v>2017</v>
      </c>
      <c r="F6" s="3621"/>
      <c r="G6" s="3617" t="s">
        <v>2017</v>
      </c>
      <c r="H6" s="3618"/>
      <c r="I6" s="3617" t="s">
        <v>2017</v>
      </c>
      <c r="J6" s="3618"/>
      <c r="K6" s="1893" t="s">
        <v>2018</v>
      </c>
      <c r="L6" s="2914"/>
      <c r="M6" s="2915"/>
      <c r="N6" s="2915"/>
      <c r="O6" s="2915"/>
      <c r="P6" s="3610"/>
      <c r="Q6" s="3611"/>
      <c r="R6" s="3590"/>
      <c r="S6" s="3591"/>
      <c r="T6" s="3592"/>
      <c r="U6" s="3593"/>
      <c r="V6" s="3612"/>
      <c r="W6" s="3612"/>
      <c r="X6" s="2002"/>
      <c r="Y6" s="3592"/>
      <c r="Z6" s="3593"/>
      <c r="AA6" s="3601"/>
      <c r="AB6" s="3601"/>
      <c r="AC6" s="3601"/>
    </row>
    <row r="7" spans="1:29" s="1612" customFormat="1" ht="15.75" thickBot="1">
      <c r="A7" s="1600" t="s">
        <v>2019</v>
      </c>
      <c r="B7" s="1601"/>
      <c r="C7" s="1602">
        <f>'数据-取费表'!B2</f>
        <v>44806</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586" t="s">
        <v>2020</v>
      </c>
      <c r="Q7" s="3594"/>
      <c r="R7" s="1608" t="s">
        <v>25</v>
      </c>
      <c r="S7" s="1609">
        <f t="shared" ref="S7:S15" si="0">F7</f>
        <v>0</v>
      </c>
      <c r="T7" s="1608" t="s">
        <v>25</v>
      </c>
      <c r="U7" s="1609">
        <f t="shared" ref="U7:U15" si="1">H7</f>
        <v>0</v>
      </c>
      <c r="V7" s="1608" t="s">
        <v>25</v>
      </c>
      <c r="W7" s="1609">
        <f t="shared" ref="W7:W15" si="2">J7</f>
        <v>0</v>
      </c>
      <c r="X7" s="1610"/>
      <c r="Y7" s="3586" t="s">
        <v>2020</v>
      </c>
      <c r="Z7" s="3587"/>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586" t="s">
        <v>2023</v>
      </c>
      <c r="Q8" s="3587"/>
      <c r="R8" s="1608" t="s">
        <v>25</v>
      </c>
      <c r="S8" s="1609">
        <f t="shared" si="0"/>
        <v>0</v>
      </c>
      <c r="T8" s="1608" t="s">
        <v>25</v>
      </c>
      <c r="U8" s="1609">
        <f t="shared" si="1"/>
        <v>0</v>
      </c>
      <c r="V8" s="1608" t="s">
        <v>25</v>
      </c>
      <c r="W8" s="1609">
        <f t="shared" si="2"/>
        <v>0</v>
      </c>
      <c r="X8" s="1610"/>
      <c r="Y8" s="3586" t="s">
        <v>2023</v>
      </c>
      <c r="Z8" s="3587"/>
      <c r="AA8" s="1611" t="e">
        <f t="shared" ref="AA8:AA47" si="3">D8/F8</f>
        <v>#DIV/0!</v>
      </c>
      <c r="AB8" s="1611" t="e">
        <f t="shared" ref="AB8:AB47" si="4">D8/H8</f>
        <v>#DIV/0!</v>
      </c>
      <c r="AC8" s="1611" t="e">
        <f t="shared" ref="AC8:AC47" si="5">D8/J8</f>
        <v>#DIV/0!</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76" t="s">
        <v>2026</v>
      </c>
      <c r="Q9" s="2832" t="str">
        <f t="shared" ref="Q9:Q15" si="6">B9</f>
        <v>用途</v>
      </c>
      <c r="R9" s="1608" t="s">
        <v>25</v>
      </c>
      <c r="S9" s="1609">
        <f t="shared" si="0"/>
        <v>100</v>
      </c>
      <c r="T9" s="1608" t="s">
        <v>25</v>
      </c>
      <c r="U9" s="1609">
        <f t="shared" si="1"/>
        <v>100</v>
      </c>
      <c r="V9" s="1608" t="s">
        <v>25</v>
      </c>
      <c r="W9" s="1609">
        <f t="shared" si="2"/>
        <v>100</v>
      </c>
      <c r="X9" s="1610"/>
      <c r="Y9" s="3469"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76"/>
      <c r="Q10" s="2832" t="str">
        <f t="shared" si="6"/>
        <v>土地使用年限（年）</v>
      </c>
      <c r="R10" s="1608" t="s">
        <v>25</v>
      </c>
      <c r="S10" s="1609">
        <f t="shared" si="0"/>
        <v>100</v>
      </c>
      <c r="T10" s="1608" t="s">
        <v>25</v>
      </c>
      <c r="U10" s="1609">
        <f t="shared" si="1"/>
        <v>100</v>
      </c>
      <c r="V10" s="1608" t="s">
        <v>25</v>
      </c>
      <c r="W10" s="1609">
        <f t="shared" si="2"/>
        <v>100</v>
      </c>
      <c r="X10" s="1610"/>
      <c r="Y10" s="3469"/>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76"/>
      <c r="Q11" s="2832" t="str">
        <f t="shared" si="6"/>
        <v>容积率</v>
      </c>
      <c r="R11" s="1608" t="s">
        <v>25</v>
      </c>
      <c r="S11" s="1609" t="e">
        <f t="shared" si="0"/>
        <v>#N/A</v>
      </c>
      <c r="T11" s="1608" t="s">
        <v>25</v>
      </c>
      <c r="U11" s="1609" t="e">
        <f t="shared" si="1"/>
        <v>#N/A</v>
      </c>
      <c r="V11" s="1608" t="s">
        <v>25</v>
      </c>
      <c r="W11" s="1609" t="e">
        <f t="shared" si="2"/>
        <v>#N/A</v>
      </c>
      <c r="X11" s="1610"/>
      <c r="Y11" s="3469"/>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76"/>
      <c r="Q12" s="2832">
        <f t="shared" si="6"/>
        <v>111</v>
      </c>
      <c r="R12" s="1608" t="s">
        <v>25</v>
      </c>
      <c r="S12" s="1609">
        <f t="shared" si="0"/>
        <v>100</v>
      </c>
      <c r="T12" s="1608" t="s">
        <v>25</v>
      </c>
      <c r="U12" s="1609">
        <f t="shared" si="1"/>
        <v>100</v>
      </c>
      <c r="V12" s="1608" t="s">
        <v>25</v>
      </c>
      <c r="W12" s="1609">
        <f t="shared" si="2"/>
        <v>100</v>
      </c>
      <c r="X12" s="1610"/>
      <c r="Y12" s="3469"/>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76"/>
      <c r="Q13" s="2832">
        <f t="shared" si="6"/>
        <v>111</v>
      </c>
      <c r="R13" s="1608" t="s">
        <v>25</v>
      </c>
      <c r="S13" s="1609">
        <f t="shared" si="0"/>
        <v>100</v>
      </c>
      <c r="T13" s="1608" t="s">
        <v>25</v>
      </c>
      <c r="U13" s="1609">
        <f t="shared" si="1"/>
        <v>100</v>
      </c>
      <c r="V13" s="1608" t="s">
        <v>25</v>
      </c>
      <c r="W13" s="1609">
        <f t="shared" si="2"/>
        <v>100</v>
      </c>
      <c r="X13" s="1610"/>
      <c r="Y13" s="3469"/>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76"/>
      <c r="Q14" s="2832">
        <f t="shared" si="6"/>
        <v>111</v>
      </c>
      <c r="R14" s="1608" t="s">
        <v>25</v>
      </c>
      <c r="S14" s="1609">
        <f t="shared" si="0"/>
        <v>100</v>
      </c>
      <c r="T14" s="1608" t="s">
        <v>25</v>
      </c>
      <c r="U14" s="1609">
        <f t="shared" si="1"/>
        <v>100</v>
      </c>
      <c r="V14" s="1608" t="s">
        <v>25</v>
      </c>
      <c r="W14" s="1609">
        <f t="shared" si="2"/>
        <v>100</v>
      </c>
      <c r="X14" s="1610"/>
      <c r="Y14" s="3469"/>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597" t="s">
        <v>2031</v>
      </c>
      <c r="Q15" s="2833" t="str">
        <f t="shared" si="6"/>
        <v>办公集聚程度</v>
      </c>
      <c r="R15" s="1653" t="s">
        <v>25</v>
      </c>
      <c r="S15" s="1654">
        <f t="shared" si="0"/>
        <v>100</v>
      </c>
      <c r="T15" s="1653" t="s">
        <v>25</v>
      </c>
      <c r="U15" s="1654">
        <f t="shared" si="1"/>
        <v>100</v>
      </c>
      <c r="V15" s="1653" t="s">
        <v>25</v>
      </c>
      <c r="W15" s="1654">
        <f t="shared" si="2"/>
        <v>100</v>
      </c>
      <c r="X15" s="2002"/>
      <c r="Y15" s="3597"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598"/>
      <c r="Q16" s="2833"/>
      <c r="R16" s="1653"/>
      <c r="S16" s="1654"/>
      <c r="T16" s="1653"/>
      <c r="U16" s="1654"/>
      <c r="V16" s="1653"/>
      <c r="W16" s="1654"/>
      <c r="X16" s="2002"/>
      <c r="Y16" s="3598"/>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598"/>
      <c r="Q17" s="2833" t="str">
        <f>B17</f>
        <v>交通便捷度</v>
      </c>
      <c r="R17" s="1653" t="s">
        <v>25</v>
      </c>
      <c r="S17" s="1654">
        <f>F17</f>
        <v>100</v>
      </c>
      <c r="T17" s="1653" t="s">
        <v>25</v>
      </c>
      <c r="U17" s="1654">
        <f>H17</f>
        <v>100</v>
      </c>
      <c r="V17" s="1653" t="s">
        <v>25</v>
      </c>
      <c r="W17" s="1654">
        <f>J17</f>
        <v>100</v>
      </c>
      <c r="X17" s="2002"/>
      <c r="Y17" s="3598"/>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598"/>
      <c r="Q18" s="2833"/>
      <c r="R18" s="1653"/>
      <c r="S18" s="1654"/>
      <c r="T18" s="1653"/>
      <c r="U18" s="1654"/>
      <c r="V18" s="1653"/>
      <c r="W18" s="1654"/>
      <c r="X18" s="2002"/>
      <c r="Y18" s="3598"/>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598"/>
      <c r="Q19" s="2833" t="str">
        <f>B19</f>
        <v>公共配套设施</v>
      </c>
      <c r="R19" s="1653" t="s">
        <v>25</v>
      </c>
      <c r="S19" s="1654">
        <f>F19</f>
        <v>100</v>
      </c>
      <c r="T19" s="1653" t="s">
        <v>25</v>
      </c>
      <c r="U19" s="1654">
        <f>H19</f>
        <v>100</v>
      </c>
      <c r="V19" s="1653" t="s">
        <v>25</v>
      </c>
      <c r="W19" s="1654">
        <f>J19</f>
        <v>100</v>
      </c>
      <c r="X19" s="2002"/>
      <c r="Y19" s="3598"/>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598"/>
      <c r="Q20" s="2833"/>
      <c r="R20" s="1653"/>
      <c r="S20" s="1654"/>
      <c r="T20" s="1653"/>
      <c r="U20" s="1654"/>
      <c r="V20" s="1653"/>
      <c r="W20" s="1654"/>
      <c r="X20" s="2002"/>
      <c r="Y20" s="3598"/>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598"/>
      <c r="Q21" s="2833" t="str">
        <f>B21</f>
        <v>基础设施水平</v>
      </c>
      <c r="R21" s="1653" t="s">
        <v>25</v>
      </c>
      <c r="S21" s="1654">
        <f>F21</f>
        <v>100</v>
      </c>
      <c r="T21" s="1653" t="s">
        <v>25</v>
      </c>
      <c r="U21" s="1654">
        <f>H21</f>
        <v>100</v>
      </c>
      <c r="V21" s="1653" t="s">
        <v>25</v>
      </c>
      <c r="W21" s="1654">
        <f>J21</f>
        <v>100</v>
      </c>
      <c r="X21" s="2002"/>
      <c r="Y21" s="3598"/>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598"/>
      <c r="Q22" s="2833"/>
      <c r="R22" s="1653"/>
      <c r="S22" s="1654"/>
      <c r="T22" s="1653"/>
      <c r="U22" s="1654"/>
      <c r="V22" s="1653"/>
      <c r="W22" s="1654"/>
      <c r="X22" s="2002"/>
      <c r="Y22" s="3598"/>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598"/>
      <c r="Q23" s="2833" t="str">
        <f>B23</f>
        <v>环境质量</v>
      </c>
      <c r="R23" s="1653" t="s">
        <v>25</v>
      </c>
      <c r="S23" s="1654">
        <f>F23</f>
        <v>100</v>
      </c>
      <c r="T23" s="1653" t="s">
        <v>25</v>
      </c>
      <c r="U23" s="1654">
        <f>H23</f>
        <v>100</v>
      </c>
      <c r="V23" s="1653" t="s">
        <v>25</v>
      </c>
      <c r="W23" s="1654">
        <f>J23</f>
        <v>100</v>
      </c>
      <c r="X23" s="2002"/>
      <c r="Y23" s="3598"/>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598"/>
      <c r="Q24" s="2833"/>
      <c r="R24" s="1653"/>
      <c r="S24" s="1654"/>
      <c r="T24" s="1653"/>
      <c r="U24" s="1654"/>
      <c r="V24" s="1653"/>
      <c r="W24" s="1654"/>
      <c r="X24" s="2002"/>
      <c r="Y24" s="3598"/>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598"/>
      <c r="Q25" s="2833" t="str">
        <f>B25</f>
        <v>毗邻道路的类型与等级</v>
      </c>
      <c r="R25" s="1653" t="s">
        <v>25</v>
      </c>
      <c r="S25" s="1654">
        <f>F25</f>
        <v>100</v>
      </c>
      <c r="T25" s="1653" t="s">
        <v>25</v>
      </c>
      <c r="U25" s="1654">
        <f>H25</f>
        <v>100</v>
      </c>
      <c r="V25" s="1653" t="s">
        <v>25</v>
      </c>
      <c r="W25" s="1654">
        <f>J25</f>
        <v>100</v>
      </c>
      <c r="X25" s="2002"/>
      <c r="Y25" s="3598"/>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598"/>
      <c r="Q26" s="2833"/>
      <c r="R26" s="1653"/>
      <c r="S26" s="1654"/>
      <c r="T26" s="1653"/>
      <c r="U26" s="1654"/>
      <c r="V26" s="1653"/>
      <c r="W26" s="1654"/>
      <c r="X26" s="2002"/>
      <c r="Y26" s="3598"/>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598"/>
      <c r="Q27" s="2833" t="str">
        <f t="shared" ref="Q27:Q47" si="11">B27</f>
        <v>楼层</v>
      </c>
      <c r="R27" s="1653" t="s">
        <v>25</v>
      </c>
      <c r="S27" s="1654">
        <f>F27</f>
        <v>100</v>
      </c>
      <c r="T27" s="1653" t="s">
        <v>25</v>
      </c>
      <c r="U27" s="1654">
        <f>H27</f>
        <v>100</v>
      </c>
      <c r="V27" s="1653" t="s">
        <v>25</v>
      </c>
      <c r="W27" s="1654">
        <f>J27</f>
        <v>100</v>
      </c>
      <c r="X27" s="2002"/>
      <c r="Y27" s="3598"/>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598"/>
      <c r="Q28" s="2832" t="str">
        <f t="shared" si="11"/>
        <v>朝向</v>
      </c>
      <c r="R28" s="1608" t="s">
        <v>25</v>
      </c>
      <c r="S28" s="1609">
        <f>F28</f>
        <v>100</v>
      </c>
      <c r="T28" s="1608" t="s">
        <v>25</v>
      </c>
      <c r="U28" s="1609">
        <f>H28</f>
        <v>100</v>
      </c>
      <c r="V28" s="1608" t="s">
        <v>25</v>
      </c>
      <c r="W28" s="1609">
        <f>J28</f>
        <v>100</v>
      </c>
      <c r="X28" s="1610"/>
      <c r="Y28" s="3598"/>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598"/>
      <c r="Q29" s="2833">
        <f t="shared" si="11"/>
        <v>111</v>
      </c>
      <c r="R29" s="1653" t="s">
        <v>25</v>
      </c>
      <c r="S29" s="1654">
        <f t="shared" ref="S29:S47" si="12">F29</f>
        <v>100</v>
      </c>
      <c r="T29" s="1653" t="s">
        <v>25</v>
      </c>
      <c r="U29" s="1654">
        <f t="shared" ref="U29:U47" si="13">H29</f>
        <v>100</v>
      </c>
      <c r="V29" s="1653" t="s">
        <v>25</v>
      </c>
      <c r="W29" s="1654">
        <f t="shared" ref="W29:W47" si="14">J29</f>
        <v>100</v>
      </c>
      <c r="X29" s="2002"/>
      <c r="Y29" s="3598"/>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598"/>
      <c r="Q30" s="2833">
        <f t="shared" si="11"/>
        <v>111</v>
      </c>
      <c r="R30" s="1653" t="s">
        <v>25</v>
      </c>
      <c r="S30" s="1654">
        <f t="shared" si="12"/>
        <v>100</v>
      </c>
      <c r="T30" s="1653" t="s">
        <v>25</v>
      </c>
      <c r="U30" s="1654">
        <f t="shared" si="13"/>
        <v>100</v>
      </c>
      <c r="V30" s="1653" t="s">
        <v>25</v>
      </c>
      <c r="W30" s="1654">
        <f t="shared" si="14"/>
        <v>100</v>
      </c>
      <c r="X30" s="2002"/>
      <c r="Y30" s="3598"/>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598"/>
      <c r="Q31" s="2833">
        <f t="shared" si="11"/>
        <v>111</v>
      </c>
      <c r="R31" s="1653" t="s">
        <v>25</v>
      </c>
      <c r="S31" s="1654">
        <f t="shared" si="12"/>
        <v>100</v>
      </c>
      <c r="T31" s="1653" t="s">
        <v>25</v>
      </c>
      <c r="U31" s="1654">
        <f t="shared" si="13"/>
        <v>100</v>
      </c>
      <c r="V31" s="1653" t="s">
        <v>25</v>
      </c>
      <c r="W31" s="1654">
        <f t="shared" si="14"/>
        <v>100</v>
      </c>
      <c r="X31" s="2002"/>
      <c r="Y31" s="3598"/>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598"/>
      <c r="Q32" s="2833">
        <f t="shared" si="11"/>
        <v>111</v>
      </c>
      <c r="R32" s="1653" t="s">
        <v>25</v>
      </c>
      <c r="S32" s="1654">
        <f t="shared" si="12"/>
        <v>100</v>
      </c>
      <c r="T32" s="1653" t="s">
        <v>25</v>
      </c>
      <c r="U32" s="1654">
        <f t="shared" si="13"/>
        <v>100</v>
      </c>
      <c r="V32" s="1653" t="s">
        <v>25</v>
      </c>
      <c r="W32" s="1654">
        <f t="shared" si="14"/>
        <v>100</v>
      </c>
      <c r="X32" s="2002"/>
      <c r="Y32" s="3598"/>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53" t="s">
        <v>2037</v>
      </c>
      <c r="Q33" s="2833" t="str">
        <f t="shared" si="11"/>
        <v>建筑类型</v>
      </c>
      <c r="R33" s="1653" t="s">
        <v>25</v>
      </c>
      <c r="S33" s="1654">
        <f t="shared" si="12"/>
        <v>100</v>
      </c>
      <c r="T33" s="1653" t="s">
        <v>25</v>
      </c>
      <c r="U33" s="1654">
        <f t="shared" si="13"/>
        <v>100</v>
      </c>
      <c r="V33" s="1653" t="s">
        <v>25</v>
      </c>
      <c r="W33" s="1654">
        <f t="shared" si="14"/>
        <v>100</v>
      </c>
      <c r="X33" s="2002"/>
      <c r="Y33" s="3584"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584"/>
      <c r="Q34" s="1694" t="str">
        <f t="shared" si="11"/>
        <v>项目建筑规模</v>
      </c>
      <c r="R34" s="1695" t="s">
        <v>25</v>
      </c>
      <c r="S34" s="1696" t="e">
        <f t="shared" si="12"/>
        <v>#N/A</v>
      </c>
      <c r="T34" s="1695" t="s">
        <v>25</v>
      </c>
      <c r="U34" s="1696" t="e">
        <f t="shared" si="13"/>
        <v>#N/A</v>
      </c>
      <c r="V34" s="1695" t="s">
        <v>25</v>
      </c>
      <c r="W34" s="1696" t="e">
        <f t="shared" si="14"/>
        <v>#N/A</v>
      </c>
      <c r="X34" s="1697"/>
      <c r="Y34" s="3584"/>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584"/>
      <c r="Q35" s="2833" t="str">
        <f t="shared" si="11"/>
        <v>建筑结构</v>
      </c>
      <c r="R35" s="1653" t="s">
        <v>25</v>
      </c>
      <c r="S35" s="1654">
        <f t="shared" si="12"/>
        <v>100</v>
      </c>
      <c r="T35" s="1653" t="s">
        <v>25</v>
      </c>
      <c r="U35" s="1654">
        <f t="shared" si="13"/>
        <v>100</v>
      </c>
      <c r="V35" s="1653" t="s">
        <v>25</v>
      </c>
      <c r="W35" s="1654">
        <f t="shared" si="14"/>
        <v>100</v>
      </c>
      <c r="X35" s="2002"/>
      <c r="Y35" s="3584"/>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584"/>
      <c r="Q36" s="2833" t="str">
        <f t="shared" si="11"/>
        <v>公共部分装修</v>
      </c>
      <c r="R36" s="1653" t="s">
        <v>25</v>
      </c>
      <c r="S36" s="1654">
        <f t="shared" si="12"/>
        <v>100</v>
      </c>
      <c r="T36" s="1653" t="s">
        <v>25</v>
      </c>
      <c r="U36" s="1654">
        <f t="shared" si="13"/>
        <v>100</v>
      </c>
      <c r="V36" s="1653" t="s">
        <v>25</v>
      </c>
      <c r="W36" s="1654">
        <f t="shared" si="14"/>
        <v>100</v>
      </c>
      <c r="X36" s="2002"/>
      <c r="Y36" s="3584"/>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584"/>
      <c r="Q37" s="2833" t="str">
        <f t="shared" si="11"/>
        <v>成新度</v>
      </c>
      <c r="R37" s="1653" t="s">
        <v>25</v>
      </c>
      <c r="S37" s="1654" t="e">
        <f t="shared" si="12"/>
        <v>#N/A</v>
      </c>
      <c r="T37" s="1653" t="s">
        <v>25</v>
      </c>
      <c r="U37" s="1654" t="e">
        <f t="shared" si="13"/>
        <v>#N/A</v>
      </c>
      <c r="V37" s="1653" t="s">
        <v>25</v>
      </c>
      <c r="W37" s="1654" t="e">
        <f t="shared" si="14"/>
        <v>#N/A</v>
      </c>
      <c r="X37" s="2002"/>
      <c r="Y37" s="3584"/>
      <c r="Z37" s="2006" t="str">
        <f t="shared" si="15"/>
        <v>成新度</v>
      </c>
      <c r="AA37" s="1997" t="e">
        <f t="shared" si="3"/>
        <v>#N/A</v>
      </c>
      <c r="AB37" s="1997" t="e">
        <f t="shared" si="4"/>
        <v>#N/A</v>
      </c>
      <c r="AC37" s="1997" t="e">
        <f t="shared" si="5"/>
        <v>#N/A</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584"/>
      <c r="Q38" s="2832" t="str">
        <f t="shared" si="11"/>
        <v>写字楼等级</v>
      </c>
      <c r="R38" s="1608" t="s">
        <v>25</v>
      </c>
      <c r="S38" s="1609">
        <f t="shared" si="12"/>
        <v>100</v>
      </c>
      <c r="T38" s="1608" t="s">
        <v>25</v>
      </c>
      <c r="U38" s="1609">
        <f t="shared" si="13"/>
        <v>100</v>
      </c>
      <c r="V38" s="1608" t="s">
        <v>25</v>
      </c>
      <c r="W38" s="1609">
        <f t="shared" si="14"/>
        <v>100</v>
      </c>
      <c r="X38" s="1610"/>
      <c r="Y38" s="3584"/>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584" t="s">
        <v>2037</v>
      </c>
      <c r="Q39" s="2833" t="str">
        <f t="shared" si="11"/>
        <v>物业管理</v>
      </c>
      <c r="R39" s="1653" t="s">
        <v>25</v>
      </c>
      <c r="S39" s="1654">
        <f t="shared" si="12"/>
        <v>100</v>
      </c>
      <c r="T39" s="1653" t="s">
        <v>25</v>
      </c>
      <c r="U39" s="1654">
        <f t="shared" si="13"/>
        <v>100</v>
      </c>
      <c r="V39" s="1653" t="s">
        <v>25</v>
      </c>
      <c r="W39" s="1654">
        <f t="shared" si="14"/>
        <v>100</v>
      </c>
      <c r="X39" s="2002"/>
      <c r="Y39" s="3584"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584"/>
      <c r="Q40" s="2833" t="str">
        <f t="shared" si="11"/>
        <v>市政基础设施</v>
      </c>
      <c r="R40" s="1653" t="s">
        <v>25</v>
      </c>
      <c r="S40" s="1654">
        <f t="shared" si="12"/>
        <v>100</v>
      </c>
      <c r="T40" s="1653" t="s">
        <v>25</v>
      </c>
      <c r="U40" s="1654">
        <f t="shared" si="13"/>
        <v>100</v>
      </c>
      <c r="V40" s="1653" t="s">
        <v>25</v>
      </c>
      <c r="W40" s="1654">
        <f t="shared" si="14"/>
        <v>100</v>
      </c>
      <c r="X40" s="2002"/>
      <c r="Y40" s="3584"/>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584"/>
      <c r="Q41" s="2833" t="str">
        <f t="shared" si="11"/>
        <v>层高</v>
      </c>
      <c r="R41" s="1653" t="s">
        <v>25</v>
      </c>
      <c r="S41" s="1654">
        <f t="shared" si="12"/>
        <v>100</v>
      </c>
      <c r="T41" s="1653" t="s">
        <v>25</v>
      </c>
      <c r="U41" s="1654">
        <f t="shared" si="13"/>
        <v>100</v>
      </c>
      <c r="V41" s="1653" t="s">
        <v>25</v>
      </c>
      <c r="W41" s="1654">
        <f t="shared" si="14"/>
        <v>100</v>
      </c>
      <c r="X41" s="2002"/>
      <c r="Y41" s="3584"/>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584"/>
      <c r="Q42" s="1694" t="str">
        <f t="shared" si="11"/>
        <v>单套建筑面积</v>
      </c>
      <c r="R42" s="1695" t="s">
        <v>25</v>
      </c>
      <c r="S42" s="1696">
        <f t="shared" si="12"/>
        <v>100</v>
      </c>
      <c r="T42" s="1695" t="s">
        <v>25</v>
      </c>
      <c r="U42" s="1696">
        <f t="shared" si="13"/>
        <v>100</v>
      </c>
      <c r="V42" s="1695" t="s">
        <v>25</v>
      </c>
      <c r="W42" s="1696">
        <f t="shared" si="14"/>
        <v>100</v>
      </c>
      <c r="X42" s="1697"/>
      <c r="Y42" s="3584"/>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584"/>
      <c r="Q43" s="2833" t="str">
        <f t="shared" si="11"/>
        <v>内部装修</v>
      </c>
      <c r="R43" s="1653" t="s">
        <v>25</v>
      </c>
      <c r="S43" s="1654">
        <f t="shared" si="12"/>
        <v>100</v>
      </c>
      <c r="T43" s="1653" t="s">
        <v>25</v>
      </c>
      <c r="U43" s="1654">
        <f t="shared" si="13"/>
        <v>100</v>
      </c>
      <c r="V43" s="1653" t="s">
        <v>25</v>
      </c>
      <c r="W43" s="1654">
        <f t="shared" si="14"/>
        <v>100</v>
      </c>
      <c r="X43" s="2002"/>
      <c r="Y43" s="3584"/>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584"/>
      <c r="Q44" s="2833" t="str">
        <f t="shared" si="11"/>
        <v>内部装修维护情况</v>
      </c>
      <c r="R44" s="1653" t="s">
        <v>25</v>
      </c>
      <c r="S44" s="1654">
        <f t="shared" si="12"/>
        <v>100</v>
      </c>
      <c r="T44" s="1653" t="s">
        <v>25</v>
      </c>
      <c r="U44" s="1654">
        <f t="shared" si="13"/>
        <v>100</v>
      </c>
      <c r="V44" s="1653" t="s">
        <v>25</v>
      </c>
      <c r="W44" s="1654">
        <f t="shared" si="14"/>
        <v>100</v>
      </c>
      <c r="X44" s="2002"/>
      <c r="Y44" s="358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584"/>
      <c r="Q45" s="2832">
        <f t="shared" si="11"/>
        <v>111</v>
      </c>
      <c r="R45" s="1608" t="s">
        <v>25</v>
      </c>
      <c r="S45" s="1609">
        <f t="shared" si="12"/>
        <v>100</v>
      </c>
      <c r="T45" s="1608" t="s">
        <v>25</v>
      </c>
      <c r="U45" s="1609">
        <f t="shared" si="13"/>
        <v>100</v>
      </c>
      <c r="V45" s="1608" t="s">
        <v>25</v>
      </c>
      <c r="W45" s="1609">
        <f t="shared" si="14"/>
        <v>100</v>
      </c>
      <c r="X45" s="1610"/>
      <c r="Y45" s="358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584"/>
      <c r="Q46" s="2833">
        <f t="shared" si="11"/>
        <v>111</v>
      </c>
      <c r="R46" s="1653" t="s">
        <v>25</v>
      </c>
      <c r="S46" s="1654">
        <f t="shared" si="12"/>
        <v>100</v>
      </c>
      <c r="T46" s="1653" t="s">
        <v>25</v>
      </c>
      <c r="U46" s="1654">
        <f t="shared" si="13"/>
        <v>100</v>
      </c>
      <c r="V46" s="1653" t="s">
        <v>25</v>
      </c>
      <c r="W46" s="1654">
        <f t="shared" si="14"/>
        <v>100</v>
      </c>
      <c r="X46" s="2002"/>
      <c r="Y46" s="358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585"/>
      <c r="Q47" s="2833">
        <f t="shared" si="11"/>
        <v>111</v>
      </c>
      <c r="R47" s="1653" t="s">
        <v>25</v>
      </c>
      <c r="S47" s="1654">
        <f t="shared" si="12"/>
        <v>100</v>
      </c>
      <c r="T47" s="1653" t="s">
        <v>25</v>
      </c>
      <c r="U47" s="1654">
        <f t="shared" si="13"/>
        <v>100</v>
      </c>
      <c r="V47" s="1653" t="s">
        <v>25</v>
      </c>
      <c r="W47" s="1654">
        <f t="shared" si="14"/>
        <v>100</v>
      </c>
      <c r="X47" s="2002"/>
      <c r="Y47" s="3585"/>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576" t="str">
        <f>A48</f>
        <v>成交单价（元/平方米）</v>
      </c>
      <c r="Q48" s="3576"/>
      <c r="R48" s="3577">
        <f>E48</f>
        <v>0</v>
      </c>
      <c r="S48" s="3577"/>
      <c r="T48" s="3577">
        <f>G48</f>
        <v>0</v>
      </c>
      <c r="U48" s="3577"/>
      <c r="V48" s="3577">
        <f>I48</f>
        <v>0</v>
      </c>
      <c r="W48" s="3577"/>
      <c r="X48" s="1719"/>
      <c r="Y48" s="2001"/>
      <c r="Z48" s="1719"/>
      <c r="AA48" s="1719"/>
      <c r="AB48" s="1719"/>
      <c r="AC48" s="1719"/>
    </row>
    <row r="49" spans="1:29" ht="15.75" thickBot="1">
      <c r="A49" s="1721" t="s">
        <v>2132</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576" t="str">
        <f>A49</f>
        <v>比较价值（元/平方米）</v>
      </c>
      <c r="Q49" s="3576"/>
      <c r="R49" s="3577" t="e">
        <f>IF(E1="售价",ROUND(PRODUCT(R48,AA7:AA47),0),ROUND(PRODUCT(R48,AA7:AA47),1))</f>
        <v>#DIV/0!</v>
      </c>
      <c r="S49" s="3577"/>
      <c r="T49" s="3577" t="e">
        <f>IF(E1="售价",ROUND(PRODUCT(T48,AB7:AB47),0),ROUND(PRODUCT(T48,AB7:AB47),1))</f>
        <v>#DIV/0!</v>
      </c>
      <c r="U49" s="3577"/>
      <c r="V49" s="3577" t="e">
        <f>IF(E1="售价",ROUND(PRODUCT(V48,AC7:AC47),0),ROUND(PRODUCT(V48,AC7:AC47),1))</f>
        <v>#DIV/0!</v>
      </c>
      <c r="W49" s="3577"/>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578" t="str">
        <f>A50</f>
        <v>估价对象XX用房的比较价值（楼面单价，元/平方米）</v>
      </c>
      <c r="Q50" s="3579"/>
      <c r="R50" s="3580" t="e">
        <f>IF(E1="售价",ROUND(IF(D49="简单平均",AVERAGE(R49:V49),R49*F49+T49*H49+V49*J49),0),ROUND(IF(D49="简单平均",AVERAGE(R49:V49),R49*F49+T49*H49+V49*J49),1))</f>
        <v>#DIV/0!</v>
      </c>
      <c r="S50" s="3580"/>
      <c r="T50" s="3580"/>
      <c r="U50" s="3580"/>
      <c r="V50" s="3580"/>
      <c r="W50" s="3580"/>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2022-9</v>
      </c>
      <c r="D59" s="1753">
        <f>EDATE(C59,-1)</f>
        <v>44774</v>
      </c>
      <c r="E59" s="1753">
        <f t="shared" ref="E59:O59" si="16">EDATE(D59,-1)</f>
        <v>44743</v>
      </c>
      <c r="F59" s="1753">
        <f t="shared" si="16"/>
        <v>44713</v>
      </c>
      <c r="G59" s="1753">
        <f t="shared" si="16"/>
        <v>44682</v>
      </c>
      <c r="H59" s="1753">
        <f t="shared" si="16"/>
        <v>44652</v>
      </c>
      <c r="I59" s="1753">
        <f t="shared" si="16"/>
        <v>44621</v>
      </c>
      <c r="J59" s="1753">
        <f t="shared" si="16"/>
        <v>44593</v>
      </c>
      <c r="K59" s="1753">
        <f t="shared" si="16"/>
        <v>44562</v>
      </c>
      <c r="L59" s="1753">
        <f t="shared" si="16"/>
        <v>44531</v>
      </c>
      <c r="M59" s="1753">
        <f t="shared" si="16"/>
        <v>44501</v>
      </c>
      <c r="N59" s="1753">
        <f t="shared" si="16"/>
        <v>44470</v>
      </c>
      <c r="O59" s="1753">
        <f t="shared" si="16"/>
        <v>44440</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6"/>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7"/>
      <c r="E2" s="1506" t="e">
        <f ca="1">SUMIF(INDIRECT("'"&amp;G2&amp;"'"&amp;"!A:A"),"承租人权益价值",INDIRECT("'"&amp;G2&amp;"'"&amp;"!c:c"))</f>
        <v>#REF!</v>
      </c>
      <c r="F2" s="1488" t="str">
        <f>C2</f>
        <v>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84.33</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77" t="s">
        <v>2007</v>
      </c>
      <c r="D4" s="3678"/>
      <c r="E4" s="3679" t="s">
        <v>2008</v>
      </c>
      <c r="F4" s="3680"/>
      <c r="G4" s="3677" t="s">
        <v>2009</v>
      </c>
      <c r="H4" s="3678"/>
      <c r="I4" s="3677" t="s">
        <v>2010</v>
      </c>
      <c r="J4" s="3678"/>
      <c r="K4" s="496" t="s">
        <v>2011</v>
      </c>
      <c r="L4" s="2942"/>
      <c r="M4" s="2943"/>
      <c r="N4" s="2943"/>
      <c r="O4" s="2943"/>
      <c r="P4" s="3681" t="s">
        <v>2012</v>
      </c>
      <c r="Q4" s="3682"/>
      <c r="R4" s="3664" t="s">
        <v>2008</v>
      </c>
      <c r="S4" s="3665"/>
      <c r="T4" s="3664" t="s">
        <v>2009</v>
      </c>
      <c r="U4" s="3665"/>
      <c r="V4" s="3687" t="s">
        <v>2010</v>
      </c>
      <c r="W4" s="3687"/>
      <c r="X4" s="1263"/>
      <c r="Y4" s="3664" t="s">
        <v>2012</v>
      </c>
      <c r="Z4" s="3665"/>
      <c r="AA4" s="3674" t="s">
        <v>2008</v>
      </c>
      <c r="AB4" s="3675" t="s">
        <v>2009</v>
      </c>
      <c r="AC4" s="3674" t="s">
        <v>2010</v>
      </c>
    </row>
    <row r="5" spans="1:29" ht="15">
      <c r="A5" s="297"/>
      <c r="B5" s="298"/>
      <c r="C5" s="3690" t="s">
        <v>2013</v>
      </c>
      <c r="D5" s="3691"/>
      <c r="E5" s="3688" t="s">
        <v>2014</v>
      </c>
      <c r="F5" s="3689"/>
      <c r="G5" s="3690" t="s">
        <v>2015</v>
      </c>
      <c r="H5" s="3691"/>
      <c r="I5" s="3690" t="s">
        <v>2016</v>
      </c>
      <c r="J5" s="3691"/>
      <c r="K5" s="496"/>
      <c r="L5" s="2942"/>
      <c r="M5" s="2943"/>
      <c r="N5" s="2943"/>
      <c r="O5" s="2943"/>
      <c r="P5" s="3683"/>
      <c r="Q5" s="3684"/>
      <c r="R5" s="3666"/>
      <c r="S5" s="3667"/>
      <c r="T5" s="3666"/>
      <c r="U5" s="3667"/>
      <c r="V5" s="3687"/>
      <c r="W5" s="3687"/>
      <c r="X5" s="1263"/>
      <c r="Y5" s="3666"/>
      <c r="Z5" s="3667"/>
      <c r="AA5" s="3675"/>
      <c r="AB5" s="3675"/>
      <c r="AC5" s="3675"/>
    </row>
    <row r="6" spans="1:29" ht="15.75" thickBot="1">
      <c r="A6" s="299"/>
      <c r="B6" s="300"/>
      <c r="C6" s="3692" t="s">
        <v>2017</v>
      </c>
      <c r="D6" s="3693"/>
      <c r="E6" s="3694" t="s">
        <v>2017</v>
      </c>
      <c r="F6" s="3695"/>
      <c r="G6" s="3692" t="s">
        <v>2017</v>
      </c>
      <c r="H6" s="3693"/>
      <c r="I6" s="3692" t="s">
        <v>2017</v>
      </c>
      <c r="J6" s="3693"/>
      <c r="K6" s="496" t="s">
        <v>2018</v>
      </c>
      <c r="L6" s="2942"/>
      <c r="M6" s="2943"/>
      <c r="N6" s="2943"/>
      <c r="O6" s="2943"/>
      <c r="P6" s="3685"/>
      <c r="Q6" s="3686"/>
      <c r="R6" s="3666"/>
      <c r="S6" s="3667"/>
      <c r="T6" s="3668"/>
      <c r="U6" s="3669"/>
      <c r="V6" s="3687"/>
      <c r="W6" s="3687"/>
      <c r="X6" s="1263"/>
      <c r="Y6" s="3668"/>
      <c r="Z6" s="3669"/>
      <c r="AA6" s="3676"/>
      <c r="AB6" s="3676"/>
      <c r="AC6" s="3676"/>
    </row>
    <row r="7" spans="1:29" s="25" customFormat="1" ht="15.75" thickBot="1">
      <c r="A7" s="301" t="s">
        <v>2019</v>
      </c>
      <c r="B7" s="302"/>
      <c r="C7" s="303">
        <f>'数据-取费表'!B2</f>
        <v>44806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62" t="s">
        <v>2020</v>
      </c>
      <c r="Q7" s="3670"/>
      <c r="R7" s="627" t="s">
        <v>25</v>
      </c>
      <c r="S7" s="628">
        <f t="shared" ref="S7:S15" si="0">F7</f>
        <v>0</v>
      </c>
      <c r="T7" s="627" t="s">
        <v>25</v>
      </c>
      <c r="U7" s="628">
        <f t="shared" ref="U7:U15" si="1">H7</f>
        <v>0</v>
      </c>
      <c r="V7" s="627" t="s">
        <v>25</v>
      </c>
      <c r="W7" s="628">
        <f t="shared" ref="W7:W15" si="2">J7</f>
        <v>0</v>
      </c>
      <c r="X7" s="629"/>
      <c r="Y7" s="3662" t="s">
        <v>2020</v>
      </c>
      <c r="Z7" s="3663"/>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62" t="s">
        <v>2023</v>
      </c>
      <c r="Q8" s="3663"/>
      <c r="R8" s="627" t="s">
        <v>25</v>
      </c>
      <c r="S8" s="628">
        <f t="shared" si="0"/>
        <v>0</v>
      </c>
      <c r="T8" s="627" t="s">
        <v>25</v>
      </c>
      <c r="U8" s="628">
        <f t="shared" si="1"/>
        <v>0</v>
      </c>
      <c r="V8" s="627" t="s">
        <v>25</v>
      </c>
      <c r="W8" s="628">
        <f t="shared" si="2"/>
        <v>0</v>
      </c>
      <c r="X8" s="629"/>
      <c r="Y8" s="3662" t="s">
        <v>2023</v>
      </c>
      <c r="Z8" s="366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54" t="s">
        <v>2026</v>
      </c>
      <c r="Q9" s="1255" t="str">
        <f t="shared" ref="Q9:Q15" si="6">B9</f>
        <v>用途</v>
      </c>
      <c r="R9" s="627" t="s">
        <v>25</v>
      </c>
      <c r="S9" s="628">
        <f t="shared" si="0"/>
        <v>100</v>
      </c>
      <c r="T9" s="627" t="s">
        <v>25</v>
      </c>
      <c r="U9" s="628">
        <f t="shared" si="1"/>
        <v>100</v>
      </c>
      <c r="V9" s="627" t="s">
        <v>25</v>
      </c>
      <c r="W9" s="628">
        <f t="shared" si="2"/>
        <v>100</v>
      </c>
      <c r="X9" s="629"/>
      <c r="Y9" s="3673"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54"/>
      <c r="Q10" s="1255"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54"/>
      <c r="Q11" s="1255" t="str">
        <f t="shared" si="6"/>
        <v>容积率</v>
      </c>
      <c r="R11" s="627" t="s">
        <v>25</v>
      </c>
      <c r="S11" s="628" t="e">
        <f t="shared" si="0"/>
        <v>#N/A</v>
      </c>
      <c r="T11" s="627" t="s">
        <v>25</v>
      </c>
      <c r="U11" s="628" t="e">
        <f t="shared" si="1"/>
        <v>#N/A</v>
      </c>
      <c r="V11" s="627" t="s">
        <v>25</v>
      </c>
      <c r="W11" s="628" t="e">
        <f t="shared" si="2"/>
        <v>#N/A</v>
      </c>
      <c r="X11" s="629"/>
      <c r="Y11" s="3673"/>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54"/>
      <c r="Q12" s="125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54"/>
      <c r="Q13" s="125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54"/>
      <c r="Q14" s="1255">
        <f t="shared" si="6"/>
        <v>111</v>
      </c>
      <c r="R14" s="627" t="s">
        <v>25</v>
      </c>
      <c r="S14" s="628">
        <f t="shared" si="0"/>
        <v>100</v>
      </c>
      <c r="T14" s="627" t="s">
        <v>25</v>
      </c>
      <c r="U14" s="628">
        <f t="shared" si="1"/>
        <v>100</v>
      </c>
      <c r="V14" s="627" t="s">
        <v>25</v>
      </c>
      <c r="W14" s="628">
        <f t="shared" si="2"/>
        <v>100</v>
      </c>
      <c r="X14" s="629"/>
      <c r="Y14" s="3673"/>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1" t="s">
        <v>2031</v>
      </c>
      <c r="Q15" s="1262" t="str">
        <f t="shared" si="6"/>
        <v>产业集聚程度</v>
      </c>
      <c r="R15" s="631" t="s">
        <v>25</v>
      </c>
      <c r="S15" s="632">
        <f t="shared" si="0"/>
        <v>100</v>
      </c>
      <c r="T15" s="631" t="s">
        <v>25</v>
      </c>
      <c r="U15" s="632">
        <f t="shared" si="1"/>
        <v>100</v>
      </c>
      <c r="V15" s="631" t="s">
        <v>25</v>
      </c>
      <c r="W15" s="632">
        <f t="shared" si="2"/>
        <v>100</v>
      </c>
      <c r="X15" s="1263"/>
      <c r="Y15" s="3671"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72"/>
      <c r="Q16" s="1262"/>
      <c r="R16" s="631"/>
      <c r="S16" s="632"/>
      <c r="T16" s="631"/>
      <c r="U16" s="632"/>
      <c r="V16" s="631"/>
      <c r="W16" s="632"/>
      <c r="X16" s="1263"/>
      <c r="Y16" s="3672"/>
      <c r="Z16" s="1264"/>
      <c r="AA16" s="1265">
        <v>1</v>
      </c>
      <c r="AB16" s="1265">
        <v>1</v>
      </c>
      <c r="AC16" s="1265">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2"/>
      <c r="Q17" s="1262" t="str">
        <f>B17</f>
        <v>交通便捷度</v>
      </c>
      <c r="R17" s="631" t="s">
        <v>25</v>
      </c>
      <c r="S17" s="632">
        <f>F17</f>
        <v>100</v>
      </c>
      <c r="T17" s="631" t="s">
        <v>25</v>
      </c>
      <c r="U17" s="632">
        <f>H17</f>
        <v>100</v>
      </c>
      <c r="V17" s="631" t="s">
        <v>25</v>
      </c>
      <c r="W17" s="632">
        <f>J17</f>
        <v>100</v>
      </c>
      <c r="X17" s="1263"/>
      <c r="Y17" s="3672"/>
      <c r="Z17" s="1264" t="str">
        <f>Q17</f>
        <v>交通便捷度</v>
      </c>
      <c r="AA17" s="1265">
        <f t="shared" si="3"/>
        <v>1</v>
      </c>
      <c r="AB17" s="1265">
        <f t="shared" si="4"/>
        <v>1</v>
      </c>
      <c r="AC17" s="1265">
        <f t="shared" si="5"/>
        <v>1</v>
      </c>
    </row>
    <row r="18" spans="1:29" ht="15">
      <c r="A18" s="318"/>
      <c r="B18" s="345"/>
      <c r="C18" s="346"/>
      <c r="D18" s="339"/>
      <c r="E18" s="1060"/>
      <c r="F18" s="342"/>
      <c r="G18" s="1495"/>
      <c r="H18" s="336"/>
      <c r="I18" s="1060"/>
      <c r="J18" s="336"/>
      <c r="K18" s="501"/>
      <c r="L18" s="2952"/>
      <c r="M18" s="2943"/>
      <c r="N18" s="2943"/>
      <c r="O18" s="2951"/>
      <c r="P18" s="3672"/>
      <c r="Q18" s="1262"/>
      <c r="R18" s="631"/>
      <c r="S18" s="632"/>
      <c r="T18" s="631"/>
      <c r="U18" s="632"/>
      <c r="V18" s="631"/>
      <c r="W18" s="632"/>
      <c r="X18" s="1263"/>
      <c r="Y18" s="3672"/>
      <c r="Z18" s="1264"/>
      <c r="AA18" s="1265">
        <v>1</v>
      </c>
      <c r="AB18" s="1265">
        <v>1</v>
      </c>
      <c r="AC18" s="1265">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2"/>
      <c r="Q19" s="1262" t="str">
        <f>B19</f>
        <v>公共配套设施</v>
      </c>
      <c r="R19" s="631" t="s">
        <v>25</v>
      </c>
      <c r="S19" s="632">
        <f>F19</f>
        <v>100</v>
      </c>
      <c r="T19" s="631" t="s">
        <v>25</v>
      </c>
      <c r="U19" s="632">
        <f>H19</f>
        <v>100</v>
      </c>
      <c r="V19" s="631" t="s">
        <v>25</v>
      </c>
      <c r="W19" s="632">
        <f>J19</f>
        <v>100</v>
      </c>
      <c r="X19" s="1263"/>
      <c r="Y19" s="3672"/>
      <c r="Z19" s="1264" t="str">
        <f>Q19</f>
        <v>公共配套设施</v>
      </c>
      <c r="AA19" s="1265">
        <f t="shared" si="3"/>
        <v>1</v>
      </c>
      <c r="AB19" s="1265">
        <f t="shared" si="4"/>
        <v>1</v>
      </c>
      <c r="AC19" s="1265">
        <f t="shared" si="5"/>
        <v>1</v>
      </c>
    </row>
    <row r="20" spans="1:29" ht="15">
      <c r="A20" s="318"/>
      <c r="B20" s="514"/>
      <c r="C20" s="335"/>
      <c r="D20" s="336"/>
      <c r="E20" s="337"/>
      <c r="F20" s="338"/>
      <c r="G20" s="1493"/>
      <c r="H20" s="336"/>
      <c r="I20" s="337"/>
      <c r="J20" s="336"/>
      <c r="K20" s="501"/>
      <c r="L20" s="2952"/>
      <c r="M20" s="2943"/>
      <c r="N20" s="2943"/>
      <c r="O20" s="2951"/>
      <c r="P20" s="3672"/>
      <c r="Q20" s="1262"/>
      <c r="R20" s="631"/>
      <c r="S20" s="632"/>
      <c r="T20" s="631"/>
      <c r="U20" s="632"/>
      <c r="V20" s="631"/>
      <c r="W20" s="632"/>
      <c r="X20" s="1263"/>
      <c r="Y20" s="3672"/>
      <c r="Z20" s="1264"/>
      <c r="AA20" s="1265">
        <v>1</v>
      </c>
      <c r="AB20" s="1265">
        <v>1</v>
      </c>
      <c r="AC20" s="1265">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2"/>
      <c r="Q21" s="1262" t="str">
        <f>B21</f>
        <v>基础设施水平</v>
      </c>
      <c r="R21" s="631" t="s">
        <v>25</v>
      </c>
      <c r="S21" s="632">
        <f>F21</f>
        <v>100</v>
      </c>
      <c r="T21" s="631" t="s">
        <v>25</v>
      </c>
      <c r="U21" s="632">
        <f>H21</f>
        <v>100</v>
      </c>
      <c r="V21" s="631" t="s">
        <v>25</v>
      </c>
      <c r="W21" s="632">
        <f>J21</f>
        <v>100</v>
      </c>
      <c r="X21" s="1263"/>
      <c r="Y21" s="3672"/>
      <c r="Z21" s="1264" t="str">
        <f>Q21</f>
        <v>基础设施水平</v>
      </c>
      <c r="AA21" s="1265">
        <f t="shared" ref="AA21" si="8">D21/F21</f>
        <v>1</v>
      </c>
      <c r="AB21" s="1265">
        <f t="shared" ref="AB21" si="9">D21/H21</f>
        <v>1</v>
      </c>
      <c r="AC21" s="1265">
        <f t="shared" ref="AC21" si="10">D21/J21</f>
        <v>1</v>
      </c>
    </row>
    <row r="22" spans="1:29" ht="15">
      <c r="A22" s="318"/>
      <c r="B22" s="1496"/>
      <c r="C22" s="346"/>
      <c r="D22" s="336"/>
      <c r="E22" s="335"/>
      <c r="F22" s="338"/>
      <c r="G22" s="335"/>
      <c r="H22" s="336"/>
      <c r="I22" s="335"/>
      <c r="J22" s="336"/>
      <c r="K22" s="1061"/>
      <c r="L22" s="2952"/>
      <c r="M22" s="2943"/>
      <c r="N22" s="2943"/>
      <c r="O22" s="2951"/>
      <c r="P22" s="3672"/>
      <c r="Q22" s="1262"/>
      <c r="R22" s="631"/>
      <c r="S22" s="632"/>
      <c r="T22" s="631"/>
      <c r="U22" s="632"/>
      <c r="V22" s="631"/>
      <c r="W22" s="632"/>
      <c r="X22" s="1263"/>
      <c r="Y22" s="3672"/>
      <c r="Z22" s="1264"/>
      <c r="AA22" s="1265">
        <v>1</v>
      </c>
      <c r="AB22" s="1265">
        <v>1</v>
      </c>
      <c r="AC22" s="1265">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2"/>
      <c r="Q23" s="1262" t="str">
        <f>B23</f>
        <v>环境质量</v>
      </c>
      <c r="R23" s="631" t="s">
        <v>25</v>
      </c>
      <c r="S23" s="632">
        <f>F23</f>
        <v>100</v>
      </c>
      <c r="T23" s="631" t="s">
        <v>25</v>
      </c>
      <c r="U23" s="632">
        <f>H23</f>
        <v>100</v>
      </c>
      <c r="V23" s="631" t="s">
        <v>25</v>
      </c>
      <c r="W23" s="632">
        <f>J23</f>
        <v>100</v>
      </c>
      <c r="X23" s="1263"/>
      <c r="Y23" s="3672"/>
      <c r="Z23" s="1264" t="str">
        <f>Q23</f>
        <v>环境质量</v>
      </c>
      <c r="AA23" s="1265">
        <f t="shared" si="3"/>
        <v>1</v>
      </c>
      <c r="AB23" s="1265">
        <f t="shared" si="4"/>
        <v>1</v>
      </c>
      <c r="AC23" s="1265">
        <f t="shared" si="5"/>
        <v>1</v>
      </c>
    </row>
    <row r="24" spans="1:29" ht="15">
      <c r="A24" s="318"/>
      <c r="B24" s="1496"/>
      <c r="C24" s="335"/>
      <c r="D24" s="336"/>
      <c r="E24" s="337"/>
      <c r="F24" s="338"/>
      <c r="G24" s="1493"/>
      <c r="H24" s="336"/>
      <c r="I24" s="337"/>
      <c r="J24" s="336"/>
      <c r="K24" s="501"/>
      <c r="L24" s="2952"/>
      <c r="M24" s="2943"/>
      <c r="N24" s="2943"/>
      <c r="O24" s="2951"/>
      <c r="P24" s="3672"/>
      <c r="Q24" s="1262"/>
      <c r="R24" s="631"/>
      <c r="S24" s="632"/>
      <c r="T24" s="631"/>
      <c r="U24" s="632"/>
      <c r="V24" s="631"/>
      <c r="W24" s="632"/>
      <c r="X24" s="1263"/>
      <c r="Y24" s="3672"/>
      <c r="Z24" s="1264"/>
      <c r="AA24" s="1265">
        <v>1</v>
      </c>
      <c r="AB24" s="1265">
        <v>1</v>
      </c>
      <c r="AC24" s="1265">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2"/>
      <c r="Q25" s="1262">
        <f>B25</f>
        <v>111</v>
      </c>
      <c r="R25" s="631" t="s">
        <v>25</v>
      </c>
      <c r="S25" s="632">
        <f>F25</f>
        <v>100</v>
      </c>
      <c r="T25" s="631" t="s">
        <v>25</v>
      </c>
      <c r="U25" s="632">
        <f>H25</f>
        <v>100</v>
      </c>
      <c r="V25" s="631" t="s">
        <v>25</v>
      </c>
      <c r="W25" s="632">
        <f>J25</f>
        <v>100</v>
      </c>
      <c r="X25" s="1263"/>
      <c r="Y25" s="3672"/>
      <c r="Z25" s="1264">
        <f>Q25</f>
        <v>111</v>
      </c>
      <c r="AA25" s="1265">
        <f t="shared" si="3"/>
        <v>1</v>
      </c>
      <c r="AB25" s="1265">
        <f t="shared" si="4"/>
        <v>1</v>
      </c>
      <c r="AC25" s="1265">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2"/>
      <c r="Q26" s="1262">
        <f t="shared" ref="Q26:Q40" si="11">B26</f>
        <v>111</v>
      </c>
      <c r="R26" s="631" t="s">
        <v>25</v>
      </c>
      <c r="S26" s="632">
        <f>F26</f>
        <v>100</v>
      </c>
      <c r="T26" s="631" t="s">
        <v>25</v>
      </c>
      <c r="U26" s="632">
        <f>H26</f>
        <v>100</v>
      </c>
      <c r="V26" s="631" t="s">
        <v>25</v>
      </c>
      <c r="W26" s="632">
        <f>J26</f>
        <v>100</v>
      </c>
      <c r="X26" s="1263"/>
      <c r="Y26" s="3672"/>
      <c r="Z26" s="1264">
        <f>Q26</f>
        <v>111</v>
      </c>
      <c r="AA26" s="1265">
        <f t="shared" si="3"/>
        <v>1</v>
      </c>
      <c r="AB26" s="1265">
        <f t="shared" si="4"/>
        <v>1</v>
      </c>
      <c r="AC26" s="1265">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2"/>
      <c r="Q27" s="1255">
        <f t="shared" si="11"/>
        <v>111</v>
      </c>
      <c r="R27" s="627" t="s">
        <v>25</v>
      </c>
      <c r="S27" s="628">
        <f>F27</f>
        <v>100</v>
      </c>
      <c r="T27" s="627" t="s">
        <v>25</v>
      </c>
      <c r="U27" s="628">
        <f>H27</f>
        <v>100</v>
      </c>
      <c r="V27" s="627" t="s">
        <v>25</v>
      </c>
      <c r="W27" s="628">
        <f>J27</f>
        <v>100</v>
      </c>
      <c r="X27" s="629"/>
      <c r="Y27" s="3672"/>
      <c r="Z27" s="19">
        <f>Q27</f>
        <v>111</v>
      </c>
      <c r="AA27" s="1265">
        <f>D27/F27</f>
        <v>1</v>
      </c>
      <c r="AB27" s="1265">
        <f>D27/H27</f>
        <v>1</v>
      </c>
      <c r="AC27" s="1265">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2"/>
      <c r="Q28" s="1262">
        <f t="shared" si="11"/>
        <v>111</v>
      </c>
      <c r="R28" s="631" t="s">
        <v>25</v>
      </c>
      <c r="S28" s="632">
        <f t="shared" ref="S28:S40" si="12">F28</f>
        <v>100</v>
      </c>
      <c r="T28" s="631" t="s">
        <v>25</v>
      </c>
      <c r="U28" s="632">
        <f t="shared" ref="U28:U40" si="13">H28</f>
        <v>100</v>
      </c>
      <c r="V28" s="631" t="s">
        <v>25</v>
      </c>
      <c r="W28" s="632">
        <f t="shared" ref="W28:W40" si="14">J28</f>
        <v>100</v>
      </c>
      <c r="X28" s="1263"/>
      <c r="Y28" s="3672"/>
      <c r="Z28" s="1264">
        <f t="shared" ref="Z28:Z40" si="15">Q28</f>
        <v>111</v>
      </c>
      <c r="AA28" s="1265">
        <f t="shared" si="3"/>
        <v>1</v>
      </c>
      <c r="AB28" s="1265">
        <f t="shared" si="4"/>
        <v>1</v>
      </c>
      <c r="AC28" s="1265">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59" t="s">
        <v>2037</v>
      </c>
      <c r="Q29" s="1262" t="str">
        <f t="shared" si="11"/>
        <v>建筑类型</v>
      </c>
      <c r="R29" s="631" t="s">
        <v>25</v>
      </c>
      <c r="S29" s="632">
        <f t="shared" si="12"/>
        <v>100</v>
      </c>
      <c r="T29" s="631" t="s">
        <v>25</v>
      </c>
      <c r="U29" s="632">
        <f t="shared" si="13"/>
        <v>100</v>
      </c>
      <c r="V29" s="631" t="s">
        <v>25</v>
      </c>
      <c r="W29" s="632">
        <f t="shared" si="14"/>
        <v>100</v>
      </c>
      <c r="X29" s="1263"/>
      <c r="Y29" s="366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0"/>
      <c r="Q30" s="633" t="str">
        <f t="shared" si="11"/>
        <v>项目建筑规模</v>
      </c>
      <c r="R30" s="634" t="s">
        <v>25</v>
      </c>
      <c r="S30" s="635" t="e">
        <f t="shared" si="12"/>
        <v>#N/A</v>
      </c>
      <c r="T30" s="634" t="s">
        <v>25</v>
      </c>
      <c r="U30" s="635" t="e">
        <f t="shared" si="13"/>
        <v>#N/A</v>
      </c>
      <c r="V30" s="634" t="s">
        <v>25</v>
      </c>
      <c r="W30" s="635" t="e">
        <f t="shared" si="14"/>
        <v>#N/A</v>
      </c>
      <c r="X30" s="636"/>
      <c r="Y30" s="366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0"/>
      <c r="Q31" s="1262" t="str">
        <f t="shared" si="11"/>
        <v>建筑结构</v>
      </c>
      <c r="R31" s="631" t="s">
        <v>25</v>
      </c>
      <c r="S31" s="632">
        <f t="shared" si="12"/>
        <v>100</v>
      </c>
      <c r="T31" s="631" t="s">
        <v>25</v>
      </c>
      <c r="U31" s="632">
        <f t="shared" si="13"/>
        <v>100</v>
      </c>
      <c r="V31" s="631" t="s">
        <v>25</v>
      </c>
      <c r="W31" s="632">
        <f t="shared" si="14"/>
        <v>100</v>
      </c>
      <c r="X31" s="1263"/>
      <c r="Y31" s="366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0"/>
      <c r="Q32" s="1262" t="str">
        <f t="shared" si="11"/>
        <v>公共部分装修</v>
      </c>
      <c r="R32" s="631" t="s">
        <v>25</v>
      </c>
      <c r="S32" s="632">
        <f t="shared" si="12"/>
        <v>100</v>
      </c>
      <c r="T32" s="631" t="s">
        <v>25</v>
      </c>
      <c r="U32" s="632">
        <f t="shared" si="13"/>
        <v>100</v>
      </c>
      <c r="V32" s="631" t="s">
        <v>25</v>
      </c>
      <c r="W32" s="632">
        <f t="shared" si="14"/>
        <v>100</v>
      </c>
      <c r="X32" s="1263"/>
      <c r="Y32" s="366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0"/>
      <c r="Q33" s="1262" t="str">
        <f t="shared" si="11"/>
        <v>成新度</v>
      </c>
      <c r="R33" s="631" t="s">
        <v>25</v>
      </c>
      <c r="S33" s="632" t="e">
        <f t="shared" si="12"/>
        <v>#N/A</v>
      </c>
      <c r="T33" s="631" t="s">
        <v>25</v>
      </c>
      <c r="U33" s="632" t="e">
        <f t="shared" si="13"/>
        <v>#N/A</v>
      </c>
      <c r="V33" s="631" t="s">
        <v>25</v>
      </c>
      <c r="W33" s="632" t="e">
        <f t="shared" si="14"/>
        <v>#N/A</v>
      </c>
      <c r="X33" s="1263"/>
      <c r="Y33" s="366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0"/>
      <c r="Q34" s="1255" t="str">
        <f t="shared" si="11"/>
        <v>物业管理</v>
      </c>
      <c r="R34" s="627" t="s">
        <v>25</v>
      </c>
      <c r="S34" s="628">
        <f t="shared" si="12"/>
        <v>100</v>
      </c>
      <c r="T34" s="627" t="s">
        <v>25</v>
      </c>
      <c r="U34" s="628">
        <f t="shared" si="13"/>
        <v>100</v>
      </c>
      <c r="V34" s="627" t="s">
        <v>25</v>
      </c>
      <c r="W34" s="628">
        <f t="shared" si="14"/>
        <v>100</v>
      </c>
      <c r="X34" s="629"/>
      <c r="Y34" s="366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0" t="s">
        <v>2037</v>
      </c>
      <c r="Q35" s="1262" t="str">
        <f t="shared" si="11"/>
        <v>市政基础设施</v>
      </c>
      <c r="R35" s="631" t="s">
        <v>25</v>
      </c>
      <c r="S35" s="632">
        <f t="shared" si="12"/>
        <v>100</v>
      </c>
      <c r="T35" s="631" t="s">
        <v>25</v>
      </c>
      <c r="U35" s="632">
        <f t="shared" si="13"/>
        <v>100</v>
      </c>
      <c r="V35" s="631" t="s">
        <v>25</v>
      </c>
      <c r="W35" s="632">
        <f t="shared" si="14"/>
        <v>100</v>
      </c>
      <c r="X35" s="1263"/>
      <c r="Y35" s="366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0"/>
      <c r="Q36" s="1262" t="str">
        <f t="shared" si="11"/>
        <v>内部装修</v>
      </c>
      <c r="R36" s="631" t="s">
        <v>25</v>
      </c>
      <c r="S36" s="632">
        <f t="shared" si="12"/>
        <v>100</v>
      </c>
      <c r="T36" s="631" t="s">
        <v>25</v>
      </c>
      <c r="U36" s="632">
        <f t="shared" si="13"/>
        <v>100</v>
      </c>
      <c r="V36" s="631" t="s">
        <v>25</v>
      </c>
      <c r="W36" s="632">
        <f t="shared" si="14"/>
        <v>100</v>
      </c>
      <c r="X36" s="1263"/>
      <c r="Y36" s="366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0"/>
      <c r="Q37" s="1262" t="str">
        <f t="shared" si="11"/>
        <v>内部装修状况</v>
      </c>
      <c r="R37" s="631" t="s">
        <v>25</v>
      </c>
      <c r="S37" s="632">
        <f t="shared" si="12"/>
        <v>100</v>
      </c>
      <c r="T37" s="631" t="s">
        <v>25</v>
      </c>
      <c r="U37" s="632">
        <f t="shared" si="13"/>
        <v>100</v>
      </c>
      <c r="V37" s="631" t="s">
        <v>25</v>
      </c>
      <c r="W37" s="632">
        <f t="shared" si="14"/>
        <v>100</v>
      </c>
      <c r="X37" s="1263"/>
      <c r="Y37" s="3660"/>
      <c r="Z37" s="1264" t="str">
        <f t="shared" si="15"/>
        <v>内部装修状况</v>
      </c>
      <c r="AA37" s="1265">
        <f t="shared" si="3"/>
        <v>1</v>
      </c>
      <c r="AB37" s="1265">
        <f t="shared" si="4"/>
        <v>1</v>
      </c>
      <c r="AC37" s="1265">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0"/>
      <c r="Q38" s="633">
        <f t="shared" si="11"/>
        <v>111</v>
      </c>
      <c r="R38" s="634" t="s">
        <v>25</v>
      </c>
      <c r="S38" s="635">
        <f t="shared" si="12"/>
        <v>100</v>
      </c>
      <c r="T38" s="634" t="s">
        <v>25</v>
      </c>
      <c r="U38" s="635">
        <f t="shared" si="13"/>
        <v>100</v>
      </c>
      <c r="V38" s="634" t="s">
        <v>25</v>
      </c>
      <c r="W38" s="635">
        <f t="shared" si="14"/>
        <v>100</v>
      </c>
      <c r="X38" s="636"/>
      <c r="Y38" s="3660"/>
      <c r="Z38" s="637">
        <f t="shared" si="15"/>
        <v>111</v>
      </c>
      <c r="AA38" s="1265">
        <f t="shared" si="3"/>
        <v>1</v>
      </c>
      <c r="AB38" s="1265">
        <f t="shared" si="4"/>
        <v>1</v>
      </c>
      <c r="AC38" s="1265">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0"/>
      <c r="Q39" s="1262">
        <f t="shared" si="11"/>
        <v>111</v>
      </c>
      <c r="R39" s="631" t="s">
        <v>25</v>
      </c>
      <c r="S39" s="632">
        <f t="shared" si="12"/>
        <v>100</v>
      </c>
      <c r="T39" s="631" t="s">
        <v>25</v>
      </c>
      <c r="U39" s="632">
        <f t="shared" si="13"/>
        <v>100</v>
      </c>
      <c r="V39" s="631" t="s">
        <v>25</v>
      </c>
      <c r="W39" s="632">
        <f t="shared" si="14"/>
        <v>100</v>
      </c>
      <c r="X39" s="1263"/>
      <c r="Y39" s="3660"/>
      <c r="Z39" s="1264">
        <f t="shared" si="15"/>
        <v>111</v>
      </c>
      <c r="AA39" s="1265">
        <f t="shared" si="3"/>
        <v>1</v>
      </c>
      <c r="AB39" s="1265">
        <f t="shared" si="4"/>
        <v>1</v>
      </c>
      <c r="AC39" s="1265">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61"/>
      <c r="Q40" s="1262">
        <f t="shared" si="11"/>
        <v>111</v>
      </c>
      <c r="R40" s="631" t="s">
        <v>25</v>
      </c>
      <c r="S40" s="632">
        <f t="shared" si="12"/>
        <v>100</v>
      </c>
      <c r="T40" s="631" t="s">
        <v>25</v>
      </c>
      <c r="U40" s="632">
        <f t="shared" si="13"/>
        <v>100</v>
      </c>
      <c r="V40" s="631" t="s">
        <v>25</v>
      </c>
      <c r="W40" s="632">
        <f t="shared" si="14"/>
        <v>100</v>
      </c>
      <c r="X40" s="1263"/>
      <c r="Y40" s="366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54" t="str">
        <f>A41</f>
        <v>成交单价（元/平方米）</v>
      </c>
      <c r="Q41" s="3654"/>
      <c r="R41" s="3655">
        <f>E41</f>
        <v>0</v>
      </c>
      <c r="S41" s="3655"/>
      <c r="T41" s="3655">
        <f>G41</f>
        <v>0</v>
      </c>
      <c r="U41" s="3655"/>
      <c r="V41" s="3655">
        <f>I41</f>
        <v>0</v>
      </c>
      <c r="W41" s="3655"/>
      <c r="X41" s="618"/>
      <c r="Y41" s="638"/>
      <c r="Z41" s="618"/>
      <c r="AA41" s="618"/>
      <c r="AB41" s="618"/>
      <c r="AC41" s="618"/>
    </row>
    <row r="42" spans="1:29" ht="15.75" thickBot="1">
      <c r="A42" s="374" t="s">
        <v>2132</v>
      </c>
      <c r="B42" s="375"/>
      <c r="C42" s="1088" t="e">
        <f>R43</f>
        <v>#DIV/0!</v>
      </c>
      <c r="D42" s="1724" t="s">
        <v>2502</v>
      </c>
      <c r="E42" s="1089" t="e">
        <f>R42</f>
        <v>#DIV/0!</v>
      </c>
      <c r="F42" s="1726"/>
      <c r="G42" s="1088" t="e">
        <f>T42</f>
        <v>#DIV/0!</v>
      </c>
      <c r="H42" s="1726"/>
      <c r="I42" s="1089" t="e">
        <f>V42</f>
        <v>#DIV/0!</v>
      </c>
      <c r="J42" s="1726"/>
      <c r="K42" s="2428">
        <f>F42+H42+J42</f>
        <v>0</v>
      </c>
      <c r="L42" s="2954"/>
      <c r="N42" s="2943"/>
      <c r="P42" s="3654" t="str">
        <f>A42</f>
        <v>比较价值（元/平方米）</v>
      </c>
      <c r="Q42" s="3654"/>
      <c r="R42" s="3655" t="e">
        <f>IF(E1="售价",ROUND(PRODUCT(R41,AA7:AA40),0),ROUND(PRODUCT(R41,AA7:AA40),1))</f>
        <v>#DIV/0!</v>
      </c>
      <c r="S42" s="3655"/>
      <c r="T42" s="3655" t="e">
        <f>IF(E1="售价",ROUND(PRODUCT(T41,AB7:AB40),0),ROUND(PRODUCT(T41,AB7:AB40),1))</f>
        <v>#DIV/0!</v>
      </c>
      <c r="U42" s="3655"/>
      <c r="V42" s="3655" t="e">
        <f>IF(E1="售价",ROUND(PRODUCT(V41,AC7:AC40),0),ROUND(PRODUCT(V41,AC7:AC40),1))</f>
        <v>#DIV/0!</v>
      </c>
      <c r="W42" s="3655"/>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56" t="str">
        <f>A43</f>
        <v>估价对象XX用房的比较价值（楼面单价，元/平方米）</v>
      </c>
      <c r="Q43" s="3657"/>
      <c r="R43" s="3658" t="e">
        <f>IF(E1="售价",ROUND(IF(D42="简单平均",AVERAGE(R42:V42),R42*F42+T42*H42+V42*J42),0),ROUND(IF(D42="简单平均",AVERAGE(R42:V42),R42*F42+T42*H42+V42*J42),1))</f>
        <v>#DIV/0!</v>
      </c>
      <c r="S43" s="3658"/>
      <c r="T43" s="3658"/>
      <c r="U43" s="3658"/>
      <c r="V43" s="3658"/>
      <c r="W43" s="3658"/>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9"/>
      <c r="C1" s="1150"/>
      <c r="D1" s="1151"/>
      <c r="E1" s="1486"/>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7"/>
      <c r="E2" s="885" t="e">
        <f ca="1">SUMIF(INDIRECT("'"&amp;G2&amp;"'"&amp;"!A:A"),"承租人权益价值",INDIRECT("'"&amp;G2&amp;"'"&amp;"!c:c"))</f>
        <v>#REF!</v>
      </c>
      <c r="F2" s="1488" t="str">
        <f>C2</f>
        <v>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84.33</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77" t="s">
        <v>2007</v>
      </c>
      <c r="D4" s="3678"/>
      <c r="E4" s="3679" t="s">
        <v>2008</v>
      </c>
      <c r="F4" s="3680"/>
      <c r="G4" s="3677" t="s">
        <v>2009</v>
      </c>
      <c r="H4" s="3678"/>
      <c r="I4" s="3677" t="s">
        <v>2010</v>
      </c>
      <c r="J4" s="3678"/>
      <c r="K4" s="496" t="s">
        <v>2011</v>
      </c>
      <c r="L4" s="2942"/>
      <c r="M4" s="2943"/>
      <c r="N4" s="2943"/>
      <c r="O4" s="2943"/>
      <c r="P4" s="3681" t="s">
        <v>2012</v>
      </c>
      <c r="Q4" s="3682"/>
      <c r="R4" s="3664" t="s">
        <v>2008</v>
      </c>
      <c r="S4" s="3665"/>
      <c r="T4" s="3664" t="s">
        <v>2009</v>
      </c>
      <c r="U4" s="3665"/>
      <c r="V4" s="3687" t="s">
        <v>2010</v>
      </c>
      <c r="W4" s="3687"/>
      <c r="X4" s="1263"/>
      <c r="Y4" s="3664" t="s">
        <v>2012</v>
      </c>
      <c r="Z4" s="3665"/>
      <c r="AA4" s="3674" t="s">
        <v>2008</v>
      </c>
      <c r="AB4" s="3675" t="s">
        <v>2009</v>
      </c>
      <c r="AC4" s="3674" t="s">
        <v>2010</v>
      </c>
    </row>
    <row r="5" spans="1:29" ht="15">
      <c r="A5" s="297"/>
      <c r="B5" s="298"/>
      <c r="C5" s="3690" t="s">
        <v>2013</v>
      </c>
      <c r="D5" s="3691"/>
      <c r="E5" s="3688" t="s">
        <v>2014</v>
      </c>
      <c r="F5" s="3689"/>
      <c r="G5" s="3690" t="s">
        <v>2015</v>
      </c>
      <c r="H5" s="3691"/>
      <c r="I5" s="3690" t="s">
        <v>2016</v>
      </c>
      <c r="J5" s="3691"/>
      <c r="K5" s="496"/>
      <c r="L5" s="2942"/>
      <c r="M5" s="2943"/>
      <c r="N5" s="2943"/>
      <c r="O5" s="2943"/>
      <c r="P5" s="3683"/>
      <c r="Q5" s="3684"/>
      <c r="R5" s="3666"/>
      <c r="S5" s="3667"/>
      <c r="T5" s="3666"/>
      <c r="U5" s="3667"/>
      <c r="V5" s="3687"/>
      <c r="W5" s="3687"/>
      <c r="X5" s="1263"/>
      <c r="Y5" s="3666"/>
      <c r="Z5" s="3667"/>
      <c r="AA5" s="3675"/>
      <c r="AB5" s="3675"/>
      <c r="AC5" s="3675"/>
    </row>
    <row r="6" spans="1:29" ht="15.75" thickBot="1">
      <c r="A6" s="299"/>
      <c r="B6" s="300"/>
      <c r="C6" s="3692" t="s">
        <v>2017</v>
      </c>
      <c r="D6" s="3693"/>
      <c r="E6" s="3694" t="s">
        <v>2017</v>
      </c>
      <c r="F6" s="3695"/>
      <c r="G6" s="3692" t="s">
        <v>2017</v>
      </c>
      <c r="H6" s="3693"/>
      <c r="I6" s="3692" t="s">
        <v>2017</v>
      </c>
      <c r="J6" s="3693"/>
      <c r="K6" s="496" t="s">
        <v>2018</v>
      </c>
      <c r="L6" s="2942"/>
      <c r="M6" s="2943"/>
      <c r="N6" s="2943"/>
      <c r="O6" s="2943"/>
      <c r="P6" s="3685"/>
      <c r="Q6" s="3686"/>
      <c r="R6" s="3666"/>
      <c r="S6" s="3667"/>
      <c r="T6" s="3668"/>
      <c r="U6" s="3669"/>
      <c r="V6" s="3687"/>
      <c r="W6" s="3687"/>
      <c r="X6" s="1263"/>
      <c r="Y6" s="3668"/>
      <c r="Z6" s="3669"/>
      <c r="AA6" s="3676"/>
      <c r="AB6" s="3676"/>
      <c r="AC6" s="3676"/>
    </row>
    <row r="7" spans="1:29" s="25" customFormat="1" ht="15.75" thickBot="1">
      <c r="A7" s="301" t="s">
        <v>2019</v>
      </c>
      <c r="B7" s="302"/>
      <c r="C7" s="303">
        <f>'数据-取费表'!B2</f>
        <v>44806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62" t="s">
        <v>2020</v>
      </c>
      <c r="Q7" s="3670"/>
      <c r="R7" s="627" t="s">
        <v>25</v>
      </c>
      <c r="S7" s="628">
        <f t="shared" ref="S7:S14" si="0">F7</f>
        <v>0</v>
      </c>
      <c r="T7" s="627" t="s">
        <v>25</v>
      </c>
      <c r="U7" s="628">
        <f t="shared" ref="U7:U14" si="1">H7</f>
        <v>0</v>
      </c>
      <c r="V7" s="627" t="s">
        <v>25</v>
      </c>
      <c r="W7" s="628">
        <f t="shared" ref="W7:W14" si="2">J7</f>
        <v>0</v>
      </c>
      <c r="X7" s="629"/>
      <c r="Y7" s="3662" t="s">
        <v>2020</v>
      </c>
      <c r="Z7" s="366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62" t="s">
        <v>2023</v>
      </c>
      <c r="Q8" s="3663"/>
      <c r="R8" s="627" t="s">
        <v>25</v>
      </c>
      <c r="S8" s="628">
        <f t="shared" si="0"/>
        <v>0</v>
      </c>
      <c r="T8" s="627" t="s">
        <v>25</v>
      </c>
      <c r="U8" s="628">
        <f t="shared" si="1"/>
        <v>0</v>
      </c>
      <c r="V8" s="627" t="s">
        <v>25</v>
      </c>
      <c r="W8" s="628">
        <f t="shared" si="2"/>
        <v>0</v>
      </c>
      <c r="X8" s="629"/>
      <c r="Y8" s="3662" t="s">
        <v>2023</v>
      </c>
      <c r="Z8" s="366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54" t="s">
        <v>2026</v>
      </c>
      <c r="Q9" s="1255" t="str">
        <f t="shared" ref="Q9:Q14" si="6">B9</f>
        <v>用途</v>
      </c>
      <c r="R9" s="627" t="s">
        <v>25</v>
      </c>
      <c r="S9" s="628">
        <f t="shared" si="0"/>
        <v>100</v>
      </c>
      <c r="T9" s="627" t="s">
        <v>25</v>
      </c>
      <c r="U9" s="628">
        <f t="shared" si="1"/>
        <v>100</v>
      </c>
      <c r="V9" s="627" t="s">
        <v>25</v>
      </c>
      <c r="W9" s="628">
        <f t="shared" si="2"/>
        <v>100</v>
      </c>
      <c r="X9" s="629"/>
      <c r="Y9" s="3673"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54"/>
      <c r="Q10" s="1255"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54"/>
      <c r="Q11" s="1255">
        <f t="shared" si="6"/>
        <v>111</v>
      </c>
      <c r="R11" s="627" t="s">
        <v>25</v>
      </c>
      <c r="S11" s="628">
        <f t="shared" si="0"/>
        <v>100</v>
      </c>
      <c r="T11" s="627" t="s">
        <v>25</v>
      </c>
      <c r="U11" s="628">
        <f t="shared" si="1"/>
        <v>100</v>
      </c>
      <c r="V11" s="627" t="s">
        <v>25</v>
      </c>
      <c r="W11" s="628">
        <f t="shared" si="2"/>
        <v>100</v>
      </c>
      <c r="X11" s="629"/>
      <c r="Y11" s="367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54"/>
      <c r="Q12" s="125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54"/>
      <c r="Q13" s="125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1" t="s">
        <v>2031</v>
      </c>
      <c r="Q14" s="1262" t="str">
        <f t="shared" si="6"/>
        <v>交通便捷度</v>
      </c>
      <c r="R14" s="631" t="s">
        <v>25</v>
      </c>
      <c r="S14" s="632">
        <f t="shared" si="0"/>
        <v>100</v>
      </c>
      <c r="T14" s="631" t="s">
        <v>25</v>
      </c>
      <c r="U14" s="632">
        <f t="shared" si="1"/>
        <v>100</v>
      </c>
      <c r="V14" s="631" t="s">
        <v>25</v>
      </c>
      <c r="W14" s="632">
        <f t="shared" si="2"/>
        <v>100</v>
      </c>
      <c r="X14" s="1263"/>
      <c r="Y14" s="3671"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72"/>
      <c r="Q15" s="1262"/>
      <c r="R15" s="631"/>
      <c r="S15" s="632"/>
      <c r="T15" s="631"/>
      <c r="U15" s="632"/>
      <c r="V15" s="631"/>
      <c r="W15" s="632"/>
      <c r="X15" s="1263"/>
      <c r="Y15" s="3672"/>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2"/>
      <c r="Q16" s="1262" t="str">
        <f>B16</f>
        <v>公共配套设施</v>
      </c>
      <c r="R16" s="631" t="s">
        <v>25</v>
      </c>
      <c r="S16" s="632">
        <f>F16</f>
        <v>100</v>
      </c>
      <c r="T16" s="631" t="s">
        <v>25</v>
      </c>
      <c r="U16" s="632">
        <f>H16</f>
        <v>100</v>
      </c>
      <c r="V16" s="631" t="s">
        <v>25</v>
      </c>
      <c r="W16" s="632">
        <f>J16</f>
        <v>100</v>
      </c>
      <c r="X16" s="1263"/>
      <c r="Y16" s="3672"/>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72"/>
      <c r="Q17" s="1262"/>
      <c r="R17" s="631"/>
      <c r="S17" s="632"/>
      <c r="T17" s="631"/>
      <c r="U17" s="632"/>
      <c r="V17" s="631"/>
      <c r="W17" s="632"/>
      <c r="X17" s="1263"/>
      <c r="Y17" s="3672"/>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2"/>
      <c r="Q18" s="1262" t="str">
        <f>B18</f>
        <v>基础设施水平</v>
      </c>
      <c r="R18" s="631" t="s">
        <v>25</v>
      </c>
      <c r="S18" s="632">
        <f>F18</f>
        <v>100</v>
      </c>
      <c r="T18" s="631" t="s">
        <v>25</v>
      </c>
      <c r="U18" s="632">
        <f>H18</f>
        <v>100</v>
      </c>
      <c r="V18" s="631" t="s">
        <v>25</v>
      </c>
      <c r="W18" s="632">
        <f>J18</f>
        <v>100</v>
      </c>
      <c r="X18" s="1263"/>
      <c r="Y18" s="3672"/>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72"/>
      <c r="Q19" s="1262"/>
      <c r="R19" s="631"/>
      <c r="S19" s="632"/>
      <c r="T19" s="631"/>
      <c r="U19" s="632"/>
      <c r="V19" s="631"/>
      <c r="W19" s="632"/>
      <c r="X19" s="1263"/>
      <c r="Y19" s="3672"/>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2"/>
      <c r="Q20" s="1262" t="str">
        <f>B20</f>
        <v>自然及人文环境</v>
      </c>
      <c r="R20" s="631" t="s">
        <v>25</v>
      </c>
      <c r="S20" s="632">
        <f>F20</f>
        <v>100</v>
      </c>
      <c r="T20" s="631" t="s">
        <v>25</v>
      </c>
      <c r="U20" s="632">
        <f>H20</f>
        <v>100</v>
      </c>
      <c r="V20" s="631" t="s">
        <v>25</v>
      </c>
      <c r="W20" s="632">
        <f>J20</f>
        <v>100</v>
      </c>
      <c r="X20" s="1263"/>
      <c r="Y20" s="3672"/>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72"/>
      <c r="Q21" s="1262"/>
      <c r="R21" s="631"/>
      <c r="S21" s="632"/>
      <c r="T21" s="631"/>
      <c r="U21" s="632"/>
      <c r="V21" s="631"/>
      <c r="W21" s="632"/>
      <c r="X21" s="1263"/>
      <c r="Y21" s="3672"/>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2"/>
      <c r="Q22" s="1262" t="str">
        <f>B22</f>
        <v>楼层</v>
      </c>
      <c r="R22" s="631" t="s">
        <v>25</v>
      </c>
      <c r="S22" s="632">
        <f>F22</f>
        <v>100</v>
      </c>
      <c r="T22" s="631" t="s">
        <v>25</v>
      </c>
      <c r="U22" s="632">
        <f>H22</f>
        <v>100</v>
      </c>
      <c r="V22" s="631" t="s">
        <v>25</v>
      </c>
      <c r="W22" s="632">
        <f>J22</f>
        <v>100</v>
      </c>
      <c r="X22" s="1263"/>
      <c r="Y22" s="3672"/>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72"/>
      <c r="Q23" s="1262">
        <f>B23</f>
        <v>111</v>
      </c>
      <c r="R23" s="631" t="s">
        <v>25</v>
      </c>
      <c r="S23" s="632">
        <f>F23</f>
        <v>100</v>
      </c>
      <c r="T23" s="631" t="s">
        <v>25</v>
      </c>
      <c r="U23" s="632">
        <f>H23</f>
        <v>100</v>
      </c>
      <c r="V23" s="631" t="s">
        <v>25</v>
      </c>
      <c r="W23" s="632">
        <f>J23</f>
        <v>100</v>
      </c>
      <c r="X23" s="1263"/>
      <c r="Y23" s="3672"/>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72"/>
      <c r="Q24" s="1262">
        <f t="shared" ref="Q24:Q36" si="11">B24</f>
        <v>111</v>
      </c>
      <c r="R24" s="631" t="s">
        <v>25</v>
      </c>
      <c r="S24" s="632">
        <f>F24</f>
        <v>100</v>
      </c>
      <c r="T24" s="631" t="s">
        <v>25</v>
      </c>
      <c r="U24" s="632">
        <f>H24</f>
        <v>100</v>
      </c>
      <c r="V24" s="631" t="s">
        <v>25</v>
      </c>
      <c r="W24" s="632">
        <f>J24</f>
        <v>100</v>
      </c>
      <c r="X24" s="1263"/>
      <c r="Y24" s="3672"/>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2"/>
      <c r="Q25" s="1255">
        <f t="shared" si="11"/>
        <v>111</v>
      </c>
      <c r="R25" s="627" t="s">
        <v>25</v>
      </c>
      <c r="S25" s="628">
        <f>F25</f>
        <v>100</v>
      </c>
      <c r="T25" s="627" t="s">
        <v>25</v>
      </c>
      <c r="U25" s="628">
        <f>H25</f>
        <v>100</v>
      </c>
      <c r="V25" s="627" t="s">
        <v>25</v>
      </c>
      <c r="W25" s="628">
        <f>J25</f>
        <v>100</v>
      </c>
      <c r="X25" s="629"/>
      <c r="Y25" s="3672"/>
      <c r="Z25" s="19">
        <f>Q25</f>
        <v>111</v>
      </c>
      <c r="AA25" s="1265">
        <f>D25/F25</f>
        <v>1</v>
      </c>
      <c r="AB25" s="1265">
        <f>D25/H25</f>
        <v>1</v>
      </c>
      <c r="AC25" s="1265">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5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0"/>
      <c r="Q27" s="633" t="str">
        <f t="shared" si="11"/>
        <v>项目停车位配比</v>
      </c>
      <c r="R27" s="634" t="s">
        <v>25</v>
      </c>
      <c r="S27" s="635">
        <f t="shared" si="12"/>
        <v>100</v>
      </c>
      <c r="T27" s="634" t="s">
        <v>25</v>
      </c>
      <c r="U27" s="635">
        <f t="shared" si="13"/>
        <v>100</v>
      </c>
      <c r="V27" s="634" t="s">
        <v>25</v>
      </c>
      <c r="W27" s="635">
        <f t="shared" si="14"/>
        <v>100</v>
      </c>
      <c r="X27" s="636"/>
      <c r="Y27" s="366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0"/>
      <c r="Q28" s="1262" t="str">
        <f t="shared" si="11"/>
        <v>公共部分装修</v>
      </c>
      <c r="R28" s="631" t="s">
        <v>25</v>
      </c>
      <c r="S28" s="632">
        <f t="shared" si="12"/>
        <v>100</v>
      </c>
      <c r="T28" s="631" t="s">
        <v>25</v>
      </c>
      <c r="U28" s="632">
        <f t="shared" si="13"/>
        <v>100</v>
      </c>
      <c r="V28" s="631" t="s">
        <v>25</v>
      </c>
      <c r="W28" s="632">
        <f t="shared" si="14"/>
        <v>100</v>
      </c>
      <c r="X28" s="1263"/>
      <c r="Y28" s="366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0"/>
      <c r="Q29" s="1262" t="str">
        <f t="shared" si="11"/>
        <v>成新率</v>
      </c>
      <c r="R29" s="631" t="s">
        <v>25</v>
      </c>
      <c r="S29" s="632" t="e">
        <f t="shared" si="12"/>
        <v>#N/A</v>
      </c>
      <c r="T29" s="631" t="s">
        <v>25</v>
      </c>
      <c r="U29" s="632" t="e">
        <f t="shared" si="13"/>
        <v>#N/A</v>
      </c>
      <c r="V29" s="631" t="s">
        <v>25</v>
      </c>
      <c r="W29" s="632" t="e">
        <f t="shared" si="14"/>
        <v>#N/A</v>
      </c>
      <c r="X29" s="1263"/>
      <c r="Y29" s="366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0"/>
      <c r="Q30" s="1262" t="str">
        <f t="shared" si="11"/>
        <v>物业等级</v>
      </c>
      <c r="R30" s="631" t="s">
        <v>25</v>
      </c>
      <c r="S30" s="632">
        <f t="shared" si="12"/>
        <v>100</v>
      </c>
      <c r="T30" s="631" t="s">
        <v>25</v>
      </c>
      <c r="U30" s="632">
        <f t="shared" si="13"/>
        <v>100</v>
      </c>
      <c r="V30" s="631" t="s">
        <v>25</v>
      </c>
      <c r="W30" s="632">
        <f t="shared" si="14"/>
        <v>100</v>
      </c>
      <c r="X30" s="1263"/>
      <c r="Y30" s="366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0"/>
      <c r="Q31" s="1255" t="str">
        <f t="shared" si="11"/>
        <v>停车位面积</v>
      </c>
      <c r="R31" s="627" t="s">
        <v>25</v>
      </c>
      <c r="S31" s="628" t="e">
        <f t="shared" si="12"/>
        <v>#N/A</v>
      </c>
      <c r="T31" s="627" t="s">
        <v>25</v>
      </c>
      <c r="U31" s="628" t="e">
        <f t="shared" si="13"/>
        <v>#N/A</v>
      </c>
      <c r="V31" s="627" t="s">
        <v>25</v>
      </c>
      <c r="W31" s="628" t="e">
        <f t="shared" si="14"/>
        <v>#N/A</v>
      </c>
      <c r="X31" s="629"/>
      <c r="Y31" s="366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0" t="s">
        <v>2037</v>
      </c>
      <c r="Q32" s="1262" t="str">
        <f t="shared" si="11"/>
        <v>车位类型</v>
      </c>
      <c r="R32" s="631" t="s">
        <v>25</v>
      </c>
      <c r="S32" s="632">
        <f t="shared" si="12"/>
        <v>100</v>
      </c>
      <c r="T32" s="631" t="s">
        <v>25</v>
      </c>
      <c r="U32" s="632">
        <f t="shared" si="13"/>
        <v>100</v>
      </c>
      <c r="V32" s="631" t="s">
        <v>25</v>
      </c>
      <c r="W32" s="632">
        <f t="shared" si="14"/>
        <v>100</v>
      </c>
      <c r="X32" s="1263"/>
      <c r="Y32" s="366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0"/>
      <c r="Q33" s="1262" t="str">
        <f t="shared" si="11"/>
        <v>是否直接入户</v>
      </c>
      <c r="R33" s="631" t="s">
        <v>25</v>
      </c>
      <c r="S33" s="632">
        <f t="shared" si="12"/>
        <v>100</v>
      </c>
      <c r="T33" s="631" t="s">
        <v>25</v>
      </c>
      <c r="U33" s="632">
        <f t="shared" si="13"/>
        <v>100</v>
      </c>
      <c r="V33" s="631" t="s">
        <v>25</v>
      </c>
      <c r="W33" s="632">
        <f t="shared" si="14"/>
        <v>100</v>
      </c>
      <c r="X33" s="1263"/>
      <c r="Y33" s="366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0"/>
      <c r="Q34" s="1262">
        <f t="shared" si="11"/>
        <v>111</v>
      </c>
      <c r="R34" s="631" t="s">
        <v>25</v>
      </c>
      <c r="S34" s="632">
        <f t="shared" si="12"/>
        <v>100</v>
      </c>
      <c r="T34" s="631" t="s">
        <v>25</v>
      </c>
      <c r="U34" s="632">
        <f t="shared" si="13"/>
        <v>100</v>
      </c>
      <c r="V34" s="631" t="s">
        <v>25</v>
      </c>
      <c r="W34" s="632">
        <f t="shared" si="14"/>
        <v>100</v>
      </c>
      <c r="X34" s="1263"/>
      <c r="Y34" s="366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0"/>
      <c r="Q35" s="633">
        <f t="shared" si="11"/>
        <v>111</v>
      </c>
      <c r="R35" s="634" t="s">
        <v>25</v>
      </c>
      <c r="S35" s="635">
        <f t="shared" si="12"/>
        <v>100</v>
      </c>
      <c r="T35" s="634" t="s">
        <v>25</v>
      </c>
      <c r="U35" s="635">
        <f t="shared" si="13"/>
        <v>100</v>
      </c>
      <c r="V35" s="634" t="s">
        <v>25</v>
      </c>
      <c r="W35" s="635">
        <f t="shared" si="14"/>
        <v>100</v>
      </c>
      <c r="X35" s="636"/>
      <c r="Y35" s="366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0"/>
      <c r="Q36" s="1262">
        <f t="shared" si="11"/>
        <v>111</v>
      </c>
      <c r="R36" s="631" t="s">
        <v>25</v>
      </c>
      <c r="S36" s="632">
        <f t="shared" si="12"/>
        <v>100</v>
      </c>
      <c r="T36" s="631" t="s">
        <v>25</v>
      </c>
      <c r="U36" s="632">
        <f t="shared" si="13"/>
        <v>100</v>
      </c>
      <c r="V36" s="631" t="s">
        <v>25</v>
      </c>
      <c r="W36" s="632">
        <f t="shared" si="14"/>
        <v>100</v>
      </c>
      <c r="X36" s="1263"/>
      <c r="Y36" s="366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54" t="str">
        <f>A37</f>
        <v>成交单价</v>
      </c>
      <c r="Q37" s="3654"/>
      <c r="R37" s="3655">
        <f>E37</f>
        <v>0</v>
      </c>
      <c r="S37" s="3655"/>
      <c r="T37" s="3655">
        <f>G37</f>
        <v>0</v>
      </c>
      <c r="U37" s="3655"/>
      <c r="V37" s="3655">
        <f>I37</f>
        <v>0</v>
      </c>
      <c r="W37" s="3655"/>
      <c r="X37" s="618"/>
      <c r="Y37" s="638"/>
      <c r="Z37" s="618"/>
      <c r="AA37" s="618"/>
      <c r="AB37" s="618"/>
      <c r="AC37" s="618"/>
    </row>
    <row r="38" spans="1:29" ht="15.75" thickBot="1">
      <c r="A38" s="374" t="s">
        <v>2181</v>
      </c>
      <c r="B38" s="375" t="str">
        <f>B37</f>
        <v>元/平方米</v>
      </c>
      <c r="C38" s="1088" t="e">
        <f>R39</f>
        <v>#DIV/0!</v>
      </c>
      <c r="D38" s="1724" t="s">
        <v>2502</v>
      </c>
      <c r="E38" s="1089" t="e">
        <f>R38</f>
        <v>#DIV/0!</v>
      </c>
      <c r="F38" s="1726"/>
      <c r="G38" s="1088" t="e">
        <f>T38</f>
        <v>#DIV/0!</v>
      </c>
      <c r="H38" s="1726"/>
      <c r="I38" s="1089" t="e">
        <f>V38</f>
        <v>#DIV/0!</v>
      </c>
      <c r="J38" s="1726"/>
      <c r="K38" s="2428">
        <f>F38+H38+J38</f>
        <v>0</v>
      </c>
      <c r="L38" s="2954"/>
      <c r="P38" s="3654" t="str">
        <f>A38</f>
        <v>比较价值</v>
      </c>
      <c r="Q38" s="3654"/>
      <c r="R38" s="3655" t="e">
        <f>IF(E1="售价",ROUND(PRODUCT(R37,AA7:AA36),0),ROUND(PRODUCT(R37,AA7:AA36),1))</f>
        <v>#DIV/0!</v>
      </c>
      <c r="S38" s="3655"/>
      <c r="T38" s="3655" t="e">
        <f>IF(E1="售价",ROUND(PRODUCT(T37,AB7:AB36),0),ROUND(PRODUCT(T37,AB7:AB36),1))</f>
        <v>#DIV/0!</v>
      </c>
      <c r="U38" s="3655"/>
      <c r="V38" s="3655" t="e">
        <f>IF(E1="售价",ROUND(PRODUCT(V37,AC7:AC36),0),ROUND(PRODUCT(V37,AC7:AC36),1))</f>
        <v>#DIV/0!</v>
      </c>
      <c r="W38" s="3655"/>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56" t="str">
        <f>A39</f>
        <v>估价对象XX用房的比较价值（楼面单价，元/平方米）</v>
      </c>
      <c r="Q39" s="3657"/>
      <c r="R39" s="3658" t="e">
        <f>IF(E1="售价",ROUND(IF(D38="简单平均",AVERAGE(R38:W38),R38*F38+T38*H38+V38*J38),0),ROUND(IF(D38="简单平均",AVERAGE(R38:V38),R38*F38+T38*H38+V38*J38),1))</f>
        <v>#DIV/0!</v>
      </c>
      <c r="S39" s="3658"/>
      <c r="T39" s="3658"/>
      <c r="U39" s="3658"/>
      <c r="V39" s="3658"/>
      <c r="W39" s="3658"/>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60" sqref="G6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9"/>
      <c r="C1" s="1150"/>
      <c r="D1" s="1160"/>
      <c r="E1" s="1486"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7"/>
      <c r="E2" s="1159" t="e">
        <f ca="1">SUMIF(INDIRECT("'"&amp;G2&amp;"'"&amp;"!A:A"),"承租人权益价值",INDIRECT("'"&amp;G2&amp;"'"&amp;"!c:c"))</f>
        <v>#REF!</v>
      </c>
      <c r="F2" s="1488" t="str">
        <f>C2</f>
        <v>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84.33</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77" t="s">
        <v>2007</v>
      </c>
      <c r="D4" s="3678"/>
      <c r="E4" s="3679" t="s">
        <v>2008</v>
      </c>
      <c r="F4" s="3680"/>
      <c r="G4" s="3677" t="s">
        <v>2009</v>
      </c>
      <c r="H4" s="3678"/>
      <c r="I4" s="3677" t="s">
        <v>2010</v>
      </c>
      <c r="J4" s="3678"/>
      <c r="K4" s="496" t="s">
        <v>2011</v>
      </c>
      <c r="L4" s="2942"/>
      <c r="M4" s="2943"/>
      <c r="N4" s="2943"/>
      <c r="O4" s="2943"/>
      <c r="P4" s="3681" t="s">
        <v>2012</v>
      </c>
      <c r="Q4" s="3682"/>
      <c r="R4" s="3664" t="s">
        <v>2008</v>
      </c>
      <c r="S4" s="3665"/>
      <c r="T4" s="3664" t="s">
        <v>2009</v>
      </c>
      <c r="U4" s="3665"/>
      <c r="V4" s="3687" t="s">
        <v>2010</v>
      </c>
      <c r="W4" s="3687"/>
      <c r="X4" s="1263"/>
      <c r="Y4" s="3664" t="s">
        <v>2012</v>
      </c>
      <c r="Z4" s="3665"/>
      <c r="AA4" s="3674" t="s">
        <v>2008</v>
      </c>
      <c r="AB4" s="3675" t="s">
        <v>2009</v>
      </c>
      <c r="AC4" s="3674" t="s">
        <v>2010</v>
      </c>
    </row>
    <row r="5" spans="1:29" ht="15">
      <c r="A5" s="297"/>
      <c r="B5" s="298"/>
      <c r="C5" s="3690" t="s">
        <v>2013</v>
      </c>
      <c r="D5" s="3691"/>
      <c r="E5" s="3688" t="s">
        <v>2014</v>
      </c>
      <c r="F5" s="3689"/>
      <c r="G5" s="3690" t="s">
        <v>2015</v>
      </c>
      <c r="H5" s="3691"/>
      <c r="I5" s="3690" t="s">
        <v>2016</v>
      </c>
      <c r="J5" s="3691"/>
      <c r="K5" s="496"/>
      <c r="L5" s="2942"/>
      <c r="M5" s="2943"/>
      <c r="N5" s="2943"/>
      <c r="O5" s="2943"/>
      <c r="P5" s="3683"/>
      <c r="Q5" s="3684"/>
      <c r="R5" s="3666"/>
      <c r="S5" s="3667"/>
      <c r="T5" s="3666"/>
      <c r="U5" s="3667"/>
      <c r="V5" s="3687"/>
      <c r="W5" s="3687"/>
      <c r="X5" s="1263"/>
      <c r="Y5" s="3666"/>
      <c r="Z5" s="3667"/>
      <c r="AA5" s="3675"/>
      <c r="AB5" s="3675"/>
      <c r="AC5" s="3675"/>
    </row>
    <row r="6" spans="1:29" ht="15.75" thickBot="1">
      <c r="A6" s="299"/>
      <c r="B6" s="300"/>
      <c r="C6" s="3692" t="s">
        <v>2017</v>
      </c>
      <c r="D6" s="3693"/>
      <c r="E6" s="3694" t="s">
        <v>2017</v>
      </c>
      <c r="F6" s="3695"/>
      <c r="G6" s="3692" t="s">
        <v>2017</v>
      </c>
      <c r="H6" s="3693"/>
      <c r="I6" s="3692" t="s">
        <v>2017</v>
      </c>
      <c r="J6" s="3693"/>
      <c r="K6" s="496" t="s">
        <v>2018</v>
      </c>
      <c r="L6" s="2942"/>
      <c r="M6" s="2943"/>
      <c r="N6" s="2943"/>
      <c r="O6" s="2943"/>
      <c r="P6" s="3685"/>
      <c r="Q6" s="3686"/>
      <c r="R6" s="3666"/>
      <c r="S6" s="3667"/>
      <c r="T6" s="3668"/>
      <c r="U6" s="3669"/>
      <c r="V6" s="3687"/>
      <c r="W6" s="3687"/>
      <c r="X6" s="1263"/>
      <c r="Y6" s="3668"/>
      <c r="Z6" s="3669"/>
      <c r="AA6" s="3676"/>
      <c r="AB6" s="3676"/>
      <c r="AC6" s="3676"/>
    </row>
    <row r="7" spans="1:29" s="25" customFormat="1" ht="15.75" thickBot="1">
      <c r="A7" s="301" t="s">
        <v>2019</v>
      </c>
      <c r="B7" s="302"/>
      <c r="C7" s="303">
        <f>'数据-取费表'!B2</f>
        <v>44806</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62" t="s">
        <v>2020</v>
      </c>
      <c r="Q7" s="3670"/>
      <c r="R7" s="627" t="s">
        <v>25</v>
      </c>
      <c r="S7" s="628">
        <f t="shared" ref="S7:S14" si="0">F7</f>
        <v>0</v>
      </c>
      <c r="T7" s="627" t="s">
        <v>25</v>
      </c>
      <c r="U7" s="628">
        <f t="shared" ref="U7:U14" si="1">H7</f>
        <v>0</v>
      </c>
      <c r="V7" s="627" t="s">
        <v>25</v>
      </c>
      <c r="W7" s="628">
        <f t="shared" ref="W7:W14" si="2">J7</f>
        <v>0</v>
      </c>
      <c r="X7" s="629"/>
      <c r="Y7" s="3662" t="s">
        <v>2020</v>
      </c>
      <c r="Z7" s="366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62" t="s">
        <v>2023</v>
      </c>
      <c r="Q8" s="3663"/>
      <c r="R8" s="627" t="s">
        <v>25</v>
      </c>
      <c r="S8" s="628">
        <f t="shared" si="0"/>
        <v>0</v>
      </c>
      <c r="T8" s="627" t="s">
        <v>25</v>
      </c>
      <c r="U8" s="628">
        <f t="shared" si="1"/>
        <v>0</v>
      </c>
      <c r="V8" s="627" t="s">
        <v>25</v>
      </c>
      <c r="W8" s="628">
        <f t="shared" si="2"/>
        <v>0</v>
      </c>
      <c r="X8" s="629"/>
      <c r="Y8" s="3662" t="s">
        <v>2023</v>
      </c>
      <c r="Z8" s="366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54" t="s">
        <v>2026</v>
      </c>
      <c r="Q9" s="1255" t="str">
        <f t="shared" ref="Q9:Q14" si="6">B9</f>
        <v>用途</v>
      </c>
      <c r="R9" s="627" t="s">
        <v>25</v>
      </c>
      <c r="S9" s="628">
        <f t="shared" si="0"/>
        <v>100</v>
      </c>
      <c r="T9" s="627" t="s">
        <v>25</v>
      </c>
      <c r="U9" s="628">
        <f t="shared" si="1"/>
        <v>100</v>
      </c>
      <c r="V9" s="627" t="s">
        <v>25</v>
      </c>
      <c r="W9" s="628">
        <f t="shared" si="2"/>
        <v>100</v>
      </c>
      <c r="X9" s="629"/>
      <c r="Y9" s="3673"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54"/>
      <c r="Q10" s="1255"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54"/>
      <c r="Q11" s="1255">
        <f t="shared" si="6"/>
        <v>111</v>
      </c>
      <c r="R11" s="627" t="s">
        <v>25</v>
      </c>
      <c r="S11" s="628">
        <f t="shared" si="0"/>
        <v>100</v>
      </c>
      <c r="T11" s="627" t="s">
        <v>25</v>
      </c>
      <c r="U11" s="628">
        <f t="shared" si="1"/>
        <v>100</v>
      </c>
      <c r="V11" s="627" t="s">
        <v>25</v>
      </c>
      <c r="W11" s="628">
        <f t="shared" si="2"/>
        <v>100</v>
      </c>
      <c r="X11" s="629"/>
      <c r="Y11" s="3673"/>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54"/>
      <c r="Q12" s="125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54"/>
      <c r="Q13" s="125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1" t="s">
        <v>2031</v>
      </c>
      <c r="Q14" s="1262" t="str">
        <f t="shared" si="6"/>
        <v>交通便捷度</v>
      </c>
      <c r="R14" s="631" t="s">
        <v>25</v>
      </c>
      <c r="S14" s="632">
        <f t="shared" si="0"/>
        <v>100</v>
      </c>
      <c r="T14" s="631" t="s">
        <v>25</v>
      </c>
      <c r="U14" s="632">
        <f t="shared" si="1"/>
        <v>100</v>
      </c>
      <c r="V14" s="631" t="s">
        <v>25</v>
      </c>
      <c r="W14" s="632">
        <f t="shared" si="2"/>
        <v>100</v>
      </c>
      <c r="X14" s="1263"/>
      <c r="Y14" s="3671"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72"/>
      <c r="Q15" s="1262"/>
      <c r="R15" s="631"/>
      <c r="S15" s="632"/>
      <c r="T15" s="631"/>
      <c r="U15" s="632"/>
      <c r="V15" s="631"/>
      <c r="W15" s="632"/>
      <c r="X15" s="1263"/>
      <c r="Y15" s="3672"/>
      <c r="Z15" s="1264"/>
      <c r="AA15" s="1265">
        <v>1</v>
      </c>
      <c r="AB15" s="1265">
        <v>1</v>
      </c>
      <c r="AC15" s="1265">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2"/>
      <c r="Q16" s="1262" t="str">
        <f>B16</f>
        <v>公共配套设施</v>
      </c>
      <c r="R16" s="631" t="s">
        <v>25</v>
      </c>
      <c r="S16" s="632">
        <f>F16</f>
        <v>100</v>
      </c>
      <c r="T16" s="631" t="s">
        <v>25</v>
      </c>
      <c r="U16" s="632">
        <f>H16</f>
        <v>100</v>
      </c>
      <c r="V16" s="631" t="s">
        <v>25</v>
      </c>
      <c r="W16" s="632">
        <f>J16</f>
        <v>100</v>
      </c>
      <c r="X16" s="1263"/>
      <c r="Y16" s="3672"/>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72"/>
      <c r="Q17" s="1262"/>
      <c r="R17" s="631"/>
      <c r="S17" s="632"/>
      <c r="T17" s="631"/>
      <c r="U17" s="632"/>
      <c r="V17" s="631"/>
      <c r="W17" s="632"/>
      <c r="X17" s="1263"/>
      <c r="Y17" s="3672"/>
      <c r="Z17" s="1264"/>
      <c r="AA17" s="1265">
        <v>1</v>
      </c>
      <c r="AB17" s="1265">
        <v>1</v>
      </c>
      <c r="AC17" s="1265">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2"/>
      <c r="Q18" s="1262" t="str">
        <f>B18</f>
        <v>基础设施水平</v>
      </c>
      <c r="R18" s="631" t="s">
        <v>25</v>
      </c>
      <c r="S18" s="632">
        <f>F18</f>
        <v>100</v>
      </c>
      <c r="T18" s="631" t="s">
        <v>25</v>
      </c>
      <c r="U18" s="632">
        <f>H18</f>
        <v>100</v>
      </c>
      <c r="V18" s="631" t="s">
        <v>25</v>
      </c>
      <c r="W18" s="632">
        <f>J18</f>
        <v>100</v>
      </c>
      <c r="X18" s="1263"/>
      <c r="Y18" s="3672"/>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72"/>
      <c r="Q19" s="1262"/>
      <c r="R19" s="631"/>
      <c r="S19" s="632"/>
      <c r="T19" s="631"/>
      <c r="U19" s="632"/>
      <c r="V19" s="631"/>
      <c r="W19" s="632"/>
      <c r="X19" s="1263"/>
      <c r="Y19" s="3672"/>
      <c r="Z19" s="1264"/>
      <c r="AA19" s="1265">
        <v>1</v>
      </c>
      <c r="AB19" s="1265">
        <v>1</v>
      </c>
      <c r="AC19" s="1265">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2"/>
      <c r="Q20" s="1262" t="str">
        <f>B20</f>
        <v>自然及人文环境</v>
      </c>
      <c r="R20" s="631" t="s">
        <v>25</v>
      </c>
      <c r="S20" s="632">
        <f>F20</f>
        <v>100</v>
      </c>
      <c r="T20" s="631" t="s">
        <v>25</v>
      </c>
      <c r="U20" s="632">
        <f>H20</f>
        <v>100</v>
      </c>
      <c r="V20" s="631" t="s">
        <v>25</v>
      </c>
      <c r="W20" s="632">
        <f>J20</f>
        <v>100</v>
      </c>
      <c r="X20" s="1263"/>
      <c r="Y20" s="3672"/>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72"/>
      <c r="Q21" s="1262"/>
      <c r="R21" s="631"/>
      <c r="S21" s="632"/>
      <c r="T21" s="631"/>
      <c r="U21" s="632"/>
      <c r="V21" s="631"/>
      <c r="W21" s="632"/>
      <c r="X21" s="1263"/>
      <c r="Y21" s="3672"/>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2"/>
      <c r="Q22" s="1262" t="str">
        <f>B22</f>
        <v>楼层</v>
      </c>
      <c r="R22" s="631" t="s">
        <v>25</v>
      </c>
      <c r="S22" s="632">
        <f>F22</f>
        <v>100</v>
      </c>
      <c r="T22" s="631" t="s">
        <v>25</v>
      </c>
      <c r="U22" s="632">
        <f>H22</f>
        <v>100</v>
      </c>
      <c r="V22" s="631" t="s">
        <v>25</v>
      </c>
      <c r="W22" s="632">
        <f>J22</f>
        <v>100</v>
      </c>
      <c r="X22" s="1263"/>
      <c r="Y22" s="3672"/>
      <c r="Z22" s="1264" t="str">
        <f>Q22</f>
        <v>楼层</v>
      </c>
      <c r="AA22" s="1265">
        <f t="shared" si="3"/>
        <v>1</v>
      </c>
      <c r="AB22" s="1265">
        <f t="shared" si="4"/>
        <v>1</v>
      </c>
      <c r="AC22" s="1265">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2"/>
      <c r="Q23" s="1262">
        <f>B23</f>
        <v>111</v>
      </c>
      <c r="R23" s="631" t="s">
        <v>25</v>
      </c>
      <c r="S23" s="632">
        <f>F23</f>
        <v>100</v>
      </c>
      <c r="T23" s="631" t="s">
        <v>25</v>
      </c>
      <c r="U23" s="632">
        <f>H23</f>
        <v>100</v>
      </c>
      <c r="V23" s="631" t="s">
        <v>25</v>
      </c>
      <c r="W23" s="632">
        <f>J23</f>
        <v>100</v>
      </c>
      <c r="X23" s="1263"/>
      <c r="Y23" s="3672"/>
      <c r="Z23" s="1264">
        <f>Q23</f>
        <v>111</v>
      </c>
      <c r="AA23" s="1265">
        <f t="shared" si="3"/>
        <v>1</v>
      </c>
      <c r="AB23" s="1265">
        <f t="shared" si="4"/>
        <v>1</v>
      </c>
      <c r="AC23" s="1265">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2"/>
      <c r="Q24" s="1262">
        <f t="shared" ref="Q24:Q34" si="11">B24</f>
        <v>111</v>
      </c>
      <c r="R24" s="631" t="s">
        <v>25</v>
      </c>
      <c r="S24" s="632">
        <f>F24</f>
        <v>100</v>
      </c>
      <c r="T24" s="631" t="s">
        <v>25</v>
      </c>
      <c r="U24" s="632">
        <f>H24</f>
        <v>100</v>
      </c>
      <c r="V24" s="631" t="s">
        <v>25</v>
      </c>
      <c r="W24" s="632">
        <f>J24</f>
        <v>100</v>
      </c>
      <c r="X24" s="1263"/>
      <c r="Y24" s="3672"/>
      <c r="Z24" s="1264">
        <f>Q24</f>
        <v>111</v>
      </c>
      <c r="AA24" s="1265">
        <f t="shared" si="3"/>
        <v>1</v>
      </c>
      <c r="AB24" s="1265">
        <f t="shared" si="4"/>
        <v>1</v>
      </c>
      <c r="AC24" s="1265">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2"/>
      <c r="Q25" s="1255">
        <f t="shared" si="11"/>
        <v>111</v>
      </c>
      <c r="R25" s="627" t="s">
        <v>25</v>
      </c>
      <c r="S25" s="628">
        <f>F25</f>
        <v>100</v>
      </c>
      <c r="T25" s="627" t="s">
        <v>25</v>
      </c>
      <c r="U25" s="628">
        <f>H25</f>
        <v>100</v>
      </c>
      <c r="V25" s="627" t="s">
        <v>25</v>
      </c>
      <c r="W25" s="628">
        <f>J25</f>
        <v>100</v>
      </c>
      <c r="X25" s="629"/>
      <c r="Y25" s="3672"/>
      <c r="Z25" s="19">
        <f>Q25</f>
        <v>111</v>
      </c>
      <c r="AA25" s="1265">
        <f>D25/F25</f>
        <v>1</v>
      </c>
      <c r="AB25" s="1265">
        <f>D25/H25</f>
        <v>1</v>
      </c>
      <c r="AC25" s="1265">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5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0"/>
      <c r="Q27" s="633" t="str">
        <f t="shared" si="11"/>
        <v>成新率</v>
      </c>
      <c r="R27" s="634" t="s">
        <v>25</v>
      </c>
      <c r="S27" s="635" t="e">
        <f t="shared" si="12"/>
        <v>#N/A</v>
      </c>
      <c r="T27" s="634" t="s">
        <v>25</v>
      </c>
      <c r="U27" s="635" t="e">
        <f t="shared" si="13"/>
        <v>#N/A</v>
      </c>
      <c r="V27" s="634" t="s">
        <v>25</v>
      </c>
      <c r="W27" s="635" t="e">
        <f t="shared" si="14"/>
        <v>#N/A</v>
      </c>
      <c r="X27" s="636"/>
      <c r="Y27" s="366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0"/>
      <c r="Q28" s="1262" t="str">
        <f t="shared" si="11"/>
        <v>物业等级</v>
      </c>
      <c r="R28" s="631" t="s">
        <v>25</v>
      </c>
      <c r="S28" s="632">
        <f t="shared" si="12"/>
        <v>100</v>
      </c>
      <c r="T28" s="631" t="s">
        <v>25</v>
      </c>
      <c r="U28" s="632">
        <f t="shared" si="13"/>
        <v>100</v>
      </c>
      <c r="V28" s="631" t="s">
        <v>25</v>
      </c>
      <c r="W28" s="632">
        <f t="shared" si="14"/>
        <v>100</v>
      </c>
      <c r="X28" s="1263"/>
      <c r="Y28" s="366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0"/>
      <c r="Q29" s="1262" t="str">
        <f t="shared" si="11"/>
        <v>有无电梯</v>
      </c>
      <c r="R29" s="631" t="s">
        <v>25</v>
      </c>
      <c r="S29" s="632">
        <f t="shared" si="12"/>
        <v>100</v>
      </c>
      <c r="T29" s="631" t="s">
        <v>25</v>
      </c>
      <c r="U29" s="632">
        <f t="shared" si="13"/>
        <v>100</v>
      </c>
      <c r="V29" s="631" t="s">
        <v>25</v>
      </c>
      <c r="W29" s="632">
        <f t="shared" si="14"/>
        <v>100</v>
      </c>
      <c r="X29" s="1263"/>
      <c r="Y29" s="366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0"/>
      <c r="Q30" s="1262" t="str">
        <f t="shared" si="11"/>
        <v>建筑面积</v>
      </c>
      <c r="R30" s="631" t="s">
        <v>25</v>
      </c>
      <c r="S30" s="632" t="e">
        <f t="shared" si="12"/>
        <v>#N/A</v>
      </c>
      <c r="T30" s="631" t="s">
        <v>25</v>
      </c>
      <c r="U30" s="632" t="e">
        <f t="shared" si="13"/>
        <v>#N/A</v>
      </c>
      <c r="V30" s="631" t="s">
        <v>25</v>
      </c>
      <c r="W30" s="632" t="e">
        <f t="shared" si="14"/>
        <v>#N/A</v>
      </c>
      <c r="X30" s="1263"/>
      <c r="Y30" s="366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0"/>
      <c r="Q31" s="1255" t="str">
        <f t="shared" si="11"/>
        <v>是否封闭</v>
      </c>
      <c r="R31" s="627" t="s">
        <v>25</v>
      </c>
      <c r="S31" s="628">
        <f t="shared" si="12"/>
        <v>100</v>
      </c>
      <c r="T31" s="627" t="s">
        <v>25</v>
      </c>
      <c r="U31" s="628">
        <f t="shared" si="13"/>
        <v>100</v>
      </c>
      <c r="V31" s="627" t="s">
        <v>25</v>
      </c>
      <c r="W31" s="628">
        <f t="shared" si="14"/>
        <v>100</v>
      </c>
      <c r="X31" s="629"/>
      <c r="Y31" s="3660"/>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0" t="s">
        <v>2037</v>
      </c>
      <c r="Q32" s="1262">
        <f t="shared" si="11"/>
        <v>111</v>
      </c>
      <c r="R32" s="631" t="s">
        <v>25</v>
      </c>
      <c r="S32" s="632">
        <f t="shared" si="12"/>
        <v>100</v>
      </c>
      <c r="T32" s="631" t="s">
        <v>25</v>
      </c>
      <c r="U32" s="632">
        <f t="shared" si="13"/>
        <v>100</v>
      </c>
      <c r="V32" s="631" t="s">
        <v>25</v>
      </c>
      <c r="W32" s="632">
        <f t="shared" si="14"/>
        <v>100</v>
      </c>
      <c r="X32" s="1263"/>
      <c r="Y32" s="3660" t="s">
        <v>2037</v>
      </c>
      <c r="Z32" s="1264">
        <f t="shared" si="15"/>
        <v>111</v>
      </c>
      <c r="AA32" s="1265">
        <f t="shared" si="3"/>
        <v>1</v>
      </c>
      <c r="AB32" s="1265">
        <f t="shared" si="4"/>
        <v>1</v>
      </c>
      <c r="AC32" s="1265">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0"/>
      <c r="Q33" s="1262">
        <f t="shared" si="11"/>
        <v>111</v>
      </c>
      <c r="R33" s="631" t="s">
        <v>25</v>
      </c>
      <c r="S33" s="632">
        <f t="shared" si="12"/>
        <v>100</v>
      </c>
      <c r="T33" s="631" t="s">
        <v>25</v>
      </c>
      <c r="U33" s="632">
        <f t="shared" si="13"/>
        <v>100</v>
      </c>
      <c r="V33" s="631" t="s">
        <v>25</v>
      </c>
      <c r="W33" s="632">
        <f t="shared" si="14"/>
        <v>100</v>
      </c>
      <c r="X33" s="1263"/>
      <c r="Y33" s="3660"/>
      <c r="Z33" s="1264">
        <f t="shared" si="15"/>
        <v>111</v>
      </c>
      <c r="AA33" s="1265">
        <f t="shared" si="3"/>
        <v>1</v>
      </c>
      <c r="AB33" s="1265">
        <f t="shared" si="4"/>
        <v>1</v>
      </c>
      <c r="AC33" s="1265">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60"/>
      <c r="Q34" s="1262">
        <f t="shared" si="11"/>
        <v>111</v>
      </c>
      <c r="R34" s="631" t="s">
        <v>25</v>
      </c>
      <c r="S34" s="632">
        <f t="shared" si="12"/>
        <v>100</v>
      </c>
      <c r="T34" s="631" t="s">
        <v>25</v>
      </c>
      <c r="U34" s="632">
        <f t="shared" si="13"/>
        <v>100</v>
      </c>
      <c r="V34" s="631" t="s">
        <v>25</v>
      </c>
      <c r="W34" s="632">
        <f t="shared" si="14"/>
        <v>100</v>
      </c>
      <c r="X34" s="1263"/>
      <c r="Y34" s="366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54" t="str">
        <f>A35</f>
        <v>成交单价（元/平方米）</v>
      </c>
      <c r="Q35" s="3654"/>
      <c r="R35" s="3655">
        <f>E35</f>
        <v>0</v>
      </c>
      <c r="S35" s="3655"/>
      <c r="T35" s="3655">
        <f>G35</f>
        <v>0</v>
      </c>
      <c r="U35" s="3655"/>
      <c r="V35" s="3655">
        <f>I35</f>
        <v>0</v>
      </c>
      <c r="W35" s="3655"/>
      <c r="X35" s="618"/>
      <c r="Y35" s="638"/>
      <c r="Z35" s="618"/>
      <c r="AA35" s="618"/>
      <c r="AB35" s="618"/>
      <c r="AC35" s="618"/>
    </row>
    <row r="36" spans="1:29" ht="15.75" thickBot="1">
      <c r="A36" s="374" t="s">
        <v>2132</v>
      </c>
      <c r="B36" s="375"/>
      <c r="C36" s="1088" t="e">
        <f>R37</f>
        <v>#DIV/0!</v>
      </c>
      <c r="D36" s="1724" t="s">
        <v>2502</v>
      </c>
      <c r="E36" s="1089" t="e">
        <f>R36</f>
        <v>#DIV/0!</v>
      </c>
      <c r="F36" s="1726"/>
      <c r="G36" s="1088" t="e">
        <f>T36</f>
        <v>#DIV/0!</v>
      </c>
      <c r="H36" s="1726"/>
      <c r="I36" s="1089" t="e">
        <f>V36</f>
        <v>#DIV/0!</v>
      </c>
      <c r="J36" s="1726"/>
      <c r="K36" s="2428">
        <f>F36+H36+J36</f>
        <v>0</v>
      </c>
      <c r="L36" s="2954"/>
      <c r="N36" s="2943"/>
      <c r="P36" s="3654" t="str">
        <f>A36</f>
        <v>比较价值（元/平方米）</v>
      </c>
      <c r="Q36" s="3654"/>
      <c r="R36" s="3655" t="e">
        <f>IF(E1="售价",ROUND(PRODUCT(R35,AA7:AA34),0),ROUND(PRODUCT(R35,AA7:AA34),1))</f>
        <v>#DIV/0!</v>
      </c>
      <c r="S36" s="3655"/>
      <c r="T36" s="3655" t="e">
        <f>IF(E1="售价",ROUND(PRODUCT(T35,AB7:AB34),0),ROUND(PRODUCT(T35,AB7:AB34),1))</f>
        <v>#DIV/0!</v>
      </c>
      <c r="U36" s="3655"/>
      <c r="V36" s="3655" t="e">
        <f>IF(E1="售价",ROUND(PRODUCT(V35,AC7:AC34),0),ROUND(PRODUCT(V35,AC7:AC34),1))</f>
        <v>#DIV/0!</v>
      </c>
      <c r="W36" s="3655"/>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56" t="str">
        <f>A37</f>
        <v>估价对象XX用房的比较价值（楼面单价，元/平方米）</v>
      </c>
      <c r="Q37" s="3657"/>
      <c r="R37" s="3658" t="e">
        <f>IF(E1="售价",ROUND(IF(D36="简单平均",AVERAGE(R36:W36),R36*F36+T36*H36+V36*J36),0),ROUND(IF(D36="简单平均",AVERAGE(R36:V36),R36*F36+T36*H36+V36*J36),1))</f>
        <v>#DIV/0!</v>
      </c>
      <c r="S37" s="3658"/>
      <c r="T37" s="3658"/>
      <c r="U37" s="3658"/>
      <c r="V37" s="3658"/>
      <c r="W37" s="3658"/>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2006</v>
      </c>
      <c r="B4" s="1591"/>
      <c r="C4" s="3602" t="s">
        <v>2007</v>
      </c>
      <c r="D4" s="3603"/>
      <c r="E4" s="3604" t="s">
        <v>2008</v>
      </c>
      <c r="F4" s="3605"/>
      <c r="G4" s="3602" t="s">
        <v>2009</v>
      </c>
      <c r="H4" s="3603"/>
      <c r="I4" s="3602" t="s">
        <v>2010</v>
      </c>
      <c r="J4" s="3603"/>
      <c r="K4" s="1893" t="s">
        <v>2011</v>
      </c>
      <c r="L4" s="2914"/>
      <c r="M4" s="2915"/>
      <c r="N4" s="2915"/>
      <c r="O4" s="2915"/>
      <c r="P4" s="3606" t="s">
        <v>2012</v>
      </c>
      <c r="Q4" s="3607"/>
      <c r="R4" s="3588" t="s">
        <v>2008</v>
      </c>
      <c r="S4" s="3589"/>
      <c r="T4" s="3588" t="s">
        <v>2009</v>
      </c>
      <c r="U4" s="3589"/>
      <c r="V4" s="3612" t="s">
        <v>2010</v>
      </c>
      <c r="W4" s="3612"/>
      <c r="X4" s="1593"/>
      <c r="Y4" s="3588" t="s">
        <v>2012</v>
      </c>
      <c r="Z4" s="3589"/>
      <c r="AA4" s="3599" t="s">
        <v>2008</v>
      </c>
      <c r="AB4" s="3600" t="s">
        <v>2009</v>
      </c>
      <c r="AC4" s="3599" t="s">
        <v>2010</v>
      </c>
    </row>
    <row r="5" spans="1:30" ht="15">
      <c r="A5" s="1595"/>
      <c r="B5" s="1596"/>
      <c r="C5" s="3615" t="s">
        <v>2013</v>
      </c>
      <c r="D5" s="3616"/>
      <c r="E5" s="3652" t="s">
        <v>2014</v>
      </c>
      <c r="F5" s="3614"/>
      <c r="G5" s="3615" t="s">
        <v>2015</v>
      </c>
      <c r="H5" s="3616"/>
      <c r="I5" s="3615" t="s">
        <v>2016</v>
      </c>
      <c r="J5" s="3616"/>
      <c r="K5" s="1893"/>
      <c r="L5" s="2914"/>
      <c r="M5" s="2915"/>
      <c r="N5" s="2915"/>
      <c r="O5" s="2915"/>
      <c r="P5" s="3608"/>
      <c r="Q5" s="3609"/>
      <c r="R5" s="3590"/>
      <c r="S5" s="3591"/>
      <c r="T5" s="3590"/>
      <c r="U5" s="3591"/>
      <c r="V5" s="3612"/>
      <c r="W5" s="3612"/>
      <c r="X5" s="1593"/>
      <c r="Y5" s="3590"/>
      <c r="Z5" s="3591"/>
      <c r="AA5" s="3600"/>
      <c r="AB5" s="3600"/>
      <c r="AC5" s="3600"/>
    </row>
    <row r="6" spans="1:30" ht="15.75" thickBot="1">
      <c r="A6" s="1598"/>
      <c r="B6" s="1599"/>
      <c r="C6" s="3617" t="s">
        <v>2017</v>
      </c>
      <c r="D6" s="3618"/>
      <c r="E6" s="3620" t="s">
        <v>2017</v>
      </c>
      <c r="F6" s="3621"/>
      <c r="G6" s="3617" t="s">
        <v>2017</v>
      </c>
      <c r="H6" s="3618"/>
      <c r="I6" s="3617" t="s">
        <v>2017</v>
      </c>
      <c r="J6" s="3618"/>
      <c r="K6" s="1893" t="s">
        <v>2018</v>
      </c>
      <c r="L6" s="2914"/>
      <c r="M6" s="2915"/>
      <c r="N6" s="2915"/>
      <c r="O6" s="2915"/>
      <c r="P6" s="3610"/>
      <c r="Q6" s="3611"/>
      <c r="R6" s="3590"/>
      <c r="S6" s="3591"/>
      <c r="T6" s="3592"/>
      <c r="U6" s="3593"/>
      <c r="V6" s="3612"/>
      <c r="W6" s="3612"/>
      <c r="X6" s="1593"/>
      <c r="Y6" s="3592"/>
      <c r="Z6" s="3593"/>
      <c r="AA6" s="3601"/>
      <c r="AB6" s="3601"/>
      <c r="AC6" s="3601"/>
    </row>
    <row r="7" spans="1:30" s="1612" customFormat="1" ht="15.75" thickBot="1">
      <c r="A7" s="1600" t="s">
        <v>2019</v>
      </c>
      <c r="B7" s="1601"/>
      <c r="C7" s="1602">
        <f>'数据-取费表'!B2</f>
        <v>44806</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586" t="s">
        <v>2020</v>
      </c>
      <c r="Q7" s="3594"/>
      <c r="R7" s="1608" t="s">
        <v>25</v>
      </c>
      <c r="S7" s="1609">
        <f t="shared" ref="S7:S15" si="0">F7</f>
        <v>0</v>
      </c>
      <c r="T7" s="1608" t="s">
        <v>25</v>
      </c>
      <c r="U7" s="1609">
        <f t="shared" ref="U7:U15" si="1">H7</f>
        <v>0</v>
      </c>
      <c r="V7" s="1608" t="s">
        <v>25</v>
      </c>
      <c r="W7" s="1609">
        <f t="shared" ref="W7:W15" si="2">J7</f>
        <v>0</v>
      </c>
      <c r="X7" s="1610"/>
      <c r="Y7" s="3586" t="s">
        <v>2020</v>
      </c>
      <c r="Z7" s="3587"/>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586" t="s">
        <v>2023</v>
      </c>
      <c r="Q8" s="3587"/>
      <c r="R8" s="1608" t="s">
        <v>25</v>
      </c>
      <c r="S8" s="1609">
        <f t="shared" si="0"/>
        <v>0</v>
      </c>
      <c r="T8" s="1608" t="s">
        <v>25</v>
      </c>
      <c r="U8" s="1609">
        <f t="shared" si="1"/>
        <v>0</v>
      </c>
      <c r="V8" s="1608" t="s">
        <v>25</v>
      </c>
      <c r="W8" s="1609">
        <f t="shared" si="2"/>
        <v>0</v>
      </c>
      <c r="X8" s="1610"/>
      <c r="Y8" s="3586" t="s">
        <v>2023</v>
      </c>
      <c r="Z8" s="3587"/>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76" t="s">
        <v>2026</v>
      </c>
      <c r="Q9" s="1562" t="str">
        <f t="shared" ref="Q9:Q15" si="6">B9</f>
        <v>用途</v>
      </c>
      <c r="R9" s="1608" t="s">
        <v>25</v>
      </c>
      <c r="S9" s="1609">
        <f t="shared" si="0"/>
        <v>100</v>
      </c>
      <c r="T9" s="1608" t="s">
        <v>25</v>
      </c>
      <c r="U9" s="1609">
        <f t="shared" si="1"/>
        <v>100</v>
      </c>
      <c r="V9" s="1608" t="s">
        <v>25</v>
      </c>
      <c r="W9" s="1609">
        <f t="shared" si="2"/>
        <v>100</v>
      </c>
      <c r="X9" s="1610"/>
      <c r="Y9" s="3469"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115</v>
      </c>
      <c r="G10" s="1685"/>
      <c r="H10" s="1625">
        <f>ROUND(100/'数据-取费表'!B14,0)</f>
        <v>115</v>
      </c>
      <c r="I10" s="1685"/>
      <c r="J10" s="1625">
        <f>ROUND(100/'数据-取费表'!B14,0)</f>
        <v>115</v>
      </c>
      <c r="K10" s="1897"/>
      <c r="L10" s="2916"/>
      <c r="M10" s="2917"/>
      <c r="N10" s="2917"/>
      <c r="O10" s="2962"/>
      <c r="P10" s="3576"/>
      <c r="Q10" s="1562" t="str">
        <f t="shared" si="6"/>
        <v>土地使用年限（年）</v>
      </c>
      <c r="R10" s="1608" t="s">
        <v>25</v>
      </c>
      <c r="S10" s="1609">
        <f t="shared" si="0"/>
        <v>115</v>
      </c>
      <c r="T10" s="1608" t="s">
        <v>25</v>
      </c>
      <c r="U10" s="1609">
        <f t="shared" si="1"/>
        <v>115</v>
      </c>
      <c r="V10" s="1608" t="s">
        <v>25</v>
      </c>
      <c r="W10" s="1609">
        <f t="shared" si="2"/>
        <v>115</v>
      </c>
      <c r="X10" s="1610"/>
      <c r="Y10" s="3469"/>
      <c r="Z10" s="1621" t="str">
        <f t="shared" si="7"/>
        <v>土地使用年限（年）</v>
      </c>
      <c r="AA10" s="1611">
        <f t="shared" si="3"/>
        <v>0.86956521739130432</v>
      </c>
      <c r="AB10" s="1611">
        <f t="shared" si="4"/>
        <v>0.86956521739130432</v>
      </c>
      <c r="AC10" s="1611">
        <f t="shared" si="5"/>
        <v>0.86956521739130432</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76"/>
      <c r="Q11" s="1562" t="str">
        <f t="shared" si="6"/>
        <v>容积率</v>
      </c>
      <c r="R11" s="1608" t="s">
        <v>25</v>
      </c>
      <c r="S11" s="1609" t="e">
        <f t="shared" si="0"/>
        <v>#N/A</v>
      </c>
      <c r="T11" s="1608" t="s">
        <v>25</v>
      </c>
      <c r="U11" s="1609" t="e">
        <f t="shared" si="1"/>
        <v>#N/A</v>
      </c>
      <c r="V11" s="1608" t="s">
        <v>25</v>
      </c>
      <c r="W11" s="1609" t="e">
        <f t="shared" si="2"/>
        <v>#N/A</v>
      </c>
      <c r="X11" s="1610"/>
      <c r="Y11" s="3469"/>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76"/>
      <c r="Q12" s="1562" t="str">
        <f t="shared" si="6"/>
        <v>配建</v>
      </c>
      <c r="R12" s="1608" t="s">
        <v>25</v>
      </c>
      <c r="S12" s="1609">
        <f t="shared" si="0"/>
        <v>100</v>
      </c>
      <c r="T12" s="1608" t="s">
        <v>25</v>
      </c>
      <c r="U12" s="1609">
        <f t="shared" si="1"/>
        <v>100</v>
      </c>
      <c r="V12" s="1608" t="s">
        <v>25</v>
      </c>
      <c r="W12" s="1609">
        <f t="shared" si="2"/>
        <v>100</v>
      </c>
      <c r="X12" s="1610"/>
      <c r="Y12" s="3469"/>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76"/>
      <c r="Q13" s="1562">
        <f t="shared" si="6"/>
        <v>111</v>
      </c>
      <c r="R13" s="1608" t="s">
        <v>25</v>
      </c>
      <c r="S13" s="1609">
        <f t="shared" si="0"/>
        <v>100</v>
      </c>
      <c r="T13" s="1608" t="s">
        <v>25</v>
      </c>
      <c r="U13" s="1609">
        <f t="shared" si="1"/>
        <v>100</v>
      </c>
      <c r="V13" s="1608" t="s">
        <v>25</v>
      </c>
      <c r="W13" s="1609">
        <f t="shared" si="2"/>
        <v>100</v>
      </c>
      <c r="X13" s="1610"/>
      <c r="Y13" s="3469"/>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76"/>
      <c r="Q14" s="1562">
        <f t="shared" si="6"/>
        <v>111</v>
      </c>
      <c r="R14" s="1608" t="s">
        <v>25</v>
      </c>
      <c r="S14" s="1609">
        <f t="shared" si="0"/>
        <v>100</v>
      </c>
      <c r="T14" s="1608" t="s">
        <v>25</v>
      </c>
      <c r="U14" s="1609">
        <f t="shared" si="1"/>
        <v>100</v>
      </c>
      <c r="V14" s="1608" t="s">
        <v>25</v>
      </c>
      <c r="W14" s="1609">
        <f t="shared" si="2"/>
        <v>100</v>
      </c>
      <c r="X14" s="1610"/>
      <c r="Y14" s="3469"/>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597" t="s">
        <v>2031</v>
      </c>
      <c r="Q15" s="1543" t="str">
        <f t="shared" si="6"/>
        <v>居住社区成熟度</v>
      </c>
      <c r="R15" s="1653" t="s">
        <v>25</v>
      </c>
      <c r="S15" s="1654">
        <f t="shared" si="0"/>
        <v>100</v>
      </c>
      <c r="T15" s="1653" t="s">
        <v>25</v>
      </c>
      <c r="U15" s="1654">
        <f t="shared" si="1"/>
        <v>100</v>
      </c>
      <c r="V15" s="1653" t="s">
        <v>25</v>
      </c>
      <c r="W15" s="1654">
        <f t="shared" si="2"/>
        <v>100</v>
      </c>
      <c r="X15" s="1593"/>
      <c r="Y15" s="3597"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598"/>
      <c r="Q16" s="1543"/>
      <c r="R16" s="1653"/>
      <c r="S16" s="1654"/>
      <c r="T16" s="1653"/>
      <c r="U16" s="1654"/>
      <c r="V16" s="1653"/>
      <c r="W16" s="1654"/>
      <c r="X16" s="1593"/>
      <c r="Y16" s="3598"/>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598"/>
      <c r="Q17" s="1543" t="str">
        <f>B17</f>
        <v>商业繁华度</v>
      </c>
      <c r="R17" s="1653" t="s">
        <v>25</v>
      </c>
      <c r="S17" s="1654">
        <f>F17</f>
        <v>100</v>
      </c>
      <c r="T17" s="1653" t="s">
        <v>25</v>
      </c>
      <c r="U17" s="1654">
        <f>H17</f>
        <v>100</v>
      </c>
      <c r="V17" s="1653" t="s">
        <v>25</v>
      </c>
      <c r="W17" s="1654">
        <f>J17</f>
        <v>100</v>
      </c>
      <c r="X17" s="1593"/>
      <c r="Y17" s="3598"/>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598"/>
      <c r="Q18" s="1543"/>
      <c r="R18" s="1653"/>
      <c r="S18" s="1654"/>
      <c r="T18" s="1653"/>
      <c r="U18" s="1654"/>
      <c r="V18" s="1653"/>
      <c r="W18" s="1654"/>
      <c r="X18" s="1593"/>
      <c r="Y18" s="3598"/>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598"/>
      <c r="Q19" s="1543" t="str">
        <f>B19</f>
        <v>办公集聚程度</v>
      </c>
      <c r="R19" s="1653" t="s">
        <v>25</v>
      </c>
      <c r="S19" s="1654">
        <f>F19</f>
        <v>100</v>
      </c>
      <c r="T19" s="1653" t="s">
        <v>25</v>
      </c>
      <c r="U19" s="1654">
        <f>H19</f>
        <v>100</v>
      </c>
      <c r="V19" s="1653" t="s">
        <v>25</v>
      </c>
      <c r="W19" s="1654">
        <f>J19</f>
        <v>100</v>
      </c>
      <c r="X19" s="1593"/>
      <c r="Y19" s="3598"/>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598"/>
      <c r="Q20" s="1543"/>
      <c r="R20" s="1653"/>
      <c r="S20" s="1654"/>
      <c r="T20" s="1653"/>
      <c r="U20" s="1654"/>
      <c r="V20" s="1653"/>
      <c r="W20" s="1654"/>
      <c r="X20" s="1593"/>
      <c r="Y20" s="3598"/>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598"/>
      <c r="Q21" s="1543" t="str">
        <f>B21</f>
        <v>交通便捷度</v>
      </c>
      <c r="R21" s="1653" t="s">
        <v>25</v>
      </c>
      <c r="S21" s="1654">
        <f>F21</f>
        <v>100</v>
      </c>
      <c r="T21" s="1653" t="s">
        <v>25</v>
      </c>
      <c r="U21" s="1654">
        <f>H21</f>
        <v>100</v>
      </c>
      <c r="V21" s="1653" t="s">
        <v>25</v>
      </c>
      <c r="W21" s="1654">
        <f>J21</f>
        <v>100</v>
      </c>
      <c r="X21" s="1593"/>
      <c r="Y21" s="3598"/>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598"/>
      <c r="Q22" s="1543"/>
      <c r="R22" s="1653"/>
      <c r="S22" s="1654"/>
      <c r="T22" s="1653"/>
      <c r="U22" s="1654"/>
      <c r="V22" s="1653"/>
      <c r="W22" s="1654"/>
      <c r="X22" s="1593"/>
      <c r="Y22" s="3598"/>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598"/>
      <c r="Q23" s="1543" t="str">
        <f t="shared" ref="Q23:Q37" si="8">B23</f>
        <v>区域土地利用方向</v>
      </c>
      <c r="R23" s="1653" t="s">
        <v>25</v>
      </c>
      <c r="S23" s="1654">
        <f>F23</f>
        <v>100</v>
      </c>
      <c r="T23" s="1653" t="s">
        <v>25</v>
      </c>
      <c r="U23" s="1654">
        <f>H23</f>
        <v>100</v>
      </c>
      <c r="V23" s="1653" t="s">
        <v>25</v>
      </c>
      <c r="W23" s="1654">
        <f>J23</f>
        <v>100</v>
      </c>
      <c r="X23" s="1593"/>
      <c r="Y23" s="3598"/>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598"/>
      <c r="Q24" s="1543"/>
      <c r="R24" s="1653"/>
      <c r="S24" s="1654"/>
      <c r="T24" s="1653"/>
      <c r="U24" s="1654"/>
      <c r="V24" s="1653"/>
      <c r="W24" s="1654"/>
      <c r="X24" s="1593"/>
      <c r="Y24" s="3598"/>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598"/>
      <c r="Q25" s="1543" t="str">
        <f t="shared" si="8"/>
        <v>自然及人文环境状况</v>
      </c>
      <c r="R25" s="1653" t="s">
        <v>25</v>
      </c>
      <c r="S25" s="1654">
        <f>F25</f>
        <v>100</v>
      </c>
      <c r="T25" s="1653" t="s">
        <v>25</v>
      </c>
      <c r="U25" s="1654">
        <f>H25</f>
        <v>100</v>
      </c>
      <c r="V25" s="1653" t="s">
        <v>25</v>
      </c>
      <c r="W25" s="1654">
        <f>J25</f>
        <v>100</v>
      </c>
      <c r="X25" s="1593"/>
      <c r="Y25" s="3598"/>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598"/>
      <c r="Q26" s="1543"/>
      <c r="R26" s="1653"/>
      <c r="S26" s="1654"/>
      <c r="T26" s="1653"/>
      <c r="U26" s="1654"/>
      <c r="V26" s="1653"/>
      <c r="W26" s="1654"/>
      <c r="X26" s="1593"/>
      <c r="Y26" s="3598"/>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598"/>
      <c r="Q27" s="1562" t="str">
        <f t="shared" ref="Q27" si="9">B27</f>
        <v>公共配套设施</v>
      </c>
      <c r="R27" s="1608" t="s">
        <v>25</v>
      </c>
      <c r="S27" s="1609">
        <f>F27</f>
        <v>100</v>
      </c>
      <c r="T27" s="1608" t="s">
        <v>25</v>
      </c>
      <c r="U27" s="1609">
        <f>H27</f>
        <v>100</v>
      </c>
      <c r="V27" s="1608" t="s">
        <v>25</v>
      </c>
      <c r="W27" s="1609">
        <f>J27</f>
        <v>100</v>
      </c>
      <c r="X27" s="1593"/>
      <c r="Y27" s="3598"/>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598"/>
      <c r="Q28" s="1543"/>
      <c r="R28" s="1653"/>
      <c r="S28" s="1654"/>
      <c r="T28" s="1653"/>
      <c r="U28" s="1654"/>
      <c r="V28" s="1653"/>
      <c r="W28" s="1654"/>
      <c r="X28" s="1593"/>
      <c r="Y28" s="3598"/>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598"/>
      <c r="Q29" s="1562" t="str">
        <f t="shared" si="8"/>
        <v>基础设施水平</v>
      </c>
      <c r="R29" s="1608" t="s">
        <v>25</v>
      </c>
      <c r="S29" s="1609">
        <f>F29</f>
        <v>100</v>
      </c>
      <c r="T29" s="1608" t="s">
        <v>25</v>
      </c>
      <c r="U29" s="1609">
        <f>H29</f>
        <v>100</v>
      </c>
      <c r="V29" s="1608" t="s">
        <v>25</v>
      </c>
      <c r="W29" s="1609">
        <f>J29</f>
        <v>100</v>
      </c>
      <c r="X29" s="1610"/>
      <c r="Y29" s="3598"/>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598"/>
      <c r="Q30" s="1562"/>
      <c r="R30" s="1608"/>
      <c r="S30" s="1609"/>
      <c r="T30" s="1608"/>
      <c r="U30" s="1609"/>
      <c r="V30" s="1608"/>
      <c r="W30" s="1609"/>
      <c r="X30" s="1610"/>
      <c r="Y30" s="3598"/>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598"/>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8"/>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598"/>
      <c r="Q32" s="1543" t="str">
        <f t="shared" si="8"/>
        <v>毗邻道路的类型与等级</v>
      </c>
      <c r="R32" s="1653" t="s">
        <v>25</v>
      </c>
      <c r="S32" s="1654">
        <f t="shared" si="10"/>
        <v>100</v>
      </c>
      <c r="T32" s="1653" t="s">
        <v>25</v>
      </c>
      <c r="U32" s="1654">
        <f t="shared" si="11"/>
        <v>100</v>
      </c>
      <c r="V32" s="1653" t="s">
        <v>25</v>
      </c>
      <c r="W32" s="1654">
        <f t="shared" si="12"/>
        <v>100</v>
      </c>
      <c r="X32" s="1593"/>
      <c r="Y32" s="3598"/>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598"/>
      <c r="Q33" s="1543"/>
      <c r="R33" s="1653"/>
      <c r="S33" s="1654"/>
      <c r="T33" s="1653"/>
      <c r="U33" s="1654"/>
      <c r="V33" s="1653"/>
      <c r="W33" s="1654"/>
      <c r="X33" s="1593"/>
      <c r="Y33" s="3598"/>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598"/>
      <c r="Q34" s="1543" t="str">
        <f t="shared" si="8"/>
        <v>土地级别</v>
      </c>
      <c r="R34" s="1653" t="s">
        <v>25</v>
      </c>
      <c r="S34" s="1654">
        <f t="shared" si="10"/>
        <v>100</v>
      </c>
      <c r="T34" s="1653" t="s">
        <v>25</v>
      </c>
      <c r="U34" s="1654">
        <f t="shared" si="11"/>
        <v>100</v>
      </c>
      <c r="V34" s="1653" t="s">
        <v>25</v>
      </c>
      <c r="W34" s="1654">
        <f t="shared" si="12"/>
        <v>100</v>
      </c>
      <c r="X34" s="1593"/>
      <c r="Y34" s="3598"/>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598"/>
      <c r="Q35" s="1543">
        <f t="shared" si="8"/>
        <v>111</v>
      </c>
      <c r="R35" s="1653" t="s">
        <v>25</v>
      </c>
      <c r="S35" s="1654">
        <f t="shared" si="10"/>
        <v>100</v>
      </c>
      <c r="T35" s="1653" t="s">
        <v>25</v>
      </c>
      <c r="U35" s="1654">
        <f t="shared" si="11"/>
        <v>100</v>
      </c>
      <c r="V35" s="1653" t="s">
        <v>25</v>
      </c>
      <c r="W35" s="1654">
        <f t="shared" si="12"/>
        <v>100</v>
      </c>
      <c r="X35" s="1593"/>
      <c r="Y35" s="3598"/>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53" t="s">
        <v>2037</v>
      </c>
      <c r="Q36" s="1543">
        <f t="shared" si="8"/>
        <v>111</v>
      </c>
      <c r="R36" s="1653" t="s">
        <v>25</v>
      </c>
      <c r="S36" s="1654">
        <f t="shared" si="10"/>
        <v>100</v>
      </c>
      <c r="T36" s="1653" t="s">
        <v>25</v>
      </c>
      <c r="U36" s="1654">
        <f t="shared" si="11"/>
        <v>100</v>
      </c>
      <c r="V36" s="1653" t="s">
        <v>25</v>
      </c>
      <c r="W36" s="1654">
        <f t="shared" si="12"/>
        <v>100</v>
      </c>
      <c r="X36" s="1593"/>
      <c r="Y36" s="3584"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584"/>
      <c r="Q37" s="1543">
        <f t="shared" si="8"/>
        <v>111</v>
      </c>
      <c r="R37" s="1695" t="s">
        <v>25</v>
      </c>
      <c r="S37" s="1696">
        <f t="shared" si="10"/>
        <v>100</v>
      </c>
      <c r="T37" s="1695" t="s">
        <v>25</v>
      </c>
      <c r="U37" s="1696">
        <f t="shared" si="11"/>
        <v>100</v>
      </c>
      <c r="V37" s="1695" t="s">
        <v>25</v>
      </c>
      <c r="W37" s="1696">
        <f t="shared" si="12"/>
        <v>100</v>
      </c>
      <c r="X37" s="1697"/>
      <c r="Y37" s="3584"/>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584"/>
      <c r="Q38" s="1543" t="str">
        <f>B38</f>
        <v>宗地面积</v>
      </c>
      <c r="R38" s="1653" t="s">
        <v>25</v>
      </c>
      <c r="S38" s="1654" t="e">
        <f t="shared" si="10"/>
        <v>#N/A</v>
      </c>
      <c r="T38" s="1653" t="s">
        <v>25</v>
      </c>
      <c r="U38" s="1654" t="e">
        <f t="shared" si="11"/>
        <v>#N/A</v>
      </c>
      <c r="V38" s="1653" t="s">
        <v>25</v>
      </c>
      <c r="W38" s="1654" t="e">
        <f t="shared" si="12"/>
        <v>#N/A</v>
      </c>
      <c r="X38" s="1593"/>
      <c r="Y38" s="3584"/>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584"/>
      <c r="Q39" s="1543" t="str">
        <f t="shared" ref="Q39:Q45" si="14">B39</f>
        <v>宗地形状</v>
      </c>
      <c r="R39" s="1653" t="s">
        <v>25</v>
      </c>
      <c r="S39" s="1654">
        <f t="shared" si="10"/>
        <v>100</v>
      </c>
      <c r="T39" s="1653" t="s">
        <v>25</v>
      </c>
      <c r="U39" s="1654">
        <f t="shared" si="11"/>
        <v>100</v>
      </c>
      <c r="V39" s="1653" t="s">
        <v>25</v>
      </c>
      <c r="W39" s="1654">
        <f t="shared" si="12"/>
        <v>100</v>
      </c>
      <c r="X39" s="1593"/>
      <c r="Y39" s="3584"/>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584"/>
      <c r="Q40" s="1543" t="str">
        <f t="shared" si="14"/>
        <v>临街宽度及深度</v>
      </c>
      <c r="R40" s="1653" t="s">
        <v>25</v>
      </c>
      <c r="S40" s="1654">
        <f t="shared" si="10"/>
        <v>100</v>
      </c>
      <c r="T40" s="1653" t="s">
        <v>25</v>
      </c>
      <c r="U40" s="1654">
        <f t="shared" si="11"/>
        <v>100</v>
      </c>
      <c r="V40" s="1653" t="s">
        <v>25</v>
      </c>
      <c r="W40" s="1654">
        <f t="shared" si="12"/>
        <v>100</v>
      </c>
      <c r="X40" s="1593"/>
      <c r="Y40" s="3584"/>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584"/>
      <c r="Q41" s="1543" t="str">
        <f t="shared" si="14"/>
        <v>宗地开发程度</v>
      </c>
      <c r="R41" s="1608" t="s">
        <v>25</v>
      </c>
      <c r="S41" s="1609">
        <f t="shared" si="10"/>
        <v>100</v>
      </c>
      <c r="T41" s="1608" t="s">
        <v>25</v>
      </c>
      <c r="U41" s="1609">
        <f t="shared" si="11"/>
        <v>100</v>
      </c>
      <c r="V41" s="1608" t="s">
        <v>25</v>
      </c>
      <c r="W41" s="1609">
        <f t="shared" si="12"/>
        <v>100</v>
      </c>
      <c r="X41" s="1610"/>
      <c r="Y41" s="3584"/>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584" t="s">
        <v>2037</v>
      </c>
      <c r="Q42" s="1543" t="str">
        <f t="shared" si="14"/>
        <v>工程地质条件</v>
      </c>
      <c r="R42" s="1653" t="s">
        <v>25</v>
      </c>
      <c r="S42" s="1654">
        <f t="shared" si="10"/>
        <v>100</v>
      </c>
      <c r="T42" s="1653" t="s">
        <v>25</v>
      </c>
      <c r="U42" s="1654">
        <f t="shared" si="11"/>
        <v>100</v>
      </c>
      <c r="V42" s="1653" t="s">
        <v>25</v>
      </c>
      <c r="W42" s="1654">
        <f t="shared" si="12"/>
        <v>100</v>
      </c>
      <c r="X42" s="1593"/>
      <c r="Y42" s="3584"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584"/>
      <c r="Q43" s="1543">
        <f t="shared" si="14"/>
        <v>111</v>
      </c>
      <c r="R43" s="1653" t="s">
        <v>25</v>
      </c>
      <c r="S43" s="1654">
        <f t="shared" si="10"/>
        <v>100</v>
      </c>
      <c r="T43" s="1653" t="s">
        <v>25</v>
      </c>
      <c r="U43" s="1654">
        <f t="shared" si="11"/>
        <v>100</v>
      </c>
      <c r="V43" s="1653" t="s">
        <v>25</v>
      </c>
      <c r="W43" s="1654">
        <f t="shared" si="12"/>
        <v>100</v>
      </c>
      <c r="X43" s="1593"/>
      <c r="Y43" s="358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584"/>
      <c r="Q44" s="1543">
        <f t="shared" si="14"/>
        <v>111</v>
      </c>
      <c r="R44" s="1653" t="s">
        <v>25</v>
      </c>
      <c r="S44" s="1654">
        <f t="shared" si="10"/>
        <v>100</v>
      </c>
      <c r="T44" s="1653" t="s">
        <v>25</v>
      </c>
      <c r="U44" s="1654">
        <f t="shared" si="11"/>
        <v>100</v>
      </c>
      <c r="V44" s="1653" t="s">
        <v>25</v>
      </c>
      <c r="W44" s="1654">
        <f t="shared" si="12"/>
        <v>100</v>
      </c>
      <c r="X44" s="1593"/>
      <c r="Y44" s="3584"/>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584"/>
      <c r="Q45" s="1543">
        <f t="shared" si="14"/>
        <v>111</v>
      </c>
      <c r="R45" s="1695" t="s">
        <v>25</v>
      </c>
      <c r="S45" s="1696">
        <f t="shared" si="10"/>
        <v>100</v>
      </c>
      <c r="T45" s="1695" t="s">
        <v>25</v>
      </c>
      <c r="U45" s="1696">
        <f t="shared" si="11"/>
        <v>100</v>
      </c>
      <c r="V45" s="1695" t="s">
        <v>25</v>
      </c>
      <c r="W45" s="1696">
        <f t="shared" si="12"/>
        <v>100</v>
      </c>
      <c r="X45" s="1697"/>
      <c r="Y45" s="3584"/>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576" t="str">
        <f>A46</f>
        <v>成交单价</v>
      </c>
      <c r="Q46" s="3576"/>
      <c r="R46" s="3612">
        <f>E46</f>
        <v>0</v>
      </c>
      <c r="S46" s="3612"/>
      <c r="T46" s="3612">
        <f>G46</f>
        <v>0</v>
      </c>
      <c r="U46" s="3612"/>
      <c r="V46" s="3612">
        <f>I46</f>
        <v>0</v>
      </c>
      <c r="W46" s="3612"/>
      <c r="X46" s="1719"/>
      <c r="Y46" s="1720"/>
      <c r="Z46" s="1719"/>
      <c r="AA46" s="1719"/>
      <c r="AB46" s="1719"/>
      <c r="AC46" s="1719"/>
    </row>
    <row r="47" spans="1:29" ht="15.75" thickBot="1">
      <c r="A47" s="1721" t="s">
        <v>2132</v>
      </c>
      <c r="B47" s="1942"/>
      <c r="C47" s="1943" t="e">
        <f>R48</f>
        <v>#DIV/0!</v>
      </c>
      <c r="D47" s="1724" t="s">
        <v>2502</v>
      </c>
      <c r="E47" s="1943" t="e">
        <f>R47</f>
        <v>#DIV/0!</v>
      </c>
      <c r="F47" s="1726"/>
      <c r="G47" s="1944" t="e">
        <f>T47</f>
        <v>#DIV/0!</v>
      </c>
      <c r="H47" s="1726"/>
      <c r="I47" s="1943" t="e">
        <f>V47</f>
        <v>#DIV/0!</v>
      </c>
      <c r="J47" s="1726"/>
      <c r="K47" s="2428">
        <f>F47+H47+J47</f>
        <v>0</v>
      </c>
      <c r="L47" s="2920"/>
      <c r="P47" s="3576" t="str">
        <f>A47</f>
        <v>比较价值（元/平方米）</v>
      </c>
      <c r="Q47" s="3576"/>
      <c r="R47" s="3696" t="e">
        <f>ROUND(PRODUCT(R46,AA7:AA45),0)</f>
        <v>#DIV/0!</v>
      </c>
      <c r="S47" s="3696"/>
      <c r="T47" s="3696" t="e">
        <f>ROUND(PRODUCT(T46,AB7:AB45),0)</f>
        <v>#DIV/0!</v>
      </c>
      <c r="U47" s="3696"/>
      <c r="V47" s="3696" t="e">
        <f>ROUND(PRODUCT(V46,AC7:AC45),0)</f>
        <v>#DIV/0!</v>
      </c>
      <c r="W47" s="3696"/>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578" t="str">
        <f>A48</f>
        <v>估价对象XX用房的比较价值（楼面单价，元/平方米）</v>
      </c>
      <c r="Q48" s="3579"/>
      <c r="R48" s="3697" t="e">
        <f>ROUND(IF(D47="简单平均",AVERAGE(R47:W47),R47*F47+T47*H47+V47*J47),0)</f>
        <v>#DIV/0!</v>
      </c>
      <c r="S48" s="3697"/>
      <c r="T48" s="3697"/>
      <c r="U48" s="3697"/>
      <c r="V48" s="3697"/>
      <c r="W48" s="3697"/>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顺义区裕丰路16号院42号楼1层102</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2022-9-1</v>
      </c>
      <c r="D67" s="1968">
        <f>EDATE(C67,-3)</f>
        <v>44713</v>
      </c>
      <c r="E67" s="1968">
        <f t="shared" ref="E67:O67" si="18">EDATE(D67,-3)</f>
        <v>44621</v>
      </c>
      <c r="F67" s="1968">
        <f t="shared" si="18"/>
        <v>44531</v>
      </c>
      <c r="G67" s="1968">
        <f t="shared" si="18"/>
        <v>44440</v>
      </c>
      <c r="H67" s="1968">
        <f t="shared" si="18"/>
        <v>44348</v>
      </c>
      <c r="I67" s="1968">
        <f t="shared" si="18"/>
        <v>44256</v>
      </c>
      <c r="J67" s="1968">
        <f t="shared" si="18"/>
        <v>44166</v>
      </c>
      <c r="K67" s="1968">
        <f t="shared" si="18"/>
        <v>44075</v>
      </c>
      <c r="L67" s="1968">
        <f t="shared" si="18"/>
        <v>43983</v>
      </c>
      <c r="M67" s="1968">
        <f t="shared" si="18"/>
        <v>43891</v>
      </c>
      <c r="N67" s="1968">
        <f t="shared" si="18"/>
        <v>43800</v>
      </c>
      <c r="O67" s="1968">
        <f t="shared" si="18"/>
        <v>43709</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2236</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60" sqref="G6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77" t="s">
        <v>2007</v>
      </c>
      <c r="D4" s="3678"/>
      <c r="E4" s="3679" t="s">
        <v>2008</v>
      </c>
      <c r="F4" s="3680"/>
      <c r="G4" s="3677" t="s">
        <v>2009</v>
      </c>
      <c r="H4" s="3678"/>
      <c r="I4" s="3677" t="s">
        <v>2010</v>
      </c>
      <c r="J4" s="3678"/>
      <c r="K4" s="496" t="s">
        <v>2011</v>
      </c>
      <c r="L4" s="2942"/>
      <c r="M4" s="2943"/>
      <c r="N4" s="2943"/>
      <c r="O4" s="2943"/>
      <c r="P4" s="3681" t="s">
        <v>2012</v>
      </c>
      <c r="Q4" s="3682"/>
      <c r="R4" s="3664" t="s">
        <v>2008</v>
      </c>
      <c r="S4" s="3665"/>
      <c r="T4" s="3664" t="s">
        <v>2009</v>
      </c>
      <c r="U4" s="3665"/>
      <c r="V4" s="3687" t="s">
        <v>2010</v>
      </c>
      <c r="W4" s="3687"/>
      <c r="X4" s="1263"/>
      <c r="Y4" s="3664" t="s">
        <v>2012</v>
      </c>
      <c r="Z4" s="3665"/>
      <c r="AA4" s="3674" t="s">
        <v>2008</v>
      </c>
      <c r="AB4" s="3675" t="s">
        <v>2009</v>
      </c>
      <c r="AC4" s="3674" t="s">
        <v>2010</v>
      </c>
    </row>
    <row r="5" spans="1:29" ht="15">
      <c r="A5" s="297"/>
      <c r="B5" s="298"/>
      <c r="C5" s="3690" t="s">
        <v>2013</v>
      </c>
      <c r="D5" s="3691"/>
      <c r="E5" s="3688" t="s">
        <v>2014</v>
      </c>
      <c r="F5" s="3689"/>
      <c r="G5" s="3690" t="s">
        <v>2015</v>
      </c>
      <c r="H5" s="3691"/>
      <c r="I5" s="3690" t="s">
        <v>2016</v>
      </c>
      <c r="J5" s="3691"/>
      <c r="K5" s="496"/>
      <c r="L5" s="2942"/>
      <c r="M5" s="2943"/>
      <c r="N5" s="2943"/>
      <c r="O5" s="2943"/>
      <c r="P5" s="3683"/>
      <c r="Q5" s="3684"/>
      <c r="R5" s="3666"/>
      <c r="S5" s="3667"/>
      <c r="T5" s="3666"/>
      <c r="U5" s="3667"/>
      <c r="V5" s="3687"/>
      <c r="W5" s="3687"/>
      <c r="X5" s="1263"/>
      <c r="Y5" s="3666"/>
      <c r="Z5" s="3667"/>
      <c r="AA5" s="3675"/>
      <c r="AB5" s="3675"/>
      <c r="AC5" s="3675"/>
    </row>
    <row r="6" spans="1:29" ht="15.75" thickBot="1">
      <c r="A6" s="299"/>
      <c r="B6" s="300"/>
      <c r="C6" s="3692" t="s">
        <v>2017</v>
      </c>
      <c r="D6" s="3693"/>
      <c r="E6" s="3694" t="s">
        <v>2017</v>
      </c>
      <c r="F6" s="3695"/>
      <c r="G6" s="3692" t="s">
        <v>2017</v>
      </c>
      <c r="H6" s="3693"/>
      <c r="I6" s="3692" t="s">
        <v>2017</v>
      </c>
      <c r="J6" s="3693"/>
      <c r="K6" s="496" t="s">
        <v>2018</v>
      </c>
      <c r="L6" s="2942"/>
      <c r="M6" s="2943"/>
      <c r="N6" s="2943"/>
      <c r="O6" s="2943"/>
      <c r="P6" s="3685"/>
      <c r="Q6" s="3686"/>
      <c r="R6" s="3666"/>
      <c r="S6" s="3667"/>
      <c r="T6" s="3668"/>
      <c r="U6" s="3669"/>
      <c r="V6" s="3687"/>
      <c r="W6" s="3687"/>
      <c r="X6" s="1263"/>
      <c r="Y6" s="3668"/>
      <c r="Z6" s="3669"/>
      <c r="AA6" s="3676"/>
      <c r="AB6" s="3676"/>
      <c r="AC6" s="3676"/>
    </row>
    <row r="7" spans="1:29" s="25" customFormat="1" ht="15.75" thickBot="1">
      <c r="A7" s="301" t="s">
        <v>2019</v>
      </c>
      <c r="B7" s="302"/>
      <c r="C7" s="303">
        <f>'数据-取费表'!B2</f>
        <v>44806</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62" t="s">
        <v>2020</v>
      </c>
      <c r="Q7" s="3670"/>
      <c r="R7" s="627" t="s">
        <v>25</v>
      </c>
      <c r="S7" s="628">
        <f t="shared" ref="S7:S15" si="0">F7</f>
        <v>0</v>
      </c>
      <c r="T7" s="627" t="s">
        <v>25</v>
      </c>
      <c r="U7" s="628">
        <f t="shared" ref="U7:U15" si="1">H7</f>
        <v>0</v>
      </c>
      <c r="V7" s="627" t="s">
        <v>25</v>
      </c>
      <c r="W7" s="628">
        <f t="shared" ref="W7:W15" si="2">J7</f>
        <v>0</v>
      </c>
      <c r="X7" s="629"/>
      <c r="Y7" s="3662" t="s">
        <v>2020</v>
      </c>
      <c r="Z7" s="366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62" t="s">
        <v>2023</v>
      </c>
      <c r="Q8" s="3663"/>
      <c r="R8" s="627" t="s">
        <v>25</v>
      </c>
      <c r="S8" s="628">
        <f t="shared" si="0"/>
        <v>0</v>
      </c>
      <c r="T8" s="627" t="s">
        <v>25</v>
      </c>
      <c r="U8" s="628">
        <f t="shared" si="1"/>
        <v>0</v>
      </c>
      <c r="V8" s="627" t="s">
        <v>25</v>
      </c>
      <c r="W8" s="628">
        <f t="shared" si="2"/>
        <v>0</v>
      </c>
      <c r="X8" s="629"/>
      <c r="Y8" s="3662" t="s">
        <v>2023</v>
      </c>
      <c r="Z8" s="3663"/>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54" t="s">
        <v>2026</v>
      </c>
      <c r="Q9" s="1255" t="str">
        <f t="shared" ref="Q9:Q15" si="6">B9</f>
        <v>用途</v>
      </c>
      <c r="R9" s="627" t="s">
        <v>25</v>
      </c>
      <c r="S9" s="628">
        <f t="shared" si="0"/>
        <v>100</v>
      </c>
      <c r="T9" s="627" t="s">
        <v>25</v>
      </c>
      <c r="U9" s="628">
        <f t="shared" si="1"/>
        <v>100</v>
      </c>
      <c r="V9" s="627" t="s">
        <v>25</v>
      </c>
      <c r="W9" s="628">
        <f t="shared" si="2"/>
        <v>100</v>
      </c>
      <c r="X9" s="629"/>
      <c r="Y9" s="3673"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115</v>
      </c>
      <c r="G10" s="322"/>
      <c r="H10" s="29">
        <f>ROUND(100/'数据-取费表'!B14,0)</f>
        <v>115</v>
      </c>
      <c r="I10" s="322"/>
      <c r="J10" s="29">
        <f>ROUND(100/'数据-取费表'!B14,0)</f>
        <v>115</v>
      </c>
      <c r="K10" s="553"/>
      <c r="L10" s="2947"/>
      <c r="M10" s="2948"/>
      <c r="N10" s="2948"/>
      <c r="O10" s="2949"/>
      <c r="P10" s="3654"/>
      <c r="Q10" s="1255" t="str">
        <f t="shared" si="6"/>
        <v>土地使用年限（年）</v>
      </c>
      <c r="R10" s="627" t="s">
        <v>25</v>
      </c>
      <c r="S10" s="628">
        <f t="shared" si="0"/>
        <v>115</v>
      </c>
      <c r="T10" s="627" t="s">
        <v>25</v>
      </c>
      <c r="U10" s="628">
        <f t="shared" si="1"/>
        <v>115</v>
      </c>
      <c r="V10" s="627" t="s">
        <v>25</v>
      </c>
      <c r="W10" s="628">
        <f t="shared" si="2"/>
        <v>115</v>
      </c>
      <c r="X10" s="629"/>
      <c r="Y10" s="3673"/>
      <c r="Z10" s="19" t="str">
        <f t="shared" si="7"/>
        <v>土地使用年限（年）</v>
      </c>
      <c r="AA10" s="630">
        <f t="shared" si="3"/>
        <v>0.86956521739130432</v>
      </c>
      <c r="AB10" s="630">
        <f t="shared" si="4"/>
        <v>0.86956521739130432</v>
      </c>
      <c r="AC10" s="630">
        <f t="shared" si="5"/>
        <v>0.86956521739130432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54"/>
      <c r="Q11" s="1255" t="str">
        <f t="shared" si="6"/>
        <v>容积率</v>
      </c>
      <c r="R11" s="627" t="s">
        <v>25</v>
      </c>
      <c r="S11" s="628" t="e">
        <f t="shared" si="0"/>
        <v>#N/A</v>
      </c>
      <c r="T11" s="627" t="s">
        <v>25</v>
      </c>
      <c r="U11" s="628" t="e">
        <f t="shared" si="1"/>
        <v>#N/A</v>
      </c>
      <c r="V11" s="627" t="s">
        <v>25</v>
      </c>
      <c r="W11" s="628" t="e">
        <f t="shared" si="2"/>
        <v>#N/A</v>
      </c>
      <c r="X11" s="629"/>
      <c r="Y11" s="3673"/>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54"/>
      <c r="Q12" s="125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54"/>
      <c r="Q13" s="125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54"/>
      <c r="Q14" s="1255">
        <f t="shared" si="6"/>
        <v>111</v>
      </c>
      <c r="R14" s="627" t="s">
        <v>25</v>
      </c>
      <c r="S14" s="628">
        <f t="shared" si="0"/>
        <v>100</v>
      </c>
      <c r="T14" s="627" t="s">
        <v>25</v>
      </c>
      <c r="U14" s="628">
        <f t="shared" si="1"/>
        <v>100</v>
      </c>
      <c r="V14" s="627" t="s">
        <v>25</v>
      </c>
      <c r="W14" s="628">
        <f t="shared" si="2"/>
        <v>100</v>
      </c>
      <c r="X14" s="629"/>
      <c r="Y14" s="3673"/>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1" t="s">
        <v>2031</v>
      </c>
      <c r="Q15" s="1262" t="str">
        <f t="shared" si="6"/>
        <v>产业集聚程度</v>
      </c>
      <c r="R15" s="631" t="s">
        <v>25</v>
      </c>
      <c r="S15" s="632">
        <f t="shared" si="0"/>
        <v>100</v>
      </c>
      <c r="T15" s="631" t="s">
        <v>25</v>
      </c>
      <c r="U15" s="632">
        <f t="shared" si="1"/>
        <v>100</v>
      </c>
      <c r="V15" s="631" t="s">
        <v>25</v>
      </c>
      <c r="W15" s="632">
        <f t="shared" si="2"/>
        <v>100</v>
      </c>
      <c r="X15" s="1263"/>
      <c r="Y15" s="3671"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72"/>
      <c r="Q16" s="1262"/>
      <c r="R16" s="631"/>
      <c r="S16" s="632"/>
      <c r="T16" s="631"/>
      <c r="U16" s="632"/>
      <c r="V16" s="631"/>
      <c r="W16" s="632"/>
      <c r="X16" s="1263"/>
      <c r="Y16" s="3672"/>
      <c r="Z16" s="1264"/>
      <c r="AA16" s="1265">
        <v>1</v>
      </c>
      <c r="AB16" s="1265">
        <v>1</v>
      </c>
      <c r="AC16" s="1265">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2"/>
      <c r="Q17" s="1262" t="str">
        <f>B17</f>
        <v>交通便捷度</v>
      </c>
      <c r="R17" s="631" t="s">
        <v>25</v>
      </c>
      <c r="S17" s="632">
        <f>F17</f>
        <v>100</v>
      </c>
      <c r="T17" s="631" t="s">
        <v>25</v>
      </c>
      <c r="U17" s="632">
        <f>H17</f>
        <v>100</v>
      </c>
      <c r="V17" s="631" t="s">
        <v>25</v>
      </c>
      <c r="W17" s="632">
        <f>J17</f>
        <v>100</v>
      </c>
      <c r="X17" s="1263"/>
      <c r="Y17" s="3672"/>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3"/>
      <c r="J18" s="336"/>
      <c r="K18" s="553"/>
      <c r="L18" s="2952"/>
      <c r="M18" s="2943"/>
      <c r="N18" s="2943"/>
      <c r="O18" s="2951"/>
      <c r="P18" s="3672"/>
      <c r="Q18" s="1262"/>
      <c r="R18" s="631"/>
      <c r="S18" s="632"/>
      <c r="T18" s="631"/>
      <c r="U18" s="632"/>
      <c r="V18" s="631"/>
      <c r="W18" s="632"/>
      <c r="X18" s="1263"/>
      <c r="Y18" s="3672"/>
      <c r="Z18" s="1264"/>
      <c r="AA18" s="1265">
        <v>1</v>
      </c>
      <c r="AB18" s="1265">
        <v>1</v>
      </c>
      <c r="AC18" s="1265">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2"/>
      <c r="Q19" s="1262" t="str">
        <f t="shared" ref="Q19:Q33" si="8">B19</f>
        <v>区域土地利用方向</v>
      </c>
      <c r="R19" s="631" t="s">
        <v>25</v>
      </c>
      <c r="S19" s="632">
        <f>F19</f>
        <v>100</v>
      </c>
      <c r="T19" s="631" t="s">
        <v>25</v>
      </c>
      <c r="U19" s="632">
        <f>H19</f>
        <v>100</v>
      </c>
      <c r="V19" s="631" t="s">
        <v>25</v>
      </c>
      <c r="W19" s="632">
        <f>J19</f>
        <v>100</v>
      </c>
      <c r="X19" s="1263"/>
      <c r="Y19" s="3672"/>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72"/>
      <c r="Q20" s="1262"/>
      <c r="R20" s="631"/>
      <c r="S20" s="632"/>
      <c r="T20" s="631"/>
      <c r="U20" s="632"/>
      <c r="V20" s="631"/>
      <c r="W20" s="632"/>
      <c r="X20" s="1263"/>
      <c r="Y20" s="3672"/>
      <c r="Z20" s="1264"/>
      <c r="AA20" s="1265"/>
      <c r="AB20" s="1265"/>
      <c r="AC20" s="1265"/>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2"/>
      <c r="Q21" s="1262" t="str">
        <f t="shared" si="8"/>
        <v>环境状况</v>
      </c>
      <c r="R21" s="631" t="s">
        <v>25</v>
      </c>
      <c r="S21" s="632">
        <f>F21</f>
        <v>100</v>
      </c>
      <c r="T21" s="631" t="s">
        <v>25</v>
      </c>
      <c r="U21" s="632">
        <f>H21</f>
        <v>100</v>
      </c>
      <c r="V21" s="631" t="s">
        <v>25</v>
      </c>
      <c r="W21" s="632">
        <f>J21</f>
        <v>100</v>
      </c>
      <c r="X21" s="1263"/>
      <c r="Y21" s="3672"/>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72"/>
      <c r="Q22" s="1262"/>
      <c r="R22" s="631"/>
      <c r="S22" s="632"/>
      <c r="T22" s="631"/>
      <c r="U22" s="632"/>
      <c r="V22" s="631"/>
      <c r="W22" s="632"/>
      <c r="X22" s="1263"/>
      <c r="Y22" s="3672"/>
      <c r="Z22" s="1264"/>
      <c r="AA22" s="1265">
        <v>1</v>
      </c>
      <c r="AB22" s="1265">
        <v>1</v>
      </c>
      <c r="AC22" s="1265">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2"/>
      <c r="Q23" s="1255" t="str">
        <f t="shared" si="8"/>
        <v>公共配套设施</v>
      </c>
      <c r="R23" s="627" t="s">
        <v>25</v>
      </c>
      <c r="S23" s="628">
        <f>F23</f>
        <v>100</v>
      </c>
      <c r="T23" s="627" t="s">
        <v>25</v>
      </c>
      <c r="U23" s="628">
        <f>H23</f>
        <v>100</v>
      </c>
      <c r="V23" s="627" t="s">
        <v>25</v>
      </c>
      <c r="W23" s="628">
        <f>J23</f>
        <v>100</v>
      </c>
      <c r="X23" s="629"/>
      <c r="Y23" s="3672"/>
      <c r="Z23" s="19" t="str">
        <f>Q23</f>
        <v>公共配套设施</v>
      </c>
      <c r="AA23" s="1265">
        <f>D23/F23</f>
        <v>1</v>
      </c>
      <c r="AB23" s="1265">
        <f>D23/H23</f>
        <v>1</v>
      </c>
      <c r="AC23" s="1265">
        <f>D23/J23</f>
        <v>1</v>
      </c>
    </row>
    <row r="24" spans="1:29" s="25" customFormat="1" ht="15">
      <c r="A24" s="531"/>
      <c r="B24" s="514"/>
      <c r="C24" s="1523"/>
      <c r="D24" s="336"/>
      <c r="E24" s="1064"/>
      <c r="F24" s="336"/>
      <c r="G24" s="1064"/>
      <c r="H24" s="336"/>
      <c r="I24" s="335"/>
      <c r="J24" s="336"/>
      <c r="K24" s="553"/>
      <c r="L24" s="2944"/>
      <c r="M24" s="2945"/>
      <c r="N24" s="2945"/>
      <c r="O24" s="2946"/>
      <c r="P24" s="3672"/>
      <c r="Q24" s="1255"/>
      <c r="R24" s="627"/>
      <c r="S24" s="628"/>
      <c r="T24" s="627"/>
      <c r="U24" s="628"/>
      <c r="V24" s="627"/>
      <c r="W24" s="628"/>
      <c r="X24" s="629"/>
      <c r="Y24" s="3672"/>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2"/>
      <c r="Q25" s="1255" t="str">
        <f t="shared" ref="Q25" si="9">B25</f>
        <v>基础设施水平</v>
      </c>
      <c r="R25" s="627" t="s">
        <v>25</v>
      </c>
      <c r="S25" s="628">
        <f>F25</f>
        <v>100</v>
      </c>
      <c r="T25" s="627" t="s">
        <v>25</v>
      </c>
      <c r="U25" s="628">
        <f>H25</f>
        <v>100</v>
      </c>
      <c r="V25" s="627" t="s">
        <v>25</v>
      </c>
      <c r="W25" s="628">
        <f>J25</f>
        <v>100</v>
      </c>
      <c r="X25" s="629"/>
      <c r="Y25" s="3672"/>
      <c r="Z25" s="19" t="str">
        <f>Q25</f>
        <v>基础设施水平</v>
      </c>
      <c r="AA25" s="1265">
        <f>D25/F25</f>
        <v>1</v>
      </c>
      <c r="AB25" s="1265">
        <f>D25/H25</f>
        <v>1</v>
      </c>
      <c r="AC25" s="1265">
        <f>D25/J25</f>
        <v>1</v>
      </c>
    </row>
    <row r="26" spans="1:29" s="25" customFormat="1" ht="15">
      <c r="A26" s="531"/>
      <c r="B26" s="514"/>
      <c r="C26" s="1523"/>
      <c r="D26" s="336"/>
      <c r="E26" s="1514"/>
      <c r="F26" s="336"/>
      <c r="G26" s="1514"/>
      <c r="H26" s="336"/>
      <c r="I26" s="1514"/>
      <c r="J26" s="336"/>
      <c r="K26" s="553"/>
      <c r="L26" s="2944"/>
      <c r="M26" s="2945"/>
      <c r="N26" s="2945"/>
      <c r="O26" s="2946"/>
      <c r="P26" s="3672"/>
      <c r="Q26" s="1255"/>
      <c r="R26" s="627"/>
      <c r="S26" s="628"/>
      <c r="T26" s="627"/>
      <c r="U26" s="628"/>
      <c r="V26" s="627"/>
      <c r="W26" s="628"/>
      <c r="X26" s="629"/>
      <c r="Y26" s="3672"/>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2"/>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2"/>
      <c r="Z27" s="1264" t="str">
        <f t="shared" ref="Z27:Z40" si="13">Q27</f>
        <v>临街状况</v>
      </c>
      <c r="AA27" s="1265">
        <f t="shared" si="3"/>
        <v>1</v>
      </c>
      <c r="AB27" s="1265">
        <f t="shared" si="4"/>
        <v>1</v>
      </c>
      <c r="AC27" s="1265">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2"/>
      <c r="Q28" s="1262" t="str">
        <f t="shared" si="8"/>
        <v>毗邻道路的类型与等级</v>
      </c>
      <c r="R28" s="631" t="s">
        <v>25</v>
      </c>
      <c r="S28" s="632">
        <f t="shared" si="10"/>
        <v>100</v>
      </c>
      <c r="T28" s="631" t="s">
        <v>25</v>
      </c>
      <c r="U28" s="632">
        <f t="shared" si="11"/>
        <v>100</v>
      </c>
      <c r="V28" s="631" t="s">
        <v>25</v>
      </c>
      <c r="W28" s="632">
        <f t="shared" si="12"/>
        <v>100</v>
      </c>
      <c r="X28" s="1263"/>
      <c r="Y28" s="3672"/>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72"/>
      <c r="Q29" s="1262"/>
      <c r="R29" s="631"/>
      <c r="S29" s="632"/>
      <c r="T29" s="631"/>
      <c r="U29" s="632"/>
      <c r="V29" s="631"/>
      <c r="W29" s="632"/>
      <c r="X29" s="1263"/>
      <c r="Y29" s="3672"/>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2"/>
      <c r="Q30" s="1262" t="str">
        <f t="shared" si="8"/>
        <v>土地级别</v>
      </c>
      <c r="R30" s="631" t="s">
        <v>25</v>
      </c>
      <c r="S30" s="632">
        <f t="shared" si="10"/>
        <v>100</v>
      </c>
      <c r="T30" s="631" t="s">
        <v>25</v>
      </c>
      <c r="U30" s="632">
        <f t="shared" si="11"/>
        <v>100</v>
      </c>
      <c r="V30" s="631" t="s">
        <v>25</v>
      </c>
      <c r="W30" s="632">
        <f t="shared" si="12"/>
        <v>100</v>
      </c>
      <c r="X30" s="1263"/>
      <c r="Y30" s="3672"/>
      <c r="Z30" s="1264" t="str">
        <f t="shared" si="13"/>
        <v>土地级别</v>
      </c>
      <c r="AA30" s="1265">
        <f t="shared" si="3"/>
        <v>1</v>
      </c>
      <c r="AB30" s="1265">
        <f t="shared" si="4"/>
        <v>1</v>
      </c>
      <c r="AC30" s="1265">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2"/>
      <c r="Q31" s="1262">
        <f t="shared" si="8"/>
        <v>111</v>
      </c>
      <c r="R31" s="631" t="s">
        <v>25</v>
      </c>
      <c r="S31" s="632">
        <f t="shared" si="10"/>
        <v>100</v>
      </c>
      <c r="T31" s="631" t="s">
        <v>25</v>
      </c>
      <c r="U31" s="632">
        <f t="shared" si="11"/>
        <v>100</v>
      </c>
      <c r="V31" s="631" t="s">
        <v>25</v>
      </c>
      <c r="W31" s="632">
        <f t="shared" si="12"/>
        <v>100</v>
      </c>
      <c r="X31" s="1263"/>
      <c r="Y31" s="3672"/>
      <c r="Z31" s="1264">
        <f t="shared" si="13"/>
        <v>111</v>
      </c>
      <c r="AA31" s="1265">
        <f t="shared" si="3"/>
        <v>1</v>
      </c>
      <c r="AB31" s="1265">
        <f t="shared" si="4"/>
        <v>1</v>
      </c>
      <c r="AC31" s="1265">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59" t="s">
        <v>2037</v>
      </c>
      <c r="Q32" s="1262">
        <f t="shared" si="8"/>
        <v>111</v>
      </c>
      <c r="R32" s="631" t="s">
        <v>25</v>
      </c>
      <c r="S32" s="632">
        <f t="shared" si="10"/>
        <v>100</v>
      </c>
      <c r="T32" s="631" t="s">
        <v>25</v>
      </c>
      <c r="U32" s="632">
        <f t="shared" si="11"/>
        <v>100</v>
      </c>
      <c r="V32" s="631" t="s">
        <v>25</v>
      </c>
      <c r="W32" s="632">
        <f t="shared" si="12"/>
        <v>100</v>
      </c>
      <c r="X32" s="1263"/>
      <c r="Y32" s="3660" t="s">
        <v>2037</v>
      </c>
      <c r="Z32" s="1264">
        <f t="shared" si="13"/>
        <v>111</v>
      </c>
      <c r="AA32" s="1265">
        <f t="shared" si="3"/>
        <v>1</v>
      </c>
      <c r="AB32" s="1265">
        <f t="shared" si="4"/>
        <v>1</v>
      </c>
      <c r="AC32" s="1265">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0"/>
      <c r="Q33" s="1262">
        <f t="shared" si="8"/>
        <v>111</v>
      </c>
      <c r="R33" s="634" t="s">
        <v>25</v>
      </c>
      <c r="S33" s="635">
        <f t="shared" si="10"/>
        <v>100</v>
      </c>
      <c r="T33" s="634" t="s">
        <v>25</v>
      </c>
      <c r="U33" s="635">
        <f t="shared" si="11"/>
        <v>100</v>
      </c>
      <c r="V33" s="634" t="s">
        <v>25</v>
      </c>
      <c r="W33" s="635">
        <f t="shared" si="12"/>
        <v>100</v>
      </c>
      <c r="X33" s="636"/>
      <c r="Y33" s="3660"/>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0"/>
      <c r="Q34" s="1262" t="str">
        <f>B34</f>
        <v>宗地面积</v>
      </c>
      <c r="R34" s="631" t="s">
        <v>25</v>
      </c>
      <c r="S34" s="632" t="e">
        <f t="shared" si="10"/>
        <v>#N/A</v>
      </c>
      <c r="T34" s="631" t="s">
        <v>25</v>
      </c>
      <c r="U34" s="632" t="e">
        <f t="shared" si="11"/>
        <v>#N/A</v>
      </c>
      <c r="V34" s="631" t="s">
        <v>25</v>
      </c>
      <c r="W34" s="632" t="e">
        <f t="shared" si="12"/>
        <v>#N/A</v>
      </c>
      <c r="X34" s="1263"/>
      <c r="Y34" s="3660"/>
      <c r="Z34" s="1264" t="str">
        <f t="shared" si="13"/>
        <v>宗地面积</v>
      </c>
      <c r="AA34" s="1265" t="e">
        <f t="shared" si="3"/>
        <v>#N/A</v>
      </c>
      <c r="AB34" s="1265" t="e">
        <f t="shared" si="4"/>
        <v>#N/A</v>
      </c>
      <c r="AC34" s="1265"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60"/>
      <c r="Q35" s="1262" t="str">
        <f t="shared" ref="Q35:Q40" si="14">B35</f>
        <v>宗地形状</v>
      </c>
      <c r="R35" s="631" t="s">
        <v>25</v>
      </c>
      <c r="S35" s="632">
        <f t="shared" si="10"/>
        <v>100</v>
      </c>
      <c r="T35" s="631" t="s">
        <v>25</v>
      </c>
      <c r="U35" s="632">
        <f t="shared" si="11"/>
        <v>100</v>
      </c>
      <c r="V35" s="631" t="s">
        <v>25</v>
      </c>
      <c r="W35" s="632">
        <f t="shared" si="12"/>
        <v>100</v>
      </c>
      <c r="X35" s="1263"/>
      <c r="Y35" s="3660"/>
      <c r="Z35" s="1264" t="str">
        <f t="shared" si="13"/>
        <v>宗地形状</v>
      </c>
      <c r="AA35" s="1265">
        <f t="shared" si="3"/>
        <v>1</v>
      </c>
      <c r="AB35" s="1265">
        <f t="shared" si="4"/>
        <v>1</v>
      </c>
      <c r="AC35" s="1265">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60"/>
      <c r="Q36" s="1262" t="str">
        <f t="shared" si="14"/>
        <v>宗地开发程度</v>
      </c>
      <c r="R36" s="627" t="s">
        <v>25</v>
      </c>
      <c r="S36" s="628">
        <f t="shared" si="10"/>
        <v>100</v>
      </c>
      <c r="T36" s="627" t="s">
        <v>25</v>
      </c>
      <c r="U36" s="628">
        <f t="shared" si="11"/>
        <v>100</v>
      </c>
      <c r="V36" s="627" t="s">
        <v>25</v>
      </c>
      <c r="W36" s="628">
        <f t="shared" si="12"/>
        <v>100</v>
      </c>
      <c r="X36" s="629"/>
      <c r="Y36" s="3660"/>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60" t="s">
        <v>2037</v>
      </c>
      <c r="Q37" s="1262" t="str">
        <f t="shared" si="14"/>
        <v>工程地质条件</v>
      </c>
      <c r="R37" s="631" t="s">
        <v>25</v>
      </c>
      <c r="S37" s="632">
        <f t="shared" si="10"/>
        <v>100</v>
      </c>
      <c r="T37" s="631" t="s">
        <v>25</v>
      </c>
      <c r="U37" s="632">
        <f t="shared" si="11"/>
        <v>100</v>
      </c>
      <c r="V37" s="631" t="s">
        <v>25</v>
      </c>
      <c r="W37" s="632">
        <f t="shared" si="12"/>
        <v>100</v>
      </c>
      <c r="X37" s="1263"/>
      <c r="Y37" s="3660" t="s">
        <v>2037</v>
      </c>
      <c r="Z37" s="1264" t="str">
        <f t="shared" si="13"/>
        <v>工程地质条件</v>
      </c>
      <c r="AA37" s="1265">
        <f t="shared" si="3"/>
        <v>1</v>
      </c>
      <c r="AB37" s="1265">
        <f t="shared" si="4"/>
        <v>1</v>
      </c>
      <c r="AC37" s="1265">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0"/>
      <c r="Q38" s="1262">
        <f t="shared" si="14"/>
        <v>111</v>
      </c>
      <c r="R38" s="631" t="s">
        <v>25</v>
      </c>
      <c r="S38" s="632">
        <f t="shared" si="10"/>
        <v>100</v>
      </c>
      <c r="T38" s="631" t="s">
        <v>25</v>
      </c>
      <c r="U38" s="632">
        <f t="shared" si="11"/>
        <v>100</v>
      </c>
      <c r="V38" s="631" t="s">
        <v>25</v>
      </c>
      <c r="W38" s="632">
        <f t="shared" si="12"/>
        <v>100</v>
      </c>
      <c r="X38" s="1263"/>
      <c r="Y38" s="3660"/>
      <c r="Z38" s="1264">
        <f t="shared" si="13"/>
        <v>111</v>
      </c>
      <c r="AA38" s="1265">
        <f t="shared" si="3"/>
        <v>1</v>
      </c>
      <c r="AB38" s="1265">
        <f t="shared" si="4"/>
        <v>1</v>
      </c>
      <c r="AC38" s="1265">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0"/>
      <c r="Q39" s="1262">
        <f t="shared" si="14"/>
        <v>111</v>
      </c>
      <c r="R39" s="631" t="s">
        <v>25</v>
      </c>
      <c r="S39" s="632">
        <f t="shared" si="10"/>
        <v>100</v>
      </c>
      <c r="T39" s="631" t="s">
        <v>25</v>
      </c>
      <c r="U39" s="632">
        <f t="shared" si="11"/>
        <v>100</v>
      </c>
      <c r="V39" s="631" t="s">
        <v>25</v>
      </c>
      <c r="W39" s="632">
        <f t="shared" si="12"/>
        <v>100</v>
      </c>
      <c r="X39" s="1263"/>
      <c r="Y39" s="3660"/>
      <c r="Z39" s="1264">
        <f t="shared" si="13"/>
        <v>111</v>
      </c>
      <c r="AA39" s="1265">
        <f t="shared" si="3"/>
        <v>1</v>
      </c>
      <c r="AB39" s="1265">
        <f t="shared" si="4"/>
        <v>1</v>
      </c>
      <c r="AC39" s="1265">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0"/>
      <c r="Q40" s="1262">
        <f t="shared" si="14"/>
        <v>111</v>
      </c>
      <c r="R40" s="634" t="s">
        <v>25</v>
      </c>
      <c r="S40" s="635">
        <f t="shared" si="10"/>
        <v>100</v>
      </c>
      <c r="T40" s="634" t="s">
        <v>25</v>
      </c>
      <c r="U40" s="635">
        <f t="shared" si="11"/>
        <v>100</v>
      </c>
      <c r="V40" s="634" t="s">
        <v>25</v>
      </c>
      <c r="W40" s="635">
        <f t="shared" si="12"/>
        <v>100</v>
      </c>
      <c r="X40" s="636"/>
      <c r="Y40" s="3660"/>
      <c r="Z40" s="637">
        <f t="shared" si="13"/>
        <v>111</v>
      </c>
      <c r="AA40" s="1265">
        <f t="shared" si="3"/>
        <v>1</v>
      </c>
      <c r="AB40" s="1265">
        <f t="shared" si="4"/>
        <v>1</v>
      </c>
      <c r="AC40" s="1265">
        <f t="shared" si="5"/>
        <v>1</v>
      </c>
    </row>
    <row r="41" spans="1:29" ht="15">
      <c r="A41" s="367" t="s">
        <v>2179</v>
      </c>
      <c r="B41" s="1518" t="s">
        <v>2253</v>
      </c>
      <c r="C41" s="562" t="s">
        <v>1</v>
      </c>
      <c r="D41" s="369"/>
      <c r="E41" s="370"/>
      <c r="F41" s="371"/>
      <c r="G41" s="372"/>
      <c r="H41" s="373"/>
      <c r="I41" s="370"/>
      <c r="J41" s="373"/>
      <c r="K41" s="640"/>
      <c r="L41" s="2954"/>
      <c r="M41" s="2943"/>
      <c r="N41" s="2943"/>
      <c r="P41" s="3654" t="str">
        <f>A41</f>
        <v>成交单价</v>
      </c>
      <c r="Q41" s="3654"/>
      <c r="R41" s="3687">
        <f>E41</f>
        <v>0</v>
      </c>
      <c r="S41" s="3687"/>
      <c r="T41" s="3687">
        <f>G41</f>
        <v>0</v>
      </c>
      <c r="U41" s="3687"/>
      <c r="V41" s="3687">
        <f>I41</f>
        <v>0</v>
      </c>
      <c r="W41" s="3687"/>
      <c r="X41" s="618"/>
      <c r="Y41" s="638"/>
      <c r="Z41" s="618"/>
      <c r="AA41" s="618"/>
      <c r="AB41" s="618"/>
      <c r="AC41" s="618"/>
    </row>
    <row r="42" spans="1:29" ht="15.75" thickBot="1">
      <c r="A42" s="374" t="s">
        <v>2132</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54" t="str">
        <f>A42</f>
        <v>比较价值（元/平方米）</v>
      </c>
      <c r="Q42" s="3654"/>
      <c r="R42" s="3699" t="e">
        <f>ROUND(PRODUCT(R41,AA7:AA40),0)</f>
        <v>#DIV/0!</v>
      </c>
      <c r="S42" s="3699"/>
      <c r="T42" s="3699" t="e">
        <f>ROUND(PRODUCT(T41,AB7:AB40),0)</f>
        <v>#DIV/0!</v>
      </c>
      <c r="U42" s="3699"/>
      <c r="V42" s="3699" t="e">
        <f>ROUND(PRODUCT(V41,AC7:AC40),0)</f>
        <v>#DIV/0!</v>
      </c>
      <c r="W42" s="369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56" t="str">
        <f>A43</f>
        <v>估价对象XX用房的比较价值（楼面单价，元/平方米）</v>
      </c>
      <c r="Q43" s="3657"/>
      <c r="R43" s="3698" t="e">
        <f>ROUND(IF(D42="简单平均",AVERAGE(R42:W42),R42*F42+T42*H42+V42*J42),0)</f>
        <v>#DIV/0!</v>
      </c>
      <c r="S43" s="3698"/>
      <c r="T43" s="3698"/>
      <c r="U43" s="3698"/>
      <c r="V43" s="3698"/>
      <c r="W43" s="3698"/>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19" t="s">
        <v>2219</v>
      </c>
      <c r="D50" s="1520" t="s">
        <v>2220</v>
      </c>
      <c r="E50" s="566" t="s">
        <v>2221</v>
      </c>
      <c r="F50" s="567" t="s">
        <v>2222</v>
      </c>
      <c r="G50" s="1264" t="s">
        <v>2254</v>
      </c>
      <c r="H50" s="1264" t="str">
        <f>项目基本情况!G8</f>
        <v>顺义区裕丰路16号院42号楼1层102</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7"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估价对象为北京市房地产，为晋国田所有。根据《不动产权证书》[]，估价对象建筑面积为84.33平方米。根据《》[]，估价对象（分摊）出让国有建设用地使用权面积为平方米。估价对象用途为。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晋国田拟使用北京市房地产作为抵押担保物，向XX办理贷款手续。XX特委托北京康正宏基房地产评估有限公司对上述抵押物进行评估。本次评估为确定房地产抵押贷款额度提供参考依据而评估房地产抵押价值。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84.33</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2642</v>
      </c>
      <c r="F2" s="1529" t="s">
        <v>2267</v>
      </c>
      <c r="G2" s="2037">
        <f>项目基本情况!F9</f>
        <v>0</v>
      </c>
      <c r="H2" s="1530"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2644</v>
      </c>
      <c r="F3" s="1531"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2"/>
      <c r="B4" s="3703"/>
      <c r="C4" s="3703"/>
      <c r="D4" s="3704"/>
      <c r="E4" s="3704"/>
      <c r="F4" s="3704"/>
      <c r="G4" s="3704"/>
      <c r="H4" s="3704"/>
      <c r="I4" s="3704"/>
      <c r="J4" s="3705"/>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6" t="str">
        <f>IF(E2="商业",IF(C8="不临58条商业街","",2),"")</f>
        <v/>
      </c>
      <c r="B7" s="1534"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07"/>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0" t="s">
        <v>2292</v>
      </c>
      <c r="X8" s="3701"/>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07"/>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1"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7"/>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1"/>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7"/>
      <c r="B11" s="1535" t="s">
        <v>2313</v>
      </c>
      <c r="C11" s="1535">
        <f>C10/4</f>
        <v>0</v>
      </c>
      <c r="D11" s="1535" t="s">
        <v>92</v>
      </c>
      <c r="E11" s="1535"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1"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6">
        <f>IF(E2="住宅",2,"")</f>
        <v>2</v>
      </c>
      <c r="B12" s="1536"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1"/>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8"/>
      <c r="B13" s="1537" t="s">
        <v>2322</v>
      </c>
      <c r="C13" s="2089" t="s">
        <v>2323</v>
      </c>
      <c r="D13" s="1538" t="s">
        <v>2324</v>
      </c>
      <c r="E13" s="1538"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701"/>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8"/>
      <c r="B14" s="1538"/>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9"/>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10">
        <f>IF(E2="办公",2,IF(E2="工业",2,IF(E2="住宅",3,IF(E2="商业",IF(C8="不临58条商业街",2,3)))))</f>
        <v>3</v>
      </c>
      <c r="B16" s="1558" t="s">
        <v>2338</v>
      </c>
      <c r="C16" s="1534">
        <f>ROUND(IF(F17="与级别开发程度一致",0,(G17-E17)/C17),0)</f>
        <v>0</v>
      </c>
      <c r="D16" s="3723" t="s">
        <v>2342</v>
      </c>
      <c r="E16" s="3724"/>
      <c r="F16" s="3723" t="s">
        <v>2339</v>
      </c>
      <c r="G16" s="3724"/>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11"/>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44806</v>
      </c>
      <c r="H19" s="2120" t="s">
        <v>2483</v>
      </c>
      <c r="I19" s="2121" t="str">
        <f>IF(H19="季度增幅（自定义）",SUMIF(N21:N24,E2,O21:O24),"")</f>
        <v/>
      </c>
      <c r="J19" s="2122"/>
      <c r="K19" s="2969"/>
      <c r="L19" s="2003" t="s">
        <v>2350</v>
      </c>
      <c r="M19" s="2123">
        <f>ROUND(SUMIF(地价!B2:F2,E2,地价!B41:F41),0)</f>
        <v>423</v>
      </c>
      <c r="N19" s="2124" t="s">
        <v>2351</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0.77210000000000001</v>
      </c>
      <c r="D20" s="2129" t="s">
        <v>2354</v>
      </c>
      <c r="E20" s="3071">
        <f>存贷款利率!E22/100</f>
        <v>4.3499999999999997E-2</v>
      </c>
      <c r="F20" s="2129" t="s">
        <v>2343</v>
      </c>
      <c r="G20" s="3072">
        <f>SUMIF(M26:P26,E2,M28:P28)</f>
        <v>0.05</v>
      </c>
      <c r="H20" s="2129" t="s">
        <v>2355</v>
      </c>
      <c r="I20" s="2130">
        <f>'数据-取费表'!B13</f>
        <v>28.15</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2367</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2374</v>
      </c>
      <c r="C26" s="2807" t="e">
        <f>IF(B21="容积率修正",E29+SUM(E33:E39),SUM(V2:V16)+SUM(E33:E39))</f>
        <v>#REF!</v>
      </c>
      <c r="D26" s="2157"/>
      <c r="E26" s="2096"/>
      <c r="F26" s="1405"/>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2380</v>
      </c>
      <c r="C29" s="54">
        <f>ROUND(C5*C18*C19*C20*C21*C24,0)</f>
        <v>0</v>
      </c>
      <c r="D29" s="2171">
        <f>项目基本情况!C12</f>
        <v>84.33</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20"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21"/>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21"/>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22"/>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2476</v>
      </c>
      <c r="C41" s="50">
        <f>ROUND(POWER(1+E41,H41-G41)*(POWER(1+E41,G41)-1)/(POWER(1+E41,H41)-1),4)</f>
        <v>0</v>
      </c>
      <c r="D41" s="50" t="s">
        <v>2474</v>
      </c>
      <c r="E41" s="2194">
        <f>G20</f>
        <v>0.05</v>
      </c>
      <c r="F41" s="50" t="s">
        <v>2475</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712" t="s">
        <v>2437</v>
      </c>
      <c r="B90" s="3712"/>
      <c r="C90" s="3712"/>
      <c r="D90" s="3712"/>
      <c r="E90" s="3712"/>
      <c r="F90" s="3712"/>
      <c r="G90" s="3712"/>
      <c r="H90" s="3712"/>
      <c r="I90" s="3712"/>
      <c r="J90" s="3712"/>
      <c r="K90" s="2233"/>
      <c r="L90" s="2233"/>
      <c r="M90" s="2233"/>
      <c r="N90" s="2233"/>
      <c r="Q90" s="2975"/>
      <c r="R90" s="2975"/>
      <c r="S90" s="2975"/>
      <c r="T90" s="2975"/>
      <c r="U90" s="2975"/>
      <c r="V90" s="2975"/>
      <c r="W90" s="2975"/>
    </row>
    <row r="91" spans="1:33">
      <c r="A91" s="3714" t="s">
        <v>2438</v>
      </c>
      <c r="B91" s="3714"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714"/>
      <c r="B92" s="3714"/>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715"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16"/>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16"/>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16"/>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16"/>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16"/>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16"/>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17"/>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15"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16"/>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16"/>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16"/>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16"/>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16"/>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16"/>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16"/>
      <c r="B108" s="3718"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17"/>
      <c r="B109" s="3719"/>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713" t="s">
        <v>2445</v>
      </c>
      <c r="B110" s="3713"/>
      <c r="C110" s="3713"/>
      <c r="D110" s="3713"/>
      <c r="E110" s="3713"/>
      <c r="F110" s="3713"/>
      <c r="G110" s="3713"/>
      <c r="H110" s="3713"/>
      <c r="I110" s="3713"/>
      <c r="J110" s="3713"/>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5" t="s">
        <v>597</v>
      </c>
      <c r="B1" s="372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5" t="s">
        <v>105</v>
      </c>
      <c r="B1" s="3725"/>
      <c r="C1" s="3725"/>
      <c r="D1" s="3725"/>
      <c r="E1" s="3725"/>
      <c r="F1" s="372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6" t="s">
        <v>118</v>
      </c>
      <c r="B2" s="3726"/>
      <c r="C2" s="3726"/>
      <c r="D2" s="3726"/>
      <c r="E2" s="3726"/>
      <c r="F2" s="372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32" t="s">
        <v>2802</v>
      </c>
      <c r="B20" s="3735" t="s">
        <v>2810</v>
      </c>
      <c r="C20" s="3289" t="s">
        <v>2811</v>
      </c>
      <c r="D20" s="3290"/>
      <c r="E20" s="3291">
        <v>1</v>
      </c>
      <c r="F20" s="3292" t="s">
        <v>2812</v>
      </c>
      <c r="G20" s="3292"/>
    </row>
    <row r="21" spans="1:13" ht="19.5" customHeight="1">
      <c r="A21" s="3733"/>
      <c r="B21" s="3730"/>
      <c r="C21" s="740" t="s">
        <v>2813</v>
      </c>
      <c r="D21" s="741"/>
      <c r="E21" s="3293">
        <v>1</v>
      </c>
      <c r="F21" s="3292" t="s">
        <v>2814</v>
      </c>
      <c r="G21" s="3292"/>
    </row>
    <row r="22" spans="1:13" ht="19.5" customHeight="1">
      <c r="A22" s="3733"/>
      <c r="B22" s="3730"/>
      <c r="C22" s="740" t="s">
        <v>2815</v>
      </c>
      <c r="D22" s="741"/>
      <c r="E22" s="3293">
        <v>0.9</v>
      </c>
      <c r="F22" s="3292" t="s">
        <v>2816</v>
      </c>
      <c r="G22" s="3292"/>
    </row>
    <row r="23" spans="1:13" ht="19.5" customHeight="1">
      <c r="A23" s="3733"/>
      <c r="B23" s="3730"/>
      <c r="C23" s="740" t="s">
        <v>2817</v>
      </c>
      <c r="D23" s="741"/>
      <c r="E23" s="3293">
        <v>0.9</v>
      </c>
      <c r="F23" s="3292" t="s">
        <v>2818</v>
      </c>
      <c r="G23" s="3292"/>
    </row>
    <row r="24" spans="1:13" ht="19.5" customHeight="1">
      <c r="A24" s="3733"/>
      <c r="B24" s="3730"/>
      <c r="C24" s="740" t="s">
        <v>2819</v>
      </c>
      <c r="D24" s="741"/>
      <c r="E24" s="3293">
        <v>0.8</v>
      </c>
      <c r="F24" s="3292" t="s">
        <v>2820</v>
      </c>
      <c r="G24" s="3292"/>
    </row>
    <row r="25" spans="1:13" ht="19.5" customHeight="1" thickBot="1">
      <c r="A25" s="3734"/>
      <c r="B25" s="3736"/>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37" t="s">
        <v>2807</v>
      </c>
      <c r="B27" s="3735" t="s">
        <v>2807</v>
      </c>
      <c r="C27" s="3289" t="s">
        <v>2824</v>
      </c>
      <c r="D27" s="3290"/>
      <c r="E27" s="3291">
        <v>1</v>
      </c>
      <c r="F27" s="3292" t="s">
        <v>2865</v>
      </c>
      <c r="G27" s="3292"/>
    </row>
    <row r="28" spans="1:13" ht="19.5" customHeight="1">
      <c r="A28" s="3738"/>
      <c r="B28" s="3730"/>
      <c r="C28" s="740" t="s">
        <v>2825</v>
      </c>
      <c r="D28" s="741"/>
      <c r="E28" s="3293">
        <v>1</v>
      </c>
      <c r="F28" s="3292" t="s">
        <v>2866</v>
      </c>
      <c r="G28" s="3292"/>
    </row>
    <row r="29" spans="1:13" ht="19.5" customHeight="1">
      <c r="A29" s="3738"/>
      <c r="B29" s="3730"/>
      <c r="C29" s="740" t="s">
        <v>2826</v>
      </c>
      <c r="D29" s="741"/>
      <c r="E29" s="3293">
        <v>0.8</v>
      </c>
      <c r="F29" s="3292" t="s">
        <v>2867</v>
      </c>
      <c r="G29" s="3292"/>
    </row>
    <row r="30" spans="1:13" ht="19.5" customHeight="1">
      <c r="A30" s="3738"/>
      <c r="B30" s="3730"/>
      <c r="C30" s="740" t="s">
        <v>2827</v>
      </c>
      <c r="D30" s="741"/>
      <c r="E30" s="3293">
        <v>0.8</v>
      </c>
      <c r="F30" s="3292" t="s">
        <v>2868</v>
      </c>
      <c r="G30" s="3292"/>
    </row>
    <row r="31" spans="1:13" ht="19.5" customHeight="1">
      <c r="A31" s="3738"/>
      <c r="B31" s="3730"/>
      <c r="C31" s="740" t="s">
        <v>2828</v>
      </c>
      <c r="D31" s="741"/>
      <c r="E31" s="3293">
        <v>0.8</v>
      </c>
      <c r="F31" s="3292" t="s">
        <v>2869</v>
      </c>
      <c r="G31" s="3292"/>
    </row>
    <row r="32" spans="1:13" ht="19.5" customHeight="1">
      <c r="A32" s="3738"/>
      <c r="B32" s="3730"/>
      <c r="C32" s="740" t="s">
        <v>2829</v>
      </c>
      <c r="D32" s="741"/>
      <c r="E32" s="3293">
        <v>0.7</v>
      </c>
      <c r="F32" s="3292" t="s">
        <v>2870</v>
      </c>
      <c r="G32" s="3292"/>
    </row>
    <row r="33" spans="1:7" ht="19.5" customHeight="1">
      <c r="A33" s="3738"/>
      <c r="B33" s="3730"/>
      <c r="C33" s="740" t="s">
        <v>2830</v>
      </c>
      <c r="D33" s="741"/>
      <c r="E33" s="3293">
        <v>0.8</v>
      </c>
      <c r="F33" s="3292" t="s">
        <v>2871</v>
      </c>
      <c r="G33" s="3292"/>
    </row>
    <row r="34" spans="1:7" ht="19.5" customHeight="1">
      <c r="A34" s="3738"/>
      <c r="B34" s="3730"/>
      <c r="C34" s="740" t="s">
        <v>2831</v>
      </c>
      <c r="D34" s="741"/>
      <c r="E34" s="3293">
        <v>0.6</v>
      </c>
      <c r="F34" s="3292" t="s">
        <v>2872</v>
      </c>
      <c r="G34" s="3292"/>
    </row>
    <row r="35" spans="1:7" ht="19.5" customHeight="1">
      <c r="A35" s="3738"/>
      <c r="B35" s="3730"/>
      <c r="C35" s="740" t="s">
        <v>2832</v>
      </c>
      <c r="D35" s="741"/>
      <c r="E35" s="3293">
        <v>0.2</v>
      </c>
      <c r="F35" s="3292" t="s">
        <v>2873</v>
      </c>
      <c r="G35" s="3292"/>
    </row>
    <row r="36" spans="1:7" ht="19.5" customHeight="1">
      <c r="A36" s="3738"/>
      <c r="B36" s="3730"/>
      <c r="C36" s="740" t="s">
        <v>2833</v>
      </c>
      <c r="D36" s="741"/>
      <c r="E36" s="3293">
        <v>0.2</v>
      </c>
      <c r="F36" s="3292" t="s">
        <v>2874</v>
      </c>
      <c r="G36" s="3292"/>
    </row>
    <row r="37" spans="1:7" ht="19.5" customHeight="1">
      <c r="A37" s="3738"/>
      <c r="B37" s="3729" t="s">
        <v>2834</v>
      </c>
      <c r="C37" s="740" t="s">
        <v>2835</v>
      </c>
      <c r="D37" s="741"/>
      <c r="E37" s="3293">
        <v>0.6</v>
      </c>
      <c r="F37" s="3292" t="s">
        <v>2875</v>
      </c>
      <c r="G37" s="3292"/>
    </row>
    <row r="38" spans="1:7" ht="19.5" customHeight="1">
      <c r="A38" s="3738"/>
      <c r="B38" s="3730"/>
      <c r="C38" s="740" t="s">
        <v>2836</v>
      </c>
      <c r="D38" s="741"/>
      <c r="E38" s="3293">
        <v>0.6</v>
      </c>
      <c r="F38" s="3292" t="s">
        <v>2876</v>
      </c>
      <c r="G38" s="3292"/>
    </row>
    <row r="39" spans="1:7" ht="19.5" customHeight="1" thickBot="1">
      <c r="A39" s="3739"/>
      <c r="B39" s="3736"/>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32" t="s">
        <v>2840</v>
      </c>
      <c r="B41" s="3735" t="s">
        <v>2841</v>
      </c>
      <c r="C41" s="3289" t="s">
        <v>2842</v>
      </c>
      <c r="D41" s="3290"/>
      <c r="E41" s="3291">
        <v>1</v>
      </c>
      <c r="F41" s="3292" t="s">
        <v>2843</v>
      </c>
      <c r="G41" s="3292"/>
    </row>
    <row r="42" spans="1:7" ht="19.5" customHeight="1">
      <c r="A42" s="3733"/>
      <c r="B42" s="3730"/>
      <c r="C42" s="740" t="s">
        <v>2844</v>
      </c>
      <c r="D42" s="741"/>
      <c r="E42" s="3293">
        <v>1</v>
      </c>
      <c r="F42" s="3292" t="s">
        <v>2845</v>
      </c>
      <c r="G42" s="3292"/>
    </row>
    <row r="43" spans="1:7" ht="19.5" customHeight="1">
      <c r="A43" s="3733"/>
      <c r="B43" s="3731"/>
      <c r="C43" s="740" t="s">
        <v>2846</v>
      </c>
      <c r="D43" s="741"/>
      <c r="E43" s="3293">
        <v>1.5</v>
      </c>
      <c r="F43" s="3292" t="s">
        <v>2847</v>
      </c>
      <c r="G43" s="3292"/>
    </row>
    <row r="44" spans="1:7" ht="19.5" customHeight="1">
      <c r="A44" s="3733"/>
      <c r="B44" s="3302" t="s">
        <v>2807</v>
      </c>
      <c r="C44" s="740" t="s">
        <v>2806</v>
      </c>
      <c r="D44" s="741"/>
      <c r="E44" s="3293">
        <v>2</v>
      </c>
      <c r="F44" s="3292" t="s">
        <v>2848</v>
      </c>
      <c r="G44" s="3292"/>
    </row>
    <row r="45" spans="1:7" ht="19.5" customHeight="1">
      <c r="A45" s="3733"/>
      <c r="B45" s="3729" t="s">
        <v>2849</v>
      </c>
      <c r="C45" s="740" t="s">
        <v>2850</v>
      </c>
      <c r="D45" s="741"/>
      <c r="E45" s="3293">
        <v>1</v>
      </c>
      <c r="F45" s="3292" t="s">
        <v>2851</v>
      </c>
      <c r="G45" s="3292"/>
    </row>
    <row r="46" spans="1:7" ht="19.5" customHeight="1">
      <c r="A46" s="3733"/>
      <c r="B46" s="3730"/>
      <c r="C46" s="740" t="s">
        <v>2852</v>
      </c>
      <c r="D46" s="741"/>
      <c r="E46" s="3293">
        <v>1</v>
      </c>
      <c r="F46" s="3292" t="s">
        <v>2853</v>
      </c>
      <c r="G46" s="3292"/>
    </row>
    <row r="47" spans="1:7" ht="19.5" customHeight="1">
      <c r="A47" s="3733"/>
      <c r="B47" s="3730"/>
      <c r="C47" s="740" t="s">
        <v>2854</v>
      </c>
      <c r="D47" s="741"/>
      <c r="E47" s="3293">
        <v>1</v>
      </c>
      <c r="F47" s="3292" t="s">
        <v>2855</v>
      </c>
      <c r="G47" s="3292"/>
    </row>
    <row r="48" spans="1:7" ht="19.5" customHeight="1">
      <c r="A48" s="3733"/>
      <c r="B48" s="3730"/>
      <c r="C48" s="740" t="s">
        <v>2856</v>
      </c>
      <c r="D48" s="741"/>
      <c r="E48" s="3293">
        <v>1</v>
      </c>
      <c r="F48" s="3292" t="s">
        <v>2857</v>
      </c>
      <c r="G48" s="3292"/>
    </row>
    <row r="49" spans="1:7" ht="19.5" customHeight="1">
      <c r="A49" s="3733"/>
      <c r="B49" s="3730"/>
      <c r="C49" s="740" t="s">
        <v>2858</v>
      </c>
      <c r="D49" s="741"/>
      <c r="E49" s="3293">
        <v>1</v>
      </c>
      <c r="F49" s="3292" t="s">
        <v>2859</v>
      </c>
      <c r="G49" s="3292"/>
    </row>
    <row r="50" spans="1:7" ht="19.5" customHeight="1">
      <c r="A50" s="3733"/>
      <c r="B50" s="3730"/>
      <c r="C50" s="740" t="s">
        <v>2860</v>
      </c>
      <c r="D50" s="741"/>
      <c r="E50" s="3293">
        <v>1</v>
      </c>
      <c r="F50" s="3292" t="s">
        <v>2861</v>
      </c>
      <c r="G50" s="3292"/>
    </row>
    <row r="51" spans="1:7" ht="19.5" customHeight="1" thickBot="1">
      <c r="A51" s="3734"/>
      <c r="B51" s="3736"/>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29" t="s">
        <v>2880</v>
      </c>
      <c r="C73" s="3283" t="s">
        <v>2881</v>
      </c>
      <c r="D73" s="3283" t="s">
        <v>2882</v>
      </c>
      <c r="E73" s="3308">
        <v>0.2</v>
      </c>
      <c r="F73" s="3302">
        <v>25</v>
      </c>
    </row>
    <row r="74" spans="1:7" ht="24">
      <c r="A74" s="3302">
        <v>2</v>
      </c>
      <c r="B74" s="3730"/>
      <c r="C74" s="3283" t="s">
        <v>2883</v>
      </c>
      <c r="D74" s="3283" t="s">
        <v>2884</v>
      </c>
      <c r="E74" s="3308">
        <v>0.2</v>
      </c>
      <c r="F74" s="3302">
        <v>25</v>
      </c>
    </row>
    <row r="75" spans="1:7" ht="24">
      <c r="A75" s="3302">
        <v>3</v>
      </c>
      <c r="B75" s="3730"/>
      <c r="C75" s="3283" t="s">
        <v>2885</v>
      </c>
      <c r="D75" s="3283" t="s">
        <v>2886</v>
      </c>
      <c r="E75" s="3308">
        <v>0.2</v>
      </c>
      <c r="F75" s="3302">
        <v>25</v>
      </c>
    </row>
    <row r="76" spans="1:7" ht="13.5">
      <c r="A76" s="3302">
        <v>4</v>
      </c>
      <c r="B76" s="3730"/>
      <c r="C76" s="3283" t="s">
        <v>2887</v>
      </c>
      <c r="D76" s="3283" t="s">
        <v>2888</v>
      </c>
      <c r="E76" s="3308">
        <v>0.15</v>
      </c>
      <c r="F76" s="3302">
        <v>20</v>
      </c>
    </row>
    <row r="77" spans="1:7" ht="24">
      <c r="A77" s="3302">
        <v>5</v>
      </c>
      <c r="B77" s="3730"/>
      <c r="C77" s="3283" t="s">
        <v>2889</v>
      </c>
      <c r="D77" s="3283" t="s">
        <v>2890</v>
      </c>
      <c r="E77" s="3308">
        <v>0.15</v>
      </c>
      <c r="F77" s="3302">
        <v>20</v>
      </c>
    </row>
    <row r="78" spans="1:7" ht="24">
      <c r="A78" s="3302">
        <v>6</v>
      </c>
      <c r="B78" s="3730"/>
      <c r="C78" s="3283" t="s">
        <v>2891</v>
      </c>
      <c r="D78" s="3283" t="s">
        <v>2892</v>
      </c>
      <c r="E78" s="3308">
        <v>0.15</v>
      </c>
      <c r="F78" s="3302">
        <v>20</v>
      </c>
    </row>
    <row r="79" spans="1:7" ht="24">
      <c r="A79" s="3302">
        <v>7</v>
      </c>
      <c r="B79" s="3730"/>
      <c r="C79" s="3283" t="s">
        <v>2893</v>
      </c>
      <c r="D79" s="3283" t="s">
        <v>2894</v>
      </c>
      <c r="E79" s="3308">
        <v>0.15</v>
      </c>
      <c r="F79" s="3302">
        <v>20</v>
      </c>
    </row>
    <row r="80" spans="1:7" ht="24">
      <c r="A80" s="3302">
        <v>8</v>
      </c>
      <c r="B80" s="3730"/>
      <c r="C80" s="3283" t="s">
        <v>2895</v>
      </c>
      <c r="D80" s="3283" t="s">
        <v>2896</v>
      </c>
      <c r="E80" s="3308">
        <v>0.1</v>
      </c>
      <c r="F80" s="3302">
        <v>15</v>
      </c>
    </row>
    <row r="81" spans="1:6" ht="24">
      <c r="A81" s="3302">
        <v>9</v>
      </c>
      <c r="B81" s="3730"/>
      <c r="C81" s="3283" t="s">
        <v>2897</v>
      </c>
      <c r="D81" s="3283" t="s">
        <v>2898</v>
      </c>
      <c r="E81" s="3308">
        <v>0.1</v>
      </c>
      <c r="F81" s="3302">
        <v>15</v>
      </c>
    </row>
    <row r="82" spans="1:6" ht="24">
      <c r="A82" s="3302">
        <v>10</v>
      </c>
      <c r="B82" s="3730"/>
      <c r="C82" s="3283" t="s">
        <v>2899</v>
      </c>
      <c r="D82" s="3283" t="s">
        <v>2900</v>
      </c>
      <c r="E82" s="3308">
        <v>0.1</v>
      </c>
      <c r="F82" s="3302">
        <v>15</v>
      </c>
    </row>
    <row r="83" spans="1:6" ht="24">
      <c r="A83" s="3302">
        <v>11</v>
      </c>
      <c r="B83" s="3730"/>
      <c r="C83" s="3283" t="s">
        <v>2901</v>
      </c>
      <c r="D83" s="3283" t="s">
        <v>2902</v>
      </c>
      <c r="E83" s="3308">
        <v>0.1</v>
      </c>
      <c r="F83" s="3302">
        <v>15</v>
      </c>
    </row>
    <row r="84" spans="1:6" ht="24">
      <c r="A84" s="3302">
        <v>12</v>
      </c>
      <c r="B84" s="3730"/>
      <c r="C84" s="3283" t="s">
        <v>2903</v>
      </c>
      <c r="D84" s="3283" t="s">
        <v>2904</v>
      </c>
      <c r="E84" s="3308">
        <v>0.1</v>
      </c>
      <c r="F84" s="3302">
        <v>15</v>
      </c>
    </row>
    <row r="85" spans="1:6" ht="13.5">
      <c r="A85" s="3302">
        <v>13</v>
      </c>
      <c r="B85" s="3730"/>
      <c r="C85" s="3283" t="s">
        <v>2905</v>
      </c>
      <c r="D85" s="3283" t="s">
        <v>2906</v>
      </c>
      <c r="E85" s="3308">
        <v>0.1</v>
      </c>
      <c r="F85" s="3302">
        <v>15</v>
      </c>
    </row>
    <row r="86" spans="1:6" ht="13.5">
      <c r="A86" s="3302">
        <v>14</v>
      </c>
      <c r="B86" s="3730"/>
      <c r="C86" s="3283" t="s">
        <v>2907</v>
      </c>
      <c r="D86" s="3283" t="s">
        <v>2908</v>
      </c>
      <c r="E86" s="3308">
        <v>0.1</v>
      </c>
      <c r="F86" s="3302">
        <v>15</v>
      </c>
    </row>
    <row r="87" spans="1:6" ht="13.5">
      <c r="A87" s="3302">
        <v>15</v>
      </c>
      <c r="B87" s="3730"/>
      <c r="C87" s="3283" t="s">
        <v>2909</v>
      </c>
      <c r="D87" s="3283" t="s">
        <v>2910</v>
      </c>
      <c r="E87" s="3308">
        <v>0.1</v>
      </c>
      <c r="F87" s="3302">
        <v>15</v>
      </c>
    </row>
    <row r="88" spans="1:6" ht="24">
      <c r="A88" s="3302">
        <v>16</v>
      </c>
      <c r="B88" s="3730"/>
      <c r="C88" s="3283" t="s">
        <v>2911</v>
      </c>
      <c r="D88" s="3283" t="s">
        <v>2912</v>
      </c>
      <c r="E88" s="3308">
        <v>0.1</v>
      </c>
      <c r="F88" s="3302">
        <v>15</v>
      </c>
    </row>
    <row r="89" spans="1:6" ht="24">
      <c r="A89" s="3302">
        <v>17</v>
      </c>
      <c r="B89" s="3731"/>
      <c r="C89" s="3283" t="s">
        <v>2913</v>
      </c>
      <c r="D89" s="3283" t="s">
        <v>2914</v>
      </c>
      <c r="E89" s="3308">
        <v>0.1</v>
      </c>
      <c r="F89" s="3302">
        <v>15</v>
      </c>
    </row>
    <row r="90" spans="1:6" ht="13.5">
      <c r="A90" s="3302">
        <v>18</v>
      </c>
      <c r="B90" s="3729" t="s">
        <v>2915</v>
      </c>
      <c r="C90" s="3283" t="s">
        <v>2916</v>
      </c>
      <c r="D90" s="3283" t="s">
        <v>2917</v>
      </c>
      <c r="E90" s="3308">
        <v>0.2</v>
      </c>
      <c r="F90" s="3302">
        <v>25</v>
      </c>
    </row>
    <row r="91" spans="1:6" ht="24">
      <c r="A91" s="3302">
        <v>19</v>
      </c>
      <c r="B91" s="3730"/>
      <c r="C91" s="3283" t="s">
        <v>2918</v>
      </c>
      <c r="D91" s="3283" t="s">
        <v>2919</v>
      </c>
      <c r="E91" s="3308">
        <v>0.2</v>
      </c>
      <c r="F91" s="3302">
        <v>25</v>
      </c>
    </row>
    <row r="92" spans="1:6" ht="13.5">
      <c r="A92" s="3302">
        <v>20</v>
      </c>
      <c r="B92" s="3730"/>
      <c r="C92" s="3283" t="s">
        <v>2920</v>
      </c>
      <c r="D92" s="3283" t="s">
        <v>2921</v>
      </c>
      <c r="E92" s="3308">
        <v>0.15</v>
      </c>
      <c r="F92" s="3302">
        <v>20</v>
      </c>
    </row>
    <row r="93" spans="1:6" ht="24">
      <c r="A93" s="3302">
        <v>21</v>
      </c>
      <c r="B93" s="3730"/>
      <c r="C93" s="3283" t="s">
        <v>2922</v>
      </c>
      <c r="D93" s="3283" t="s">
        <v>2923</v>
      </c>
      <c r="E93" s="3308">
        <v>0.15</v>
      </c>
      <c r="F93" s="3302">
        <v>20</v>
      </c>
    </row>
    <row r="94" spans="1:6" ht="24">
      <c r="A94" s="3302">
        <v>22</v>
      </c>
      <c r="B94" s="3730"/>
      <c r="C94" s="3283" t="s">
        <v>2924</v>
      </c>
      <c r="D94" s="3283" t="s">
        <v>2925</v>
      </c>
      <c r="E94" s="3308">
        <v>0.15</v>
      </c>
      <c r="F94" s="3302">
        <v>20</v>
      </c>
    </row>
    <row r="95" spans="1:6" ht="36">
      <c r="A95" s="3302">
        <v>23</v>
      </c>
      <c r="B95" s="3730"/>
      <c r="C95" s="3283" t="s">
        <v>2926</v>
      </c>
      <c r="D95" s="3283" t="s">
        <v>2927</v>
      </c>
      <c r="E95" s="3308">
        <v>0.15</v>
      </c>
      <c r="F95" s="3302">
        <v>20</v>
      </c>
    </row>
    <row r="96" spans="1:6" ht="13.5">
      <c r="A96" s="3302">
        <v>24</v>
      </c>
      <c r="B96" s="3730"/>
      <c r="C96" s="3283" t="s">
        <v>2928</v>
      </c>
      <c r="D96" s="3283" t="s">
        <v>2929</v>
      </c>
      <c r="E96" s="3308">
        <v>0.1</v>
      </c>
      <c r="F96" s="3302">
        <v>15</v>
      </c>
    </row>
    <row r="97" spans="1:6" ht="24">
      <c r="A97" s="3302">
        <v>25</v>
      </c>
      <c r="B97" s="3730"/>
      <c r="C97" s="3283" t="s">
        <v>2930</v>
      </c>
      <c r="D97" s="3283" t="s">
        <v>2931</v>
      </c>
      <c r="E97" s="3308">
        <v>0.1</v>
      </c>
      <c r="F97" s="3302">
        <v>15</v>
      </c>
    </row>
    <row r="98" spans="1:6" ht="24">
      <c r="A98" s="3302">
        <v>26</v>
      </c>
      <c r="B98" s="3730"/>
      <c r="C98" s="3283" t="s">
        <v>2932</v>
      </c>
      <c r="D98" s="3283" t="s">
        <v>2933</v>
      </c>
      <c r="E98" s="3308">
        <v>0.1</v>
      </c>
      <c r="F98" s="3302">
        <v>15</v>
      </c>
    </row>
    <row r="99" spans="1:6" ht="24">
      <c r="A99" s="3302">
        <v>27</v>
      </c>
      <c r="B99" s="3730"/>
      <c r="C99" s="3283" t="s">
        <v>2934</v>
      </c>
      <c r="D99" s="3283" t="s">
        <v>2935</v>
      </c>
      <c r="E99" s="3308">
        <v>0.1</v>
      </c>
      <c r="F99" s="3302">
        <v>15</v>
      </c>
    </row>
    <row r="100" spans="1:6" ht="24">
      <c r="A100" s="3302">
        <v>28</v>
      </c>
      <c r="B100" s="3730"/>
      <c r="C100" s="3283" t="s">
        <v>2936</v>
      </c>
      <c r="D100" s="3283" t="s">
        <v>2937</v>
      </c>
      <c r="E100" s="3308">
        <v>0.1</v>
      </c>
      <c r="F100" s="3302">
        <v>15</v>
      </c>
    </row>
    <row r="101" spans="1:6" ht="24">
      <c r="A101" s="3302">
        <v>29</v>
      </c>
      <c r="B101" s="3730"/>
      <c r="C101" s="3283" t="s">
        <v>2938</v>
      </c>
      <c r="D101" s="3283" t="s">
        <v>2939</v>
      </c>
      <c r="E101" s="3308">
        <v>0.1</v>
      </c>
      <c r="F101" s="3302">
        <v>15</v>
      </c>
    </row>
    <row r="102" spans="1:6" ht="24">
      <c r="A102" s="3302">
        <v>30</v>
      </c>
      <c r="B102" s="3730"/>
      <c r="C102" s="3283" t="s">
        <v>2940</v>
      </c>
      <c r="D102" s="3283" t="s">
        <v>2941</v>
      </c>
      <c r="E102" s="3308">
        <v>0.1</v>
      </c>
      <c r="F102" s="3302">
        <v>15</v>
      </c>
    </row>
    <row r="103" spans="1:6" ht="24">
      <c r="A103" s="3302">
        <v>31</v>
      </c>
      <c r="B103" s="3730"/>
      <c r="C103" s="3283" t="s">
        <v>2942</v>
      </c>
      <c r="D103" s="3283" t="s">
        <v>2943</v>
      </c>
      <c r="E103" s="3308">
        <v>0.1</v>
      </c>
      <c r="F103" s="3302">
        <v>15</v>
      </c>
    </row>
    <row r="104" spans="1:6" ht="24">
      <c r="A104" s="3302">
        <v>32</v>
      </c>
      <c r="B104" s="3730"/>
      <c r="C104" s="3283" t="s">
        <v>2944</v>
      </c>
      <c r="D104" s="3283" t="s">
        <v>2945</v>
      </c>
      <c r="E104" s="3308">
        <v>0.1</v>
      </c>
      <c r="F104" s="3302">
        <v>15</v>
      </c>
    </row>
    <row r="105" spans="1:6" ht="24">
      <c r="A105" s="3302">
        <v>33</v>
      </c>
      <c r="B105" s="3730"/>
      <c r="C105" s="3283" t="s">
        <v>2946</v>
      </c>
      <c r="D105" s="3283" t="s">
        <v>2947</v>
      </c>
      <c r="E105" s="3308">
        <v>0.1</v>
      </c>
      <c r="F105" s="3302">
        <v>15</v>
      </c>
    </row>
    <row r="106" spans="1:6" ht="24">
      <c r="A106" s="3302">
        <v>34</v>
      </c>
      <c r="B106" s="3731"/>
      <c r="C106" s="3283" t="s">
        <v>2948</v>
      </c>
      <c r="D106" s="3283" t="s">
        <v>2949</v>
      </c>
      <c r="E106" s="3308">
        <v>0.1</v>
      </c>
      <c r="F106" s="3302">
        <v>15</v>
      </c>
    </row>
    <row r="107" spans="1:6" ht="24">
      <c r="A107" s="3302">
        <v>35</v>
      </c>
      <c r="B107" s="3729" t="s">
        <v>2950</v>
      </c>
      <c r="C107" s="3302" t="s">
        <v>2951</v>
      </c>
      <c r="D107" s="3283" t="s">
        <v>2952</v>
      </c>
      <c r="E107" s="3308">
        <v>0.15</v>
      </c>
      <c r="F107" s="3302">
        <v>20</v>
      </c>
    </row>
    <row r="108" spans="1:6" ht="24">
      <c r="A108" s="3302">
        <v>36</v>
      </c>
      <c r="B108" s="3730"/>
      <c r="C108" s="3302" t="s">
        <v>2953</v>
      </c>
      <c r="D108" s="3283" t="s">
        <v>2954</v>
      </c>
      <c r="E108" s="3308">
        <v>0.15</v>
      </c>
      <c r="F108" s="3302">
        <v>20</v>
      </c>
    </row>
    <row r="109" spans="1:6" ht="24">
      <c r="A109" s="3302">
        <v>37</v>
      </c>
      <c r="B109" s="3730"/>
      <c r="C109" s="3302" t="s">
        <v>2955</v>
      </c>
      <c r="D109" s="3283" t="s">
        <v>2956</v>
      </c>
      <c r="E109" s="3308">
        <v>0.15</v>
      </c>
      <c r="F109" s="3302">
        <v>20</v>
      </c>
    </row>
    <row r="110" spans="1:6" ht="13.5">
      <c r="A110" s="3302">
        <v>38</v>
      </c>
      <c r="B110" s="3730"/>
      <c r="C110" s="3302" t="s">
        <v>2957</v>
      </c>
      <c r="D110" s="3283" t="s">
        <v>2958</v>
      </c>
      <c r="E110" s="3308">
        <v>0.1</v>
      </c>
      <c r="F110" s="3302">
        <v>15</v>
      </c>
    </row>
    <row r="111" spans="1:6" ht="24">
      <c r="A111" s="3302">
        <v>39</v>
      </c>
      <c r="B111" s="3730"/>
      <c r="C111" s="3302" t="s">
        <v>2959</v>
      </c>
      <c r="D111" s="3283" t="s">
        <v>2960</v>
      </c>
      <c r="E111" s="3308">
        <v>0.1</v>
      </c>
      <c r="F111" s="3302">
        <v>15</v>
      </c>
    </row>
    <row r="112" spans="1:6" ht="24">
      <c r="A112" s="3302">
        <v>40</v>
      </c>
      <c r="B112" s="3731"/>
      <c r="C112" s="3302" t="s">
        <v>2961</v>
      </c>
      <c r="D112" s="3283" t="s">
        <v>2962</v>
      </c>
      <c r="E112" s="3308">
        <v>0.1</v>
      </c>
      <c r="F112" s="3302">
        <v>15</v>
      </c>
    </row>
    <row r="113" spans="1:6" ht="24">
      <c r="A113" s="3302">
        <v>41</v>
      </c>
      <c r="B113" s="3740" t="s">
        <v>2963</v>
      </c>
      <c r="C113" s="3302" t="s">
        <v>2964</v>
      </c>
      <c r="D113" s="3283" t="s">
        <v>2965</v>
      </c>
      <c r="E113" s="3308">
        <v>0.1</v>
      </c>
      <c r="F113" s="3302">
        <v>15</v>
      </c>
    </row>
    <row r="114" spans="1:6" ht="13.5">
      <c r="A114" s="3302">
        <v>42</v>
      </c>
      <c r="B114" s="3740"/>
      <c r="C114" s="3302" t="s">
        <v>2966</v>
      </c>
      <c r="D114" s="3283" t="s">
        <v>2967</v>
      </c>
      <c r="E114" s="3308">
        <v>0.1</v>
      </c>
      <c r="F114" s="3302">
        <v>15</v>
      </c>
    </row>
    <row r="115" spans="1:6" ht="24">
      <c r="A115" s="3302">
        <v>43</v>
      </c>
      <c r="B115" s="3740"/>
      <c r="C115" s="3302" t="s">
        <v>2968</v>
      </c>
      <c r="D115" s="3283" t="s">
        <v>2969</v>
      </c>
      <c r="E115" s="3308">
        <v>0.1</v>
      </c>
      <c r="F115" s="3302">
        <v>15</v>
      </c>
    </row>
    <row r="116" spans="1:6" ht="24">
      <c r="A116" s="3302">
        <v>44</v>
      </c>
      <c r="B116" s="3729" t="s">
        <v>2970</v>
      </c>
      <c r="C116" s="3302" t="s">
        <v>2971</v>
      </c>
      <c r="D116" s="3283" t="s">
        <v>2972</v>
      </c>
      <c r="E116" s="3308">
        <v>0.1</v>
      </c>
      <c r="F116" s="3302">
        <v>15</v>
      </c>
    </row>
    <row r="117" spans="1:6" ht="24">
      <c r="A117" s="3302">
        <v>45</v>
      </c>
      <c r="B117" s="3731"/>
      <c r="C117" s="3283" t="s">
        <v>2973</v>
      </c>
      <c r="D117" s="3283" t="s">
        <v>2974</v>
      </c>
      <c r="E117" s="3308">
        <v>0.1</v>
      </c>
      <c r="F117" s="3302">
        <v>15</v>
      </c>
    </row>
    <row r="118" spans="1:6" ht="24">
      <c r="A118" s="3302">
        <v>46</v>
      </c>
      <c r="B118" s="3729" t="s">
        <v>2975</v>
      </c>
      <c r="C118" s="3302" t="s">
        <v>2976</v>
      </c>
      <c r="D118" s="3283" t="s">
        <v>2977</v>
      </c>
      <c r="E118" s="3308">
        <v>0.1</v>
      </c>
      <c r="F118" s="3302">
        <v>15</v>
      </c>
    </row>
    <row r="119" spans="1:6" ht="24">
      <c r="A119" s="3302">
        <v>47</v>
      </c>
      <c r="B119" s="3731"/>
      <c r="C119" s="3302" t="s">
        <v>2978</v>
      </c>
      <c r="D119" s="3283" t="s">
        <v>2979</v>
      </c>
      <c r="E119" s="3308">
        <v>0.1</v>
      </c>
      <c r="F119" s="3302">
        <v>15</v>
      </c>
    </row>
    <row r="120" spans="1:6" ht="24">
      <c r="A120" s="3302">
        <v>48</v>
      </c>
      <c r="B120" s="3729" t="s">
        <v>2980</v>
      </c>
      <c r="C120" s="3302" t="s">
        <v>2981</v>
      </c>
      <c r="D120" s="3283" t="s">
        <v>2982</v>
      </c>
      <c r="E120" s="3308">
        <v>0.1</v>
      </c>
      <c r="F120" s="3302">
        <v>15</v>
      </c>
    </row>
    <row r="121" spans="1:6" ht="13.5">
      <c r="A121" s="3302">
        <v>49</v>
      </c>
      <c r="B121" s="3731"/>
      <c r="C121" s="3302" t="s">
        <v>2983</v>
      </c>
      <c r="D121" s="3283" t="s">
        <v>2984</v>
      </c>
      <c r="E121" s="3308">
        <v>0.1</v>
      </c>
      <c r="F121" s="3302">
        <v>15</v>
      </c>
    </row>
    <row r="122" spans="1:6" ht="24">
      <c r="A122" s="3302">
        <v>50</v>
      </c>
      <c r="B122" s="3740" t="s">
        <v>2985</v>
      </c>
      <c r="C122" s="3302" t="s">
        <v>2986</v>
      </c>
      <c r="D122" s="3283" t="s">
        <v>2987</v>
      </c>
      <c r="E122" s="3308">
        <v>0.1</v>
      </c>
      <c r="F122" s="3302">
        <v>15</v>
      </c>
    </row>
    <row r="123" spans="1:6" ht="24">
      <c r="A123" s="3302">
        <v>51</v>
      </c>
      <c r="B123" s="3740"/>
      <c r="C123" s="3302" t="s">
        <v>2988</v>
      </c>
      <c r="D123" s="3283" t="s">
        <v>2989</v>
      </c>
      <c r="E123" s="3308">
        <v>0.1</v>
      </c>
      <c r="F123" s="3302">
        <v>15</v>
      </c>
    </row>
    <row r="124" spans="1:6" ht="24">
      <c r="A124" s="3302">
        <v>52</v>
      </c>
      <c r="B124" s="3740" t="s">
        <v>2990</v>
      </c>
      <c r="C124" s="3302" t="s">
        <v>2991</v>
      </c>
      <c r="D124" s="3283" t="s">
        <v>2992</v>
      </c>
      <c r="E124" s="3308">
        <v>0.1</v>
      </c>
      <c r="F124" s="3302">
        <v>15</v>
      </c>
    </row>
    <row r="125" spans="1:6" ht="24">
      <c r="A125" s="3302">
        <v>53</v>
      </c>
      <c r="B125" s="3740"/>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40" t="s">
        <v>2998</v>
      </c>
      <c r="C127" s="3302" t="s">
        <v>2999</v>
      </c>
      <c r="D127" s="3283" t="s">
        <v>3000</v>
      </c>
      <c r="E127" s="3308">
        <v>0.1</v>
      </c>
      <c r="F127" s="3302">
        <v>15</v>
      </c>
    </row>
    <row r="128" spans="1:6" ht="13.5">
      <c r="A128" s="3302">
        <v>56</v>
      </c>
      <c r="B128" s="3740"/>
      <c r="C128" s="3302" t="s">
        <v>3001</v>
      </c>
      <c r="D128" s="3283" t="s">
        <v>3002</v>
      </c>
      <c r="E128" s="3308">
        <v>0.1</v>
      </c>
      <c r="F128" s="3302">
        <v>15</v>
      </c>
    </row>
    <row r="129" spans="1:6" ht="24">
      <c r="A129" s="3302">
        <v>57</v>
      </c>
      <c r="B129" s="3740"/>
      <c r="C129" s="3302" t="s">
        <v>3003</v>
      </c>
      <c r="D129" s="3283" t="s">
        <v>3004</v>
      </c>
      <c r="E129" s="3308">
        <v>0.1</v>
      </c>
      <c r="F129" s="3302">
        <v>15</v>
      </c>
    </row>
    <row r="130" spans="1:6" ht="24">
      <c r="A130" s="3302">
        <v>58</v>
      </c>
      <c r="B130" s="3740" t="s">
        <v>3005</v>
      </c>
      <c r="C130" s="3302" t="s">
        <v>3006</v>
      </c>
      <c r="D130" s="3283" t="s">
        <v>3007</v>
      </c>
      <c r="E130" s="3308">
        <v>0.1</v>
      </c>
      <c r="F130" s="3302">
        <v>15</v>
      </c>
    </row>
    <row r="131" spans="1:6" ht="24">
      <c r="A131" s="3302">
        <v>59</v>
      </c>
      <c r="B131" s="3740"/>
      <c r="C131" s="3302" t="s">
        <v>3008</v>
      </c>
      <c r="D131" s="3283" t="s">
        <v>3009</v>
      </c>
      <c r="E131" s="3308">
        <v>0.1</v>
      </c>
      <c r="F131" s="3302">
        <v>15</v>
      </c>
    </row>
    <row r="132" spans="1:6" ht="24">
      <c r="A132" s="3302">
        <v>60</v>
      </c>
      <c r="B132" s="3729" t="s">
        <v>3010</v>
      </c>
      <c r="C132" s="3302" t="s">
        <v>3011</v>
      </c>
      <c r="D132" s="3283" t="s">
        <v>3012</v>
      </c>
      <c r="E132" s="3308">
        <v>0.1</v>
      </c>
      <c r="F132" s="3302">
        <v>15</v>
      </c>
    </row>
    <row r="133" spans="1:6" ht="24">
      <c r="A133" s="3302">
        <v>61</v>
      </c>
      <c r="B133" s="3731"/>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40" t="s">
        <v>3018</v>
      </c>
      <c r="C135" s="3302" t="s">
        <v>3019</v>
      </c>
      <c r="D135" s="3283" t="s">
        <v>3020</v>
      </c>
      <c r="E135" s="3308">
        <v>0.1</v>
      </c>
      <c r="F135" s="3302">
        <v>15</v>
      </c>
    </row>
    <row r="136" spans="1:6" ht="13.5">
      <c r="A136" s="3302">
        <v>64</v>
      </c>
      <c r="B136" s="3740"/>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46" t="s">
        <v>782</v>
      </c>
      <c r="C1" s="3746"/>
      <c r="D1" s="3746"/>
      <c r="E1" s="3746"/>
      <c r="F1" s="3746"/>
      <c r="G1" s="3742" t="s">
        <v>783</v>
      </c>
      <c r="H1" s="3742"/>
      <c r="I1" s="3742"/>
      <c r="J1" s="3742"/>
      <c r="K1" s="3742"/>
      <c r="L1" s="3742"/>
      <c r="N1" s="3742" t="s">
        <v>784</v>
      </c>
      <c r="O1" s="3742"/>
      <c r="P1" s="3742"/>
      <c r="Q1" s="3742"/>
      <c r="S1" s="3742" t="s">
        <v>785</v>
      </c>
      <c r="T1" s="3742"/>
      <c r="U1" s="3742"/>
      <c r="V1" s="3742"/>
      <c r="X1" s="3741" t="s">
        <v>786</v>
      </c>
      <c r="Y1" s="3742"/>
      <c r="Z1" s="3742"/>
      <c r="AA1" s="3742"/>
      <c r="AB1" s="3742"/>
      <c r="AD1" s="3741" t="s">
        <v>787</v>
      </c>
      <c r="AE1" s="3742"/>
      <c r="AF1" s="3742"/>
      <c r="AG1" s="3742"/>
      <c r="AH1" s="3742"/>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2477</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44">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2472</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44"/>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2471</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44"/>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51"/>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47">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44"/>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44"/>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51"/>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47">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44"/>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44"/>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45"/>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43">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44"/>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44"/>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45"/>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43">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44"/>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44"/>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45"/>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48">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49"/>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49"/>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50"/>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43">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44"/>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44"/>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45"/>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43">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44">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44">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45">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43">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44">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44">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45">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43">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44">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44">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45">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43">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44">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44">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45">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43">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44">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44">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45">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43">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44">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44">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45">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43">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44">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44">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45">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43">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44">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44">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45">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43">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44">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44">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45">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43">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44">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44">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45">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44806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2641</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1"/>
      <c r="C2" s="3361"/>
      <c r="D2" s="3361"/>
      <c r="E2" s="3361"/>
    </row>
    <row r="3" spans="1:5" ht="13.5" customHeight="1">
      <c r="A3" s="1290"/>
      <c r="B3" s="1290"/>
      <c r="C3" s="1290"/>
      <c r="D3" s="1290"/>
      <c r="E3" s="1290"/>
    </row>
    <row r="4" spans="1:5" ht="19.5" thickBot="1">
      <c r="A4" s="3362" t="str">
        <f>IF(项目基本情况!D5="房地产市场价值","估价结果一览表（市场价值不需本页表格)","估价结果一览表")</f>
        <v>估价结果一览表</v>
      </c>
      <c r="B4" s="3362"/>
      <c r="C4" s="3362"/>
      <c r="D4" s="3362"/>
      <c r="E4" s="3362"/>
    </row>
    <row r="5" spans="1:5" ht="14.25" customHeight="1" thickTop="1">
      <c r="A5" s="1287"/>
      <c r="B5" s="1291" t="s">
        <v>562</v>
      </c>
      <c r="C5" s="3363" t="s">
        <v>593</v>
      </c>
      <c r="D5" s="3364"/>
      <c r="E5" s="1287"/>
    </row>
    <row r="6" spans="1:5" ht="14.25">
      <c r="A6" s="1287"/>
      <c r="B6" s="1292" t="str">
        <f>项目基本情况!I1</f>
        <v>北京市房地产</v>
      </c>
      <c r="C6" s="3365">
        <f>项目基本情况!C12</f>
        <v>84.33</v>
      </c>
      <c r="D6" s="3365"/>
      <c r="E6" s="1287"/>
    </row>
    <row r="7" spans="1:5" ht="14.25">
      <c r="A7" s="1287"/>
      <c r="B7" s="3359" t="s">
        <v>594</v>
      </c>
      <c r="C7" s="1293" t="str">
        <f>IF('数据-取费表'!B3="万元","总价（万元）","总价（元）")</f>
        <v>总价（元）</v>
      </c>
      <c r="D7" s="1294">
        <f ca="1">IF('数据-取费表'!E3="否",结果表!I102,'结果表 (1修多)'!I104)</f>
        <v>2571643</v>
      </c>
      <c r="E7" s="1287"/>
    </row>
    <row r="8" spans="1:5" ht="28.5">
      <c r="A8" s="1287"/>
      <c r="B8" s="3359"/>
      <c r="C8" s="1295" t="s">
        <v>924</v>
      </c>
      <c r="D8" s="1296" t="str">
        <f ca="1">IF('数据-取费表'!B3="万元",NUMBERSTRING(INT(D7*10000),2)&amp;"元整",NUMBERSTRING(INT(D7),2)&amp;"元整")</f>
        <v>贰佰伍拾柒万壹仟陆佰肆拾叁元整</v>
      </c>
      <c r="E8" s="1287"/>
    </row>
    <row r="9" spans="1:5" ht="14.25">
      <c r="A9" s="1287"/>
      <c r="B9" s="3359"/>
      <c r="C9" s="1297" t="s">
        <v>1020</v>
      </c>
      <c r="D9" s="1294">
        <f ca="1">IF('数据-取费表'!E3="否",结果表!I103,'结果表 (1修多)'!I105)</f>
        <v>30495</v>
      </c>
      <c r="E9" s="1287"/>
    </row>
    <row r="10" spans="1:5" ht="14.25">
      <c r="A10" s="1287"/>
      <c r="B10" s="3366"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6"/>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6" t="str">
        <f>IF('数据-取费表'!E3="否",结果表!F110,'结果表 (1修多)'!F112)</f>
        <v>3.房地产抵押价值</v>
      </c>
      <c r="C15" s="1288" t="str">
        <f>C7</f>
        <v>总价（元）</v>
      </c>
      <c r="D15" s="1294">
        <f ca="1">IF('数据-取费表'!E3="否",结果表!I110,'结果表 (1修多)'!I112)</f>
        <v>2571643</v>
      </c>
      <c r="E15" s="1287"/>
    </row>
    <row r="16" spans="1:5" ht="28.5">
      <c r="A16" s="1287"/>
      <c r="B16" s="3366"/>
      <c r="C16" s="1295" t="s">
        <v>924</v>
      </c>
      <c r="D16" s="1294" t="str">
        <f ca="1">IF('数据-取费表'!B3="万元",NUMBERSTRING(INT(D15*10000),2)&amp;"元整",NUMBERSTRING(INT(D15),2)&amp;"元整")</f>
        <v>贰佰伍拾柒万壹仟陆佰肆拾叁元整</v>
      </c>
      <c r="E16" s="1287"/>
    </row>
    <row r="17" spans="1:5" ht="14.25">
      <c r="A17" s="1287"/>
      <c r="B17" s="3366"/>
      <c r="C17" s="1297" t="s">
        <v>1020</v>
      </c>
      <c r="D17" s="1294">
        <f ca="1">IF('数据-取费表'!E3="否",结果表!I111,'结果表 (1修多)'!I113)</f>
        <v>30495</v>
      </c>
      <c r="E17" s="1287"/>
    </row>
    <row r="18" spans="1:5" ht="14.25">
      <c r="A18" s="1287"/>
      <c r="B18" s="3366" t="str">
        <f>IF('数据-取费表'!E3="否",结果表!F112,'结果表 (1修多)'!F114)</f>
        <v>——</v>
      </c>
      <c r="C18" s="1288" t="str">
        <f>C7</f>
        <v>总价（元）</v>
      </c>
      <c r="D18" s="1294" t="str">
        <f>IF('数据-取费表'!E3="否",结果表!I112,'结果表 (1修多)'!I114)</f>
        <v>——</v>
      </c>
      <c r="E18" s="1287"/>
    </row>
    <row r="19" spans="1:5" ht="14.25">
      <c r="A19" s="1287"/>
      <c r="B19" s="3366"/>
      <c r="C19" s="1295" t="s">
        <v>924</v>
      </c>
      <c r="D19" s="1294" t="e">
        <f>IF('数据-取费表'!B3="万元",NUMBERSTRING(INT(D18*10000),2)&amp;"元整",NUMBERSTRING(INT(D18),2)&amp;"元整")</f>
        <v>#VALUE!</v>
      </c>
      <c r="E19" s="1287"/>
    </row>
    <row r="20" spans="1:5" ht="14.25">
      <c r="A20" s="1287"/>
      <c r="B20" s="3366"/>
      <c r="C20" s="1297" t="s">
        <v>1020</v>
      </c>
      <c r="D20" s="1294" t="str">
        <f>IF('数据-取费表'!E3="否",结果表!I113,'结果表 (1修多)'!I115)</f>
        <v>——</v>
      </c>
      <c r="E20" s="1287"/>
    </row>
    <row r="21" spans="1:5" ht="14.25">
      <c r="A21" s="1287"/>
      <c r="B21" s="3359" t="str">
        <f>IF('数据-取费表'!E3="否",结果表!F114,'结果表 (1修多)'!F116)</f>
        <v>——</v>
      </c>
      <c r="C21" s="1293" t="str">
        <f>C7</f>
        <v>总价（元）</v>
      </c>
      <c r="D21" s="1294" t="str">
        <f>IF('数据-取费表'!E3="否",结果表!I114,'结果表 (1修多)'!I116)</f>
        <v>——</v>
      </c>
      <c r="E21" s="1287"/>
    </row>
    <row r="22" spans="1:5" ht="14.25">
      <c r="A22" s="1287"/>
      <c r="B22" s="3359"/>
      <c r="C22" s="1295" t="s">
        <v>924</v>
      </c>
      <c r="D22" s="1296" t="e">
        <f>IF('数据-取费表'!B3="万元",NUMBERSTRING(INT(D21*10000),2)&amp;"元整",NUMBERSTRING(INT(D21),2)&amp;"元整")</f>
        <v>#VALUE!</v>
      </c>
      <c r="E22" s="1287"/>
    </row>
    <row r="23" spans="1:5" ht="15" thickBot="1">
      <c r="A23" s="1287"/>
      <c r="B23" s="336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1" t="s">
        <v>1021</v>
      </c>
      <c r="C25" s="3351"/>
      <c r="D25" s="3351"/>
      <c r="E25" s="1287"/>
    </row>
    <row r="26" spans="1:5" ht="18.75" customHeight="1" thickTop="1">
      <c r="A26" s="1287"/>
      <c r="B26" s="3354" t="s">
        <v>923</v>
      </c>
      <c r="C26" s="3355"/>
      <c r="D26" s="3352" t="s">
        <v>922</v>
      </c>
      <c r="E26" s="1287"/>
    </row>
    <row r="27" spans="1:5" ht="18.75" customHeight="1">
      <c r="A27" s="1287"/>
      <c r="B27" s="3356"/>
      <c r="C27" s="3357"/>
      <c r="D27" s="3353"/>
      <c r="E27" s="1287"/>
    </row>
    <row r="28" spans="1:5" ht="14.25">
      <c r="A28" s="1287"/>
      <c r="B28" s="3344" t="s">
        <v>594</v>
      </c>
      <c r="C28" s="1304" t="s">
        <v>925</v>
      </c>
      <c r="D28" s="1305">
        <f ca="1">IF('数据-取费表'!E3="否",结果表!I102,'结果表 (1修多)'!I104)</f>
        <v>2571643</v>
      </c>
      <c r="E28" s="1287"/>
    </row>
    <row r="29" spans="1:5" ht="28.5">
      <c r="A29" s="1287"/>
      <c r="B29" s="3345"/>
      <c r="C29" s="1306" t="s">
        <v>924</v>
      </c>
      <c r="D29" s="1307" t="str">
        <f ca="1">IF('数据-取费表'!B3="万元",NUMBERSTRING(INT(D28*10000),2)&amp;"元整",NUMBERSTRING(INT(D28),2)&amp;"元整")</f>
        <v>贰佰伍拾柒万壹仟陆佰肆拾叁元整</v>
      </c>
      <c r="E29" s="1287"/>
    </row>
    <row r="30" spans="1:5" ht="14.25">
      <c r="A30" s="1287"/>
      <c r="B30" s="3346"/>
      <c r="C30" s="1297" t="s">
        <v>927</v>
      </c>
      <c r="D30" s="1308">
        <f ca="1">IF('数据-取费表'!E3="否",结果表!I103,'结果表 (1修多)'!I105)</f>
        <v>30495</v>
      </c>
      <c r="E30" s="1287"/>
    </row>
    <row r="31" spans="1:5" ht="14.25">
      <c r="A31" s="1287"/>
      <c r="B31" s="3349" t="str">
        <f>B10</f>
        <v>2.估价师所知悉的法定优先受偿款</v>
      </c>
      <c r="C31" s="1309" t="s">
        <v>926</v>
      </c>
      <c r="D31" s="1310">
        <f>IF('数据-取费表'!E3="否",结果表!I105,'结果表 (1修多)'!I107)</f>
        <v>0</v>
      </c>
      <c r="E31" s="1287"/>
    </row>
    <row r="32" spans="1:5" ht="14.25">
      <c r="A32" s="1287"/>
      <c r="B32" s="335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7" t="str">
        <f>B15</f>
        <v>3.房地产抵押价值</v>
      </c>
      <c r="C36" s="1309" t="str">
        <f>C28</f>
        <v>总价</v>
      </c>
      <c r="D36" s="1310">
        <f ca="1">IF('数据-取费表'!E3="否",结果表!I110,'结果表 (1修多)'!I112)</f>
        <v>2571643</v>
      </c>
      <c r="E36" s="1287"/>
    </row>
    <row r="37" spans="1:5" ht="28.5">
      <c r="A37" s="1287"/>
      <c r="B37" s="3347"/>
      <c r="C37" s="1306" t="s">
        <v>924</v>
      </c>
      <c r="D37" s="1311" t="str">
        <f ca="1">IF('数据-取费表'!B3="万元",NUMBERSTRING(INT(D36*10000),2)&amp;"元整",NUMBERSTRING(INT(D36),2)&amp;"元整")</f>
        <v>贰佰伍拾柒万壹仟陆佰肆拾叁元整</v>
      </c>
      <c r="E37" s="1287"/>
    </row>
    <row r="38" spans="1:5" ht="14.25">
      <c r="A38" s="1287"/>
      <c r="B38" s="3347"/>
      <c r="C38" s="1297" t="s">
        <v>928</v>
      </c>
      <c r="D38" s="1308">
        <f ca="1">IF('数据-取费表'!E3="否",结果表!D113,'结果表 (1修多)'!D117)</f>
        <v>30495</v>
      </c>
      <c r="E38" s="1287"/>
    </row>
    <row r="39" spans="1:5" ht="14.25">
      <c r="A39" s="1287"/>
      <c r="B39" s="3348" t="str">
        <f>B18</f>
        <v>——</v>
      </c>
      <c r="C39" s="1309" t="str">
        <f>C28</f>
        <v>总价</v>
      </c>
      <c r="D39" s="1310" t="str">
        <f>IF('数据-取费表'!E3="否",结果表!I112,'结果表 (1修多)'!I114)</f>
        <v>——</v>
      </c>
      <c r="E39" s="1287"/>
    </row>
    <row r="40" spans="1:5" ht="14.25">
      <c r="A40" s="1287"/>
      <c r="B40" s="3348"/>
      <c r="C40" s="1306" t="s">
        <v>924</v>
      </c>
      <c r="D40" s="1311" t="e">
        <f>IF('数据-取费表'!B3="万元",NUMBERSTRING(INT(D39*10000),2)&amp;"元整",NUMBERSTRING(INT(D39),2)&amp;"元整")</f>
        <v>#VALUE!</v>
      </c>
      <c r="E40" s="1287"/>
    </row>
    <row r="41" spans="1:5" ht="14.25">
      <c r="A41" s="1287"/>
      <c r="B41" s="3348"/>
      <c r="C41" s="1297" t="s">
        <v>928</v>
      </c>
      <c r="D41" s="1308" t="str">
        <f>IF('数据-取费表'!E3="否",结果表!D115,'结果表 (1修多)'!D119)</f>
        <v>——</v>
      </c>
      <c r="E41" s="1287"/>
    </row>
    <row r="42" spans="1:5" ht="14.25">
      <c r="A42" s="1287"/>
      <c r="B42" s="3347" t="str">
        <f>B21</f>
        <v>——</v>
      </c>
      <c r="C42" s="1309" t="str">
        <f>C28</f>
        <v>总价</v>
      </c>
      <c r="D42" s="1310" t="str">
        <f>IF('数据-取费表'!E3="否",结果表!I114,'结果表 (1修多)'!I116)</f>
        <v>——</v>
      </c>
      <c r="E42" s="1287"/>
    </row>
    <row r="43" spans="1:5" ht="14.25">
      <c r="A43" s="1287"/>
      <c r="B43" s="3349"/>
      <c r="C43" s="1306" t="s">
        <v>924</v>
      </c>
      <c r="D43" s="1312" t="e">
        <f>IF('数据-取费表'!B3="万元",NUMBERSTRING(INT(D42*10000),2)&amp;"元整",NUMBERSTRING(INT(D42),2)&amp;"元整")</f>
        <v>#VALUE!</v>
      </c>
      <c r="E43" s="1287"/>
    </row>
    <row r="44" spans="1:5" ht="15" thickBot="1">
      <c r="A44" s="1287"/>
      <c r="B44" s="335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3" t="str">
        <f>IF(项目基本情况!D5="房地产市场价值","估价结果一览表","结果表-2")</f>
        <v>结果表-2</v>
      </c>
      <c r="B1" s="3373"/>
      <c r="C1" s="3373"/>
      <c r="D1" s="3373"/>
      <c r="E1" s="3373"/>
      <c r="F1" s="3373"/>
      <c r="G1" s="3373"/>
      <c r="H1" s="3373"/>
      <c r="I1" s="3373"/>
    </row>
    <row r="2" spans="1:9" ht="30" customHeight="1" thickTop="1">
      <c r="A2" s="3374" t="s">
        <v>1022</v>
      </c>
      <c r="B2" s="3374" t="s">
        <v>1023</v>
      </c>
      <c r="C2" s="3374" t="s">
        <v>1024</v>
      </c>
      <c r="D2" s="3374" t="str">
        <f>IF('数据-取费表'!E3="否",结果表!D119,'结果表 (1修多)'!D123)</f>
        <v>出让国有建设用地使用权价值</v>
      </c>
      <c r="E2" s="3374"/>
      <c r="F2" s="3374" t="s">
        <v>1025</v>
      </c>
      <c r="G2" s="3374"/>
      <c r="H2" s="3374" t="s">
        <v>1026</v>
      </c>
      <c r="I2" s="3374"/>
    </row>
    <row r="3" spans="1:9" ht="15">
      <c r="A3" s="3367"/>
      <c r="B3" s="3367"/>
      <c r="C3" s="3367"/>
      <c r="D3" s="776" t="s">
        <v>1027</v>
      </c>
      <c r="E3" s="776" t="s">
        <v>1028</v>
      </c>
      <c r="F3" s="776" t="s">
        <v>1027</v>
      </c>
      <c r="G3" s="776" t="s">
        <v>1029</v>
      </c>
      <c r="H3" s="776" t="s">
        <v>1027</v>
      </c>
      <c r="I3" s="776" t="s">
        <v>1029</v>
      </c>
    </row>
    <row r="4" spans="1:9" ht="46.5" customHeight="1">
      <c r="A4" s="776" t="str">
        <f>项目基本情况!I1</f>
        <v>北京市房地产</v>
      </c>
      <c r="B4" s="776">
        <f>结果表!B121</f>
        <v>84.33</v>
      </c>
      <c r="C4" s="776">
        <f>结果表!C121</f>
        <v>0</v>
      </c>
      <c r="D4" s="776">
        <f ca="1">IF('数据-取费表'!E3="否",结果表!D121,'结果表 (1修多)'!D125)</f>
        <v>2067603</v>
      </c>
      <c r="E4" s="776">
        <f ca="1">IF('数据-取费表'!E3="否",结果表!E121,'结果表 (1修多)'!E125)</f>
        <v>24518</v>
      </c>
      <c r="F4" s="776">
        <f ca="1">IF('数据-取费表'!E3="否",结果表!F121,'结果表 (1修多)'!F125)</f>
        <v>504040</v>
      </c>
      <c r="G4" s="776">
        <f ca="1">IF('数据-取费表'!E3="否",结果表!G121,'结果表 (1修多)'!G125)</f>
        <v>5977</v>
      </c>
      <c r="H4" s="776">
        <f ca="1">IF('数据-取费表'!E3="否",结果表!H121,'结果表 (1修多)'!H125)</f>
        <v>2571643</v>
      </c>
      <c r="I4" s="776">
        <f ca="1">IF('数据-取费表'!E3="否",结果表!I121,'结果表 (1修多)'!I125)</f>
        <v>30495</v>
      </c>
    </row>
    <row r="5" spans="1:9" ht="15">
      <c r="A5" s="3367" t="s">
        <v>1030</v>
      </c>
      <c r="B5" s="3367"/>
      <c r="C5" s="3367"/>
      <c r="D5" s="3368" t="str">
        <f ca="1">IF('数据-取费表'!E3="否",结果表!D122,'结果表 (1修多)'!D126)</f>
        <v>贰佰零陆万柒仟陆佰零叁元整</v>
      </c>
      <c r="E5" s="3368"/>
      <c r="F5" s="3368" t="str">
        <f ca="1">IF('数据-取费表'!E3="否",结果表!F122,'结果表 (1修多)'!F126)</f>
        <v>伍拾万肆仟零肆拾元整</v>
      </c>
      <c r="G5" s="3368"/>
      <c r="H5" s="3368" t="str">
        <f ca="1">IF('数据-取费表'!E3="否",结果表!H122,'结果表 (1修多)'!H126)</f>
        <v>贰佰伍拾柒万壹仟陆佰肆拾叁元整</v>
      </c>
      <c r="I5" s="3368"/>
    </row>
    <row r="6" spans="1:9" ht="15.75">
      <c r="A6" s="3369" t="str">
        <f>IF('数据-取费表'!E3="否",结果表!A123,'结果表 (1修多)'!A127)</f>
        <v>估价师所知悉的法定优先受偿款</v>
      </c>
      <c r="B6" s="3369"/>
      <c r="C6" s="3369"/>
      <c r="D6" s="3369">
        <f>IF('数据-取费表'!E3="否",结果表!D123,'结果表 (1修多)'!D127)</f>
        <v>0</v>
      </c>
      <c r="E6" s="3369"/>
      <c r="F6" s="3369"/>
      <c r="G6" s="3369"/>
      <c r="H6" s="3369"/>
      <c r="I6" s="3369"/>
    </row>
    <row r="7" spans="1:9" ht="15">
      <c r="A7" s="3367" t="s">
        <v>1030</v>
      </c>
      <c r="B7" s="3367"/>
      <c r="C7" s="3367"/>
      <c r="D7" s="3375">
        <f>IF('数据-取费表'!E3="否",结果表!D124,'结果表 (1修多)'!D128)</f>
        <v>0</v>
      </c>
      <c r="E7" s="3376"/>
      <c r="F7" s="3376"/>
      <c r="G7" s="3376"/>
      <c r="H7" s="3376"/>
      <c r="I7" s="3377"/>
    </row>
    <row r="8" spans="1:9" ht="15.75">
      <c r="A8" s="3369" t="str">
        <f>IF('数据-取费表'!E3="否",结果表!A125,'结果表 (1修多)'!A129)</f>
        <v>房地产抵押价值</v>
      </c>
      <c r="B8" s="3369"/>
      <c r="C8" s="3369"/>
      <c r="D8" s="3369">
        <f ca="1">IF('数据-取费表'!E3="否",结果表!D125,'结果表 (1修多)'!D129)</f>
        <v>2571643</v>
      </c>
      <c r="E8" s="3369"/>
      <c r="F8" s="3369"/>
      <c r="G8" s="3369"/>
      <c r="H8" s="3369"/>
      <c r="I8" s="3369"/>
    </row>
    <row r="9" spans="1:9" ht="15">
      <c r="A9" s="3367" t="s">
        <v>1030</v>
      </c>
      <c r="B9" s="3367"/>
      <c r="C9" s="3367"/>
      <c r="D9" s="3368">
        <f ca="1">IF('数据-取费表'!E3="否",结果表!D126,'结果表 (1修多)'!D130)</f>
        <v>30495</v>
      </c>
      <c r="E9" s="3368"/>
      <c r="F9" s="3368"/>
      <c r="G9" s="3368"/>
      <c r="H9" s="3368"/>
      <c r="I9" s="3368"/>
    </row>
    <row r="10" spans="1:9" ht="15.75">
      <c r="A10" s="3369" t="str">
        <f>IF('数据-取费表'!E3="否",结果表!A127,'结果表 (1修多)'!A131)</f>
        <v/>
      </c>
      <c r="B10" s="3369"/>
      <c r="C10" s="3369"/>
      <c r="D10" s="3369" t="str">
        <f>IF('数据-取费表'!E3="否",结果表!D127,'结果表 (1修多)'!D130)</f>
        <v>——</v>
      </c>
      <c r="E10" s="3369"/>
      <c r="F10" s="3369"/>
      <c r="G10" s="3369"/>
      <c r="H10" s="3369"/>
      <c r="I10" s="3369"/>
    </row>
    <row r="11" spans="1:9" ht="15">
      <c r="A11" s="3367" t="s">
        <v>1030</v>
      </c>
      <c r="B11" s="3367"/>
      <c r="C11" s="3367"/>
      <c r="D11" s="3368" t="str">
        <f>IF('数据-取费表'!E3="否",结果表!D128,'结果表 (1修多)'!D132)</f>
        <v>——</v>
      </c>
      <c r="E11" s="3368"/>
      <c r="F11" s="3368"/>
      <c r="G11" s="3368"/>
      <c r="H11" s="3368"/>
      <c r="I11" s="3368"/>
    </row>
    <row r="12" spans="1:9" ht="15.75">
      <c r="A12" s="3369" t="str">
        <f>IF('数据-取费表'!E3="否",结果表!A129,'结果表 (1修多)'!A133)</f>
        <v/>
      </c>
      <c r="B12" s="3369"/>
      <c r="C12" s="3369"/>
      <c r="D12" s="3369" t="str">
        <f>IF('数据-取费表'!E3="否",结果表!D129,'结果表 (1修多)'!D133)</f>
        <v>——</v>
      </c>
      <c r="E12" s="3369"/>
      <c r="F12" s="3369"/>
      <c r="G12" s="3369"/>
      <c r="H12" s="3369"/>
      <c r="I12" s="3369"/>
    </row>
    <row r="13" spans="1:9" ht="15.75" thickBot="1">
      <c r="A13" s="3370" t="s">
        <v>1030</v>
      </c>
      <c r="B13" s="3370"/>
      <c r="C13" s="3370"/>
      <c r="D13" s="3371">
        <f>IF('数据-取费表'!E3="否",结果表!D130,'结果表 (1修多)'!D134)</f>
        <v>0</v>
      </c>
      <c r="E13" s="3371"/>
      <c r="F13" s="3371"/>
      <c r="G13" s="3371"/>
      <c r="H13" s="3371"/>
      <c r="I13" s="3371"/>
    </row>
    <row r="14" spans="1:9" ht="15" thickTop="1">
      <c r="A14" s="3372" t="str">
        <f>IF('数据-取费表'!E3="否",结果表!A131,'结果表 (1修多)'!A135)</f>
        <v>单位：平方米、元、元/平方米（币种：人民币）</v>
      </c>
      <c r="B14" s="3372"/>
      <c r="C14" s="3372"/>
      <c r="D14" s="3372"/>
      <c r="E14" s="3372"/>
      <c r="F14" s="3372"/>
      <c r="G14" s="3372"/>
      <c r="H14" s="3372"/>
      <c r="I14" s="337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9" t="s">
        <v>1043</v>
      </c>
      <c r="B1" s="3379"/>
      <c r="C1" s="3379"/>
      <c r="D1" s="3379"/>
    </row>
    <row r="2" spans="1:4" ht="18">
      <c r="A2" s="3378" t="s">
        <v>1032</v>
      </c>
      <c r="B2" s="3378"/>
      <c r="C2" s="3378"/>
      <c r="D2" s="3378"/>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78" t="s">
        <v>1037</v>
      </c>
      <c r="B7" s="3378"/>
      <c r="C7" s="3378"/>
      <c r="D7" s="337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0" t="s">
        <v>2495</v>
      </c>
      <c r="B12" s="3381"/>
      <c r="C12" s="3381"/>
      <c r="D12" s="3381"/>
    </row>
    <row r="13" spans="1:4" ht="15.75">
      <c r="A13" s="33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1"/>
      <c r="C13" s="3381"/>
      <c r="D13" s="3381"/>
    </row>
    <row r="14" spans="1:4" ht="30" customHeight="1">
      <c r="A14" s="338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1"/>
      <c r="C14" s="3381"/>
      <c r="D14" s="3381"/>
    </row>
    <row r="15" spans="1:4" ht="15.75" customHeight="1">
      <c r="A15" s="3380" t="str">
        <f>IF(项目基本情况!D4="抵押","4.本次评估估价师所知悉的法定优先受偿款情况说明如下：","——")</f>
        <v>4.本次评估估价师所知悉的法定优先受偿款情况说明如下：</v>
      </c>
      <c r="B15" s="3381"/>
      <c r="C15" s="3381"/>
      <c r="D15" s="3381"/>
    </row>
    <row r="16" spans="1:4" ht="75" customHeight="1">
      <c r="A16" s="3380" t="str">
        <f>IF(项目基本情况!D4="抵押",CONCATENATE(项目基本情况!J13,项目基本情况!J14,项目基本情况!J15),"——")</f>
        <v>根据估价对象、，截至价值时点，估价对象抵押权未见登记。</v>
      </c>
      <c r="B16" s="3380"/>
      <c r="C16" s="3380"/>
      <c r="D16" s="3380"/>
    </row>
    <row r="17" spans="1:4" ht="63.75" customHeight="1">
      <c r="A17" s="3382" t="s">
        <v>1045</v>
      </c>
      <c r="B17" s="3382"/>
      <c r="C17" s="3382"/>
      <c r="D17" s="3382"/>
    </row>
    <row r="18" spans="1:4" ht="15.75" customHeight="1">
      <c r="A18" s="3380" t="str">
        <f>IF(项目基本情况!D4="抵押",结果表!L106,"——")</f>
        <v>本次评估不存在估价师所知悉的法定优先受偿款。</v>
      </c>
      <c r="B18" s="3380"/>
      <c r="C18" s="3380"/>
      <c r="D18" s="3380"/>
    </row>
    <row r="19" spans="1:4" ht="46.5" customHeight="1">
      <c r="A19" s="33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15">
      <c r="A20" s="3382" t="s">
        <v>2496</v>
      </c>
      <c r="B20" s="3382"/>
      <c r="C20" s="3382"/>
      <c r="D20" s="338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8" t="s">
        <v>1124</v>
      </c>
      <c r="B15" s="3383" t="s">
        <v>1125</v>
      </c>
      <c r="C15" s="3384"/>
    </row>
    <row r="16" spans="1:7" ht="14.25">
      <c r="A16" s="3389"/>
      <c r="B16" s="3383" t="s">
        <v>1126</v>
      </c>
      <c r="C16" s="3384"/>
    </row>
    <row r="17" spans="1:3" ht="14.25">
      <c r="A17" s="3389"/>
      <c r="B17" s="3383" t="s">
        <v>1127</v>
      </c>
      <c r="C17" s="3384"/>
    </row>
    <row r="18" spans="1:3" ht="14.25">
      <c r="A18" s="3390"/>
      <c r="B18" s="3385" t="s">
        <v>1128</v>
      </c>
      <c r="C18" s="3384"/>
    </row>
    <row r="19" spans="1:3" ht="14.25">
      <c r="A19" s="1340" t="s">
        <v>1129</v>
      </c>
      <c r="B19" s="1341"/>
      <c r="C19" s="1342"/>
    </row>
    <row r="20" spans="1:3" ht="14.25">
      <c r="A20" s="3386" t="s">
        <v>1130</v>
      </c>
      <c r="B20" s="3385" t="s">
        <v>1131</v>
      </c>
      <c r="C20" s="3384"/>
    </row>
    <row r="21" spans="1:3" ht="14.25">
      <c r="A21" s="3386"/>
      <c r="B21" s="3385" t="s">
        <v>1132</v>
      </c>
      <c r="C21" s="3384"/>
    </row>
    <row r="22" spans="1:3" ht="14.25">
      <c r="A22" s="3386"/>
      <c r="B22" s="3385" t="s">
        <v>1133</v>
      </c>
      <c r="C22" s="3384"/>
    </row>
    <row r="23" spans="1:3" ht="14.25">
      <c r="A23" s="3386"/>
      <c r="B23" s="3387" t="s">
        <v>1134</v>
      </c>
      <c r="C23" s="1343" t="s">
        <v>1135</v>
      </c>
    </row>
    <row r="24" spans="1:3" ht="14.25">
      <c r="A24" s="3386"/>
      <c r="B24" s="3387"/>
      <c r="C24" s="1343" t="s">
        <v>1136</v>
      </c>
    </row>
    <row r="25" spans="1:3" ht="14.25">
      <c r="A25" s="3386"/>
      <c r="B25" s="3387"/>
      <c r="C25" s="1343" t="s">
        <v>1137</v>
      </c>
    </row>
    <row r="26" spans="1:3" ht="14.25">
      <c r="A26" s="3386"/>
      <c r="B26" s="3387"/>
      <c r="C26" s="1343" t="s">
        <v>1138</v>
      </c>
    </row>
    <row r="27" spans="1:3" ht="14.25">
      <c r="A27" s="3386"/>
      <c r="B27" s="3387"/>
      <c r="C27" s="1343" t="s">
        <v>1139</v>
      </c>
    </row>
    <row r="28" spans="1:3" ht="14.25">
      <c r="A28" s="3386"/>
      <c r="B28" s="3387"/>
      <c r="C28" s="1343" t="s">
        <v>1140</v>
      </c>
    </row>
    <row r="29" spans="1:3" ht="14.25">
      <c r="A29" s="3386"/>
      <c r="B29" s="3387"/>
      <c r="C29" s="1343" t="s">
        <v>1141</v>
      </c>
    </row>
    <row r="30" spans="1:3" ht="14.25">
      <c r="A30" s="3386"/>
      <c r="B30" s="3387"/>
      <c r="C30" s="1343" t="s">
        <v>1142</v>
      </c>
    </row>
    <row r="31" spans="1:3" ht="14.25">
      <c r="A31" s="3386"/>
      <c r="B31" s="338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44817</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2488</v>
      </c>
      <c r="B14" s="1230">
        <f ca="1">IF(C14&lt;B2,"已过期",1119980106)</f>
        <v>1119980106</v>
      </c>
      <c r="C14" s="2990">
        <v>44969</v>
      </c>
      <c r="D14" s="2997" t="str">
        <f t="shared" ca="1" si="0"/>
        <v>刘俊财（注册号：1119980106）</v>
      </c>
      <c r="E14" s="2999" t="s">
        <v>2588</v>
      </c>
      <c r="F14" s="1230">
        <f ca="1">IF(G14&lt;B2,"已过期",96010063)</f>
        <v>96010063</v>
      </c>
      <c r="G14" s="2988">
        <v>47483</v>
      </c>
      <c r="H14" s="2989" t="str">
        <f t="shared" ca="1" si="1"/>
        <v>刘俊财（注册号：96010063）</v>
      </c>
    </row>
    <row r="15" spans="1:8" ht="24" customHeight="1">
      <c r="A15" s="1230" t="s">
        <v>2800</v>
      </c>
      <c r="B15" s="1230">
        <v>1120210056</v>
      </c>
      <c r="C15" s="2990">
        <v>45410</v>
      </c>
      <c r="D15" s="2997" t="str">
        <f t="shared" ref="D15" si="2">A15&amp;"（注册号："&amp;B15&amp;"）"</f>
        <v>宁小鳗（注册号：1120210056）</v>
      </c>
      <c r="E15" s="2999" t="s">
        <v>2591</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91" t="s">
        <v>582</v>
      </c>
      <c r="B17" s="3391"/>
      <c r="C17" s="3391"/>
      <c r="D17" s="3391"/>
      <c r="E17" s="3391"/>
      <c r="F17" s="3391"/>
      <c r="G17" s="3391"/>
      <c r="H17" s="3391"/>
    </row>
    <row r="18" spans="1:8" ht="24" customHeight="1">
      <c r="A18" s="3392" t="s">
        <v>583</v>
      </c>
      <c r="B18" s="3392"/>
      <c r="C18" s="3392"/>
      <c r="D18" s="2986"/>
      <c r="E18" s="3393" t="s">
        <v>584</v>
      </c>
      <c r="F18" s="3392"/>
      <c r="G18" s="339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晋国田拟使用北京市房地产作为抵押担保物，向XX办理贷款手续。XX特委托北京康正宏基房地产评估有限公司对上述抵押物进行评估。本次评估为确定房地产抵押贷款额度提供参考依据而评估房地产抵押价值。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row>
    <row r="54" spans="1:4">
      <c r="A54" s="3394"/>
      <c r="B54" s="9" t="s">
        <v>1280</v>
      </c>
      <c r="C54" s="9" t="s">
        <v>1281</v>
      </c>
    </row>
    <row r="55" spans="1:4">
      <c r="A55" s="3394"/>
      <c r="B55" s="9" t="s">
        <v>1282</v>
      </c>
      <c r="C55" s="9" t="s">
        <v>1283</v>
      </c>
    </row>
    <row r="56" spans="1:4">
      <c r="A56" s="3394"/>
      <c r="B56" s="9" t="s">
        <v>1284</v>
      </c>
      <c r="C56" s="9" t="s">
        <v>1285</v>
      </c>
    </row>
    <row r="57" spans="1:4">
      <c r="A57" s="339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2022-09-13T05:42:54Z</dcterms:modified>
</cp:coreProperties>
</file>