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宁波\结果\"/>
    </mc:Choice>
  </mc:AlternateContent>
  <bookViews>
    <workbookView xWindow="0" yWindow="0" windowWidth="19200" windowHeight="11040" tabRatio="820"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面积表" sheetId="77" r:id="rId13"/>
    <sheet name="3号楼" sheetId="82" r:id="rId14"/>
    <sheet name="6号楼" sheetId="83" r:id="rId15"/>
    <sheet name="7号楼" sheetId="84" r:id="rId16"/>
    <sheet name="地下车位" sheetId="81" r:id="rId17"/>
    <sheet name="抵押物清单（分楼）" sheetId="42" state="hidden" r:id="rId18"/>
    <sheet name="数据-汇总表" sheetId="6" r:id="rId19"/>
    <sheet name="数据-取费表" sheetId="1" r:id="rId20"/>
    <sheet name="估价对象房地状况" sheetId="20" r:id="rId21"/>
    <sheet name="系统读取表" sheetId="74" r:id="rId22"/>
    <sheet name="结果表（公寓）" sheetId="9" r:id="rId23"/>
    <sheet name="成本法" sheetId="68" r:id="rId24"/>
    <sheet name="成本法 (元)" sheetId="69" state="hidden" r:id="rId25"/>
    <sheet name="假设开发法" sheetId="12"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r:id="rId34"/>
    <sheet name="土地案例" sheetId="85" r:id="rId35"/>
    <sheet name="收益法" sheetId="15" r:id="rId36"/>
    <sheet name="结果表 (车位)" sheetId="7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比较法-车位" sheetId="35" r:id="rId44"/>
    <sheet name="收益法 (车位)" sheetId="67" r:id="rId45"/>
    <sheet name="收益法11 " sheetId="80" state="hidden" r:id="rId46"/>
    <sheet name="典型户型修正" sheetId="31" state="hidden" r:id="rId47"/>
    <sheet name="Sheet2" sheetId="78"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0" hidden="1">'比较法-办公'!$A$1:$L$50</definedName>
    <definedName name="_xlnm._FilterDatabase" localSheetId="32" hidden="1">'比较法-仓储'!$A$1:$L$37</definedName>
    <definedName name="_xlnm._FilterDatabase" localSheetId="4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3">成本法!$A$1:$G$52</definedName>
    <definedName name="_xlnm.Print_Area" localSheetId="20">估价对象房地状况!$A$1:$G$24</definedName>
    <definedName name="_xlnm.Print_Area" localSheetId="8">估价师及机构信息!$A$1:$F$29</definedName>
    <definedName name="_xlnm.Print_Area" localSheetId="35">收益法!$A$1:$F$43</definedName>
    <definedName name="_xlnm.Print_Area" localSheetId="44">'收益法 (车位)'!$A$1:$AK$69</definedName>
    <definedName name="_xlnm.Print_Area" localSheetId="45">'收益法11 '!$A$1:$F$43</definedName>
    <definedName name="_xlnm.Print_Area" localSheetId="18">'数据-汇总表'!$A$1:$I$32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79" l="1"/>
  <c r="F6" i="67"/>
  <c r="F8" i="67"/>
  <c r="F7" i="67"/>
  <c r="F9" i="67"/>
  <c r="C6" i="67"/>
  <c r="F4" i="73"/>
  <c r="I1" i="73"/>
  <c r="B39" i="1"/>
  <c r="F11" i="67"/>
  <c r="C10" i="67"/>
  <c r="C5" i="67"/>
  <c r="C32" i="67"/>
  <c r="C33" i="67"/>
  <c r="R7" i="1"/>
  <c r="F35" i="67"/>
  <c r="C34" i="67"/>
  <c r="C31" i="67"/>
  <c r="F43" i="67"/>
  <c r="C14" i="67"/>
  <c r="C15" i="67"/>
  <c r="F16" i="67"/>
  <c r="C16" i="67"/>
  <c r="C17" i="67"/>
  <c r="C18" i="67"/>
  <c r="C19" i="67"/>
  <c r="C20" i="67"/>
  <c r="D6" i="73"/>
  <c r="K1" i="73"/>
  <c r="D5" i="73"/>
  <c r="G1" i="73"/>
  <c r="B40" i="1"/>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2" i="67"/>
  <c r="D19" i="79"/>
  <c r="G19" i="79"/>
  <c r="D15" i="74"/>
  <c r="G15" i="74"/>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D14" i="74"/>
  <c r="B5" i="74"/>
  <c r="E23" i="85"/>
  <c r="B11" i="77"/>
  <c r="G11" i="77"/>
  <c r="J127" i="84"/>
  <c r="C9" i="77"/>
  <c r="E12" i="77"/>
  <c r="D127" i="84"/>
  <c r="D127" i="83"/>
  <c r="D229" i="82"/>
  <c r="B7" i="77"/>
  <c r="B9" i="77"/>
  <c r="B2" i="35"/>
  <c r="I13" i="3"/>
  <c r="BB13" i="3"/>
  <c r="BA13" i="3"/>
  <c r="AZ13" i="3"/>
  <c r="AZ5" i="3"/>
  <c r="H13" i="3"/>
  <c r="G13" i="3"/>
  <c r="G5" i="3"/>
  <c r="B3" i="3"/>
  <c r="F7" i="77"/>
  <c r="F9" i="77"/>
  <c r="A3" i="3"/>
  <c r="AY6" i="3"/>
  <c r="D3" i="6"/>
  <c r="E3" i="6"/>
  <c r="D20" i="6"/>
  <c r="F19" i="6"/>
  <c r="E19" i="6"/>
  <c r="BA5" i="3"/>
  <c r="E27" i="6"/>
  <c r="K20" i="6"/>
  <c r="L20" i="6"/>
  <c r="M20" i="6"/>
  <c r="I20" i="6"/>
  <c r="H20" i="6"/>
  <c r="R20" i="6"/>
  <c r="K7" i="1"/>
  <c r="S7" i="1"/>
  <c r="M19" i="79"/>
  <c r="C118" i="79"/>
  <c r="C15" i="74"/>
  <c r="M18" i="79"/>
  <c r="B118" i="79"/>
  <c r="B15" i="74"/>
  <c r="F8" i="77"/>
  <c r="F6" i="77"/>
  <c r="E9" i="77"/>
  <c r="D3" i="77"/>
  <c r="C3" i="77"/>
  <c r="C6" i="77"/>
  <c r="J91" i="84"/>
  <c r="J92" i="84"/>
  <c r="J93" i="84"/>
  <c r="J94" i="84"/>
  <c r="C7" i="77"/>
  <c r="C8" i="77"/>
  <c r="E38" i="39"/>
  <c r="E11" i="39"/>
  <c r="E7" i="39"/>
  <c r="E5" i="39"/>
  <c r="E46" i="39"/>
  <c r="J126" i="84"/>
  <c r="J4" i="84"/>
  <c r="J5" i="84"/>
  <c r="J6" i="84"/>
  <c r="J7" i="84"/>
  <c r="J8" i="84"/>
  <c r="J9" i="84"/>
  <c r="J10" i="84"/>
  <c r="J11" i="84"/>
  <c r="J12" i="84"/>
  <c r="J13" i="84"/>
  <c r="J14" i="84"/>
  <c r="J15" i="84"/>
  <c r="J16" i="84"/>
  <c r="J17" i="84"/>
  <c r="J18" i="84"/>
  <c r="J19" i="84"/>
  <c r="J20" i="84"/>
  <c r="J21" i="84"/>
  <c r="J22" i="84"/>
  <c r="J23" i="84"/>
  <c r="J24" i="84"/>
  <c r="J25" i="84"/>
  <c r="J26" i="84"/>
  <c r="J27" i="84"/>
  <c r="J28" i="84"/>
  <c r="J29" i="84"/>
  <c r="J30" i="84"/>
  <c r="J31" i="84"/>
  <c r="J32" i="84"/>
  <c r="J33" i="84"/>
  <c r="J34" i="84"/>
  <c r="J35" i="84"/>
  <c r="J36" i="84"/>
  <c r="J37" i="84"/>
  <c r="J38" i="84"/>
  <c r="J39" i="84"/>
  <c r="J40" i="84"/>
  <c r="J41" i="84"/>
  <c r="J42" i="84"/>
  <c r="J43" i="84"/>
  <c r="J44" i="84"/>
  <c r="J45" i="84"/>
  <c r="J46" i="84"/>
  <c r="J47" i="84"/>
  <c r="J48" i="84"/>
  <c r="J49" i="84"/>
  <c r="J50" i="84"/>
  <c r="J51" i="84"/>
  <c r="J52" i="84"/>
  <c r="J53" i="84"/>
  <c r="J54" i="84"/>
  <c r="J55" i="84"/>
  <c r="J56" i="84"/>
  <c r="J57" i="84"/>
  <c r="J58" i="84"/>
  <c r="J59" i="84"/>
  <c r="J60" i="84"/>
  <c r="J61" i="84"/>
  <c r="J62" i="84"/>
  <c r="J63" i="84"/>
  <c r="J64" i="84"/>
  <c r="J65" i="84"/>
  <c r="J66" i="84"/>
  <c r="J67" i="84"/>
  <c r="J68" i="84"/>
  <c r="J69" i="84"/>
  <c r="J70" i="84"/>
  <c r="J71" i="84"/>
  <c r="J72" i="84"/>
  <c r="J73" i="84"/>
  <c r="J74" i="84"/>
  <c r="J75" i="84"/>
  <c r="J76" i="84"/>
  <c r="J77" i="84"/>
  <c r="J78" i="84"/>
  <c r="J79" i="84"/>
  <c r="J80" i="84"/>
  <c r="J81" i="84"/>
  <c r="J82" i="84"/>
  <c r="J83" i="84"/>
  <c r="J84" i="84"/>
  <c r="J85" i="84"/>
  <c r="J86" i="84"/>
  <c r="J87" i="84"/>
  <c r="J88" i="84"/>
  <c r="J89" i="84"/>
  <c r="J90" i="84"/>
  <c r="J95" i="84"/>
  <c r="J96" i="84"/>
  <c r="J97" i="84"/>
  <c r="J98" i="84"/>
  <c r="J99" i="84"/>
  <c r="J100" i="84"/>
  <c r="J101" i="84"/>
  <c r="J102" i="84"/>
  <c r="J103" i="84"/>
  <c r="J104" i="84"/>
  <c r="J105" i="84"/>
  <c r="J106" i="84"/>
  <c r="J107" i="84"/>
  <c r="J108" i="84"/>
  <c r="J109" i="84"/>
  <c r="J110" i="84"/>
  <c r="J111" i="84"/>
  <c r="J112" i="84"/>
  <c r="J113" i="84"/>
  <c r="J114" i="84"/>
  <c r="J115" i="84"/>
  <c r="J116" i="84"/>
  <c r="J117" i="84"/>
  <c r="J118" i="84"/>
  <c r="J119" i="84"/>
  <c r="J120" i="84"/>
  <c r="J121" i="84"/>
  <c r="J122" i="84"/>
  <c r="J123" i="84"/>
  <c r="J124" i="84"/>
  <c r="J125" i="84"/>
  <c r="E7" i="77"/>
  <c r="I7" i="35"/>
  <c r="G7" i="35"/>
  <c r="E7" i="35"/>
  <c r="D124" i="39"/>
  <c r="E124" i="39"/>
  <c r="F124" i="39"/>
  <c r="F41" i="39"/>
  <c r="AA41" i="39"/>
  <c r="H41" i="39"/>
  <c r="AB41" i="39"/>
  <c r="H25" i="39"/>
  <c r="AB25" i="39"/>
  <c r="J41" i="39"/>
  <c r="AC41" i="39"/>
  <c r="I46" i="39"/>
  <c r="G46" i="39"/>
  <c r="I38" i="39"/>
  <c r="G38" i="39"/>
  <c r="C38" i="39"/>
  <c r="I11" i="39"/>
  <c r="G11" i="39"/>
  <c r="C11" i="39"/>
  <c r="F3" i="77"/>
  <c r="L9" i="77"/>
  <c r="L8" i="77"/>
  <c r="J8" i="77"/>
  <c r="J6" i="77"/>
  <c r="D71" i="39"/>
  <c r="E71" i="39"/>
  <c r="F71" i="39"/>
  <c r="G71" i="39"/>
  <c r="H71" i="39"/>
  <c r="I71" i="39"/>
  <c r="J71" i="39"/>
  <c r="K71" i="39"/>
  <c r="L71" i="39"/>
  <c r="M71" i="39"/>
  <c r="N71" i="39"/>
  <c r="O71" i="39"/>
  <c r="I7" i="39"/>
  <c r="G7" i="39"/>
  <c r="I5" i="39"/>
  <c r="G5" i="39"/>
  <c r="M3" i="85"/>
  <c r="M4" i="85"/>
  <c r="M5" i="85"/>
  <c r="M6" i="85"/>
  <c r="M7" i="85"/>
  <c r="M8" i="85"/>
  <c r="M9" i="85"/>
  <c r="M2" i="85"/>
  <c r="G3" i="85"/>
  <c r="G4" i="85"/>
  <c r="G5" i="85"/>
  <c r="G6" i="85"/>
  <c r="G7" i="85"/>
  <c r="G8" i="85"/>
  <c r="G9" i="85"/>
  <c r="G2" i="85"/>
  <c r="G30" i="77"/>
  <c r="Y6" i="1"/>
  <c r="N7" i="1"/>
  <c r="K14" i="3"/>
  <c r="G20" i="6"/>
  <c r="I207" i="81"/>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4" i="81"/>
  <c r="D3" i="4"/>
  <c r="D104" i="84"/>
  <c r="D4" i="84"/>
  <c r="D4" i="83"/>
  <c r="D207" i="81"/>
  <c r="C207" i="81"/>
  <c r="A6" i="1"/>
  <c r="A7" i="1"/>
  <c r="G1" i="80"/>
  <c r="K6" i="1"/>
  <c r="M6" i="1"/>
  <c r="BB5" i="3"/>
  <c r="E8" i="6"/>
  <c r="F27" i="6"/>
  <c r="E20" i="6"/>
  <c r="BC14" i="3"/>
  <c r="BA14" i="3"/>
  <c r="K19" i="6"/>
  <c r="S6" i="1"/>
  <c r="T6" i="1"/>
  <c r="M7" i="1"/>
  <c r="T7" i="1"/>
  <c r="K8" i="1"/>
  <c r="M8" i="1"/>
  <c r="S8" i="1"/>
  <c r="T8" i="1"/>
  <c r="C14" i="80"/>
  <c r="F15" i="80"/>
  <c r="C15" i="80"/>
  <c r="F16" i="80"/>
  <c r="C16" i="80"/>
  <c r="F17" i="80"/>
  <c r="F43" i="80"/>
  <c r="C17" i="80"/>
  <c r="F18" i="80"/>
  <c r="C18" i="80"/>
  <c r="C19" i="80"/>
  <c r="F20" i="80"/>
  <c r="C20" i="80"/>
  <c r="C1" i="73"/>
  <c r="J1" i="73"/>
  <c r="D3" i="73"/>
  <c r="B22" i="1"/>
  <c r="E1" i="73"/>
  <c r="F24" i="80"/>
  <c r="F23" i="80"/>
  <c r="C23" i="80"/>
  <c r="F26" i="80"/>
  <c r="C26" i="80"/>
  <c r="F21" i="80"/>
  <c r="C24" i="80"/>
  <c r="C27" i="80"/>
  <c r="B43" i="1"/>
  <c r="B41" i="1"/>
  <c r="F28" i="80"/>
  <c r="B2" i="1"/>
  <c r="C42" i="1"/>
  <c r="C28" i="80"/>
  <c r="C29" i="80"/>
  <c r="F13" i="80"/>
  <c r="C13" i="80"/>
  <c r="F6" i="80"/>
  <c r="F8" i="80"/>
  <c r="F7" i="80"/>
  <c r="F9" i="80"/>
  <c r="C6" i="80"/>
  <c r="L1" i="73"/>
  <c r="F11" i="80"/>
  <c r="C10" i="80"/>
  <c r="C5" i="80"/>
  <c r="F32" i="80"/>
  <c r="C32" i="80"/>
  <c r="F33" i="80"/>
  <c r="C33" i="80"/>
  <c r="B52" i="1"/>
  <c r="F34" i="80"/>
  <c r="L19" i="6"/>
  <c r="M19" i="6"/>
  <c r="I19" i="6"/>
  <c r="AZ14" i="3"/>
  <c r="H14" i="3"/>
  <c r="G14" i="3"/>
  <c r="H19" i="6"/>
  <c r="D19" i="6"/>
  <c r="R19" i="6"/>
  <c r="R8" i="1"/>
  <c r="F35" i="80"/>
  <c r="C34" i="80"/>
  <c r="C31" i="80"/>
  <c r="F36" i="80"/>
  <c r="C36" i="80"/>
  <c r="F37" i="80"/>
  <c r="C37" i="80"/>
  <c r="F38" i="80"/>
  <c r="C38" i="80"/>
  <c r="C30" i="80"/>
  <c r="C39" i="80"/>
  <c r="F42" i="80"/>
  <c r="F40" i="80"/>
  <c r="F6" i="1"/>
  <c r="J50" i="15"/>
  <c r="J51" i="15"/>
  <c r="M47" i="80"/>
  <c r="G15" i="4"/>
  <c r="F7" i="1"/>
  <c r="L48" i="80"/>
  <c r="J50" i="80"/>
  <c r="J51" i="80"/>
  <c r="J53" i="80"/>
  <c r="F1" i="80"/>
  <c r="AE8" i="1"/>
  <c r="F41" i="80"/>
  <c r="C40" i="80"/>
  <c r="C83" i="80"/>
  <c r="C82" i="80"/>
  <c r="C76" i="80"/>
  <c r="C75" i="80"/>
  <c r="C80" i="80"/>
  <c r="C79" i="80"/>
  <c r="M6" i="80"/>
  <c r="M8" i="80"/>
  <c r="M7" i="80"/>
  <c r="M9" i="80"/>
  <c r="J6" i="80"/>
  <c r="M11" i="80"/>
  <c r="J10" i="80"/>
  <c r="J5" i="80"/>
  <c r="J26" i="80"/>
  <c r="J29" i="80"/>
  <c r="Q65" i="80"/>
  <c r="L51" i="80"/>
  <c r="L57" i="80"/>
  <c r="D6" i="1"/>
  <c r="D7" i="1"/>
  <c r="L47" i="80"/>
  <c r="L58" i="80"/>
  <c r="L59" i="80"/>
  <c r="L60" i="80"/>
  <c r="Q66" i="80"/>
  <c r="Q75" i="80"/>
  <c r="Q74" i="80"/>
  <c r="K59" i="80"/>
  <c r="P74"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Q67" i="80"/>
  <c r="Q56" i="80"/>
  <c r="Q57" i="80"/>
  <c r="Q62" i="80"/>
  <c r="Q61" i="80"/>
  <c r="P61" i="80"/>
  <c r="Q60" i="80"/>
  <c r="J57" i="80"/>
  <c r="J55" i="80"/>
  <c r="J58" i="80"/>
  <c r="J59" i="80"/>
  <c r="J60" i="80"/>
  <c r="Q59" i="80"/>
  <c r="N59" i="80"/>
  <c r="B24" i="1"/>
  <c r="M59" i="80"/>
  <c r="F59" i="80"/>
  <c r="Q58" i="80"/>
  <c r="L56" i="80"/>
  <c r="I54" i="80"/>
  <c r="Q47" i="80"/>
  <c r="Q48" i="80"/>
  <c r="Q53" i="80"/>
  <c r="Q52" i="80"/>
  <c r="Q51" i="80"/>
  <c r="Q50" i="80"/>
  <c r="Q49" i="80"/>
  <c r="L46"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E111" i="79"/>
  <c r="H111" i="79"/>
  <c r="D126" i="79"/>
  <c r="D127" i="79"/>
  <c r="A126" i="79"/>
  <c r="E109" i="79"/>
  <c r="H109" i="79"/>
  <c r="D124" i="79"/>
  <c r="D125" i="79"/>
  <c r="A124" i="79"/>
  <c r="E107" i="79"/>
  <c r="F20" i="68"/>
  <c r="B23" i="1"/>
  <c r="F21" i="68"/>
  <c r="C21" i="68"/>
  <c r="F35" i="68"/>
  <c r="C40" i="68"/>
  <c r="K9" i="1"/>
  <c r="M9" i="1"/>
  <c r="K10" i="1"/>
  <c r="M10" i="1"/>
  <c r="K11" i="1"/>
  <c r="M11" i="1"/>
  <c r="K12" i="1"/>
  <c r="M12" i="1"/>
  <c r="K13" i="1"/>
  <c r="M13" i="1"/>
  <c r="K14" i="1"/>
  <c r="M14" i="1"/>
  <c r="M16" i="1"/>
  <c r="N16" i="1"/>
  <c r="F50" i="68"/>
  <c r="C17" i="79"/>
  <c r="D17" i="79"/>
  <c r="C18" i="79"/>
  <c r="F15" i="15"/>
  <c r="F20" i="15"/>
  <c r="F23" i="15"/>
  <c r="F21" i="15"/>
  <c r="F33" i="15"/>
  <c r="F33" i="67"/>
  <c r="C76" i="67"/>
  <c r="L51" i="67"/>
  <c r="J50" i="67"/>
  <c r="J51" i="67"/>
  <c r="L57" i="67"/>
  <c r="L47" i="67"/>
  <c r="L58" i="67"/>
  <c r="L59" i="67"/>
  <c r="L60" i="67"/>
  <c r="D18" i="79"/>
  <c r="C24" i="79"/>
  <c r="H105" i="79"/>
  <c r="H106" i="79"/>
  <c r="H103" i="79"/>
  <c r="A122" i="79"/>
  <c r="D120" i="79"/>
  <c r="D121" i="79"/>
  <c r="A120" i="79"/>
  <c r="K120" i="79"/>
  <c r="D120" i="39"/>
  <c r="E120" i="39"/>
  <c r="F39" i="39"/>
  <c r="AA39" i="39"/>
  <c r="G7" i="1"/>
  <c r="G16" i="1"/>
  <c r="F10" i="39"/>
  <c r="AA10" i="39"/>
  <c r="F9" i="39"/>
  <c r="AA9" i="39"/>
  <c r="R47" i="39"/>
  <c r="H39" i="39"/>
  <c r="AB39" i="39"/>
  <c r="H10" i="39"/>
  <c r="AB10" i="39"/>
  <c r="H9" i="39"/>
  <c r="AB9" i="39"/>
  <c r="T47" i="39"/>
  <c r="J39" i="39"/>
  <c r="AC39" i="39"/>
  <c r="J10" i="39"/>
  <c r="AC10" i="39"/>
  <c r="J9" i="39"/>
  <c r="AC9" i="39"/>
  <c r="V47" i="39"/>
  <c r="R48" i="39"/>
  <c r="C47" i="39"/>
  <c r="C6" i="68"/>
  <c r="C7" i="68"/>
  <c r="B3" i="68"/>
  <c r="C57" i="68"/>
  <c r="B3" i="67"/>
  <c r="C83" i="67"/>
  <c r="D35" i="7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S2" i="4"/>
  <c r="A118" i="79"/>
  <c r="H112" i="79"/>
  <c r="H110" i="79"/>
  <c r="H104" i="79"/>
  <c r="B3" i="15"/>
  <c r="D20" i="79"/>
  <c r="D103" i="79"/>
  <c r="D102" i="79"/>
  <c r="D101" i="79"/>
  <c r="C101" i="79"/>
  <c r="D89" i="79"/>
  <c r="C89" i="79"/>
  <c r="C87" i="79"/>
  <c r="C91" i="79"/>
  <c r="C92" i="79"/>
  <c r="D93" i="79"/>
  <c r="C94" i="79"/>
  <c r="E90" i="79"/>
  <c r="C76" i="79"/>
  <c r="D77" i="79"/>
  <c r="C77" i="79"/>
  <c r="C74" i="79"/>
  <c r="D78" i="79"/>
  <c r="H77" i="79"/>
  <c r="D68" i="79"/>
  <c r="D48" i="79"/>
  <c r="M52"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C56" i="68"/>
  <c r="C82" i="67"/>
  <c r="D34" i="79"/>
  <c r="F33" i="79"/>
  <c r="D27" i="79"/>
  <c r="C25" i="79"/>
  <c r="L19" i="79"/>
  <c r="D21" i="79"/>
  <c r="L18" i="79"/>
  <c r="L4" i="79"/>
  <c r="K4" i="79"/>
  <c r="A2" i="79"/>
  <c r="H1" i="79"/>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M47" i="15"/>
  <c r="G1"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D46"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D78" i="9"/>
  <c r="E21" i="6"/>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G124" i="39"/>
  <c r="H124" i="39"/>
  <c r="I124" i="39"/>
  <c r="J124" i="39"/>
  <c r="K124" i="39"/>
  <c r="L124" i="39"/>
  <c r="M124"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AA13" i="39"/>
  <c r="S13" i="39"/>
  <c r="S14" i="39"/>
  <c r="AA14" i="39"/>
  <c r="U43" i="39"/>
  <c r="AB43" i="39"/>
  <c r="AB11" i="39"/>
  <c r="U11" i="39"/>
  <c r="AA27" i="39"/>
  <c r="S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M24" i="67"/>
  <c r="M23" i="15"/>
  <c r="M22" i="15"/>
  <c r="M26" i="67"/>
  <c r="M28" i="15"/>
  <c r="J15" i="15"/>
  <c r="L47" i="15"/>
  <c r="J15" i="67"/>
  <c r="C76" i="15"/>
  <c r="M22" i="67"/>
  <c r="M28" i="67"/>
  <c r="M26" i="15"/>
  <c r="M29" i="67"/>
  <c r="M29" i="15"/>
  <c r="M23" i="67"/>
  <c r="C53" i="15"/>
  <c r="C53" i="67"/>
  <c r="L58" i="15"/>
  <c r="Q73" i="15"/>
  <c r="N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C58" i="15"/>
  <c r="C67" i="15"/>
  <c r="F69" i="15"/>
  <c r="C43" i="15"/>
  <c r="Q57" i="15"/>
  <c r="Q66" i="15"/>
  <c r="F69" i="67"/>
  <c r="C68" i="67"/>
  <c r="C71"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D2" i="37"/>
  <c r="D2" i="36"/>
  <c r="D2" i="21"/>
  <c r="F20" i="31"/>
  <c r="D2" i="34"/>
  <c r="D2" i="33"/>
  <c r="E2" i="68"/>
  <c r="D2" i="35"/>
  <c r="B20" i="31"/>
  <c r="B2" i="36"/>
  <c r="B3" i="36"/>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C48" i="39"/>
  <c r="F66" i="3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 r="C20" i="79"/>
  <c r="G20" i="79"/>
  <c r="C21" i="79"/>
  <c r="G21" i="79"/>
  <c r="D22" i="79"/>
  <c r="C32" i="79"/>
  <c r="H118" i="79"/>
  <c r="H101" i="79"/>
  <c r="M48" i="79"/>
  <c r="D45" i="79"/>
  <c r="D52" i="79"/>
  <c r="D53" i="79"/>
  <c r="C64" i="79"/>
  <c r="C63" i="79"/>
  <c r="C67" i="79"/>
  <c r="C68" i="79"/>
  <c r="D54" i="79"/>
  <c r="D55" i="79"/>
  <c r="M53" i="79"/>
  <c r="C85" i="79"/>
  <c r="C93" i="79"/>
  <c r="C86" i="79"/>
  <c r="C95" i="79"/>
  <c r="C96" i="79"/>
  <c r="C97" i="79"/>
  <c r="D58" i="79"/>
  <c r="D56" i="79"/>
  <c r="M54" i="79"/>
  <c r="N57" i="79"/>
  <c r="H107" i="79"/>
  <c r="M49" i="79"/>
  <c r="P57" i="79"/>
  <c r="N58" i="79"/>
  <c r="N59" i="79"/>
  <c r="N60" i="79"/>
  <c r="N61" i="79"/>
  <c r="L63" i="79"/>
  <c r="M63" i="79"/>
  <c r="L64" i="79"/>
  <c r="M64" i="79"/>
  <c r="L65" i="79"/>
  <c r="M65" i="79"/>
  <c r="L66" i="79"/>
  <c r="M66" i="79"/>
  <c r="L67" i="79"/>
  <c r="M67" i="79"/>
  <c r="L68" i="79"/>
  <c r="M68" i="79"/>
  <c r="M69" i="79"/>
  <c r="N69" i="79"/>
  <c r="C72" i="79"/>
  <c r="C78" i="79"/>
  <c r="C73" i="79"/>
  <c r="C79" i="79"/>
  <c r="C80" i="79"/>
  <c r="C81" i="79"/>
  <c r="E80" i="79"/>
  <c r="E81" i="79"/>
  <c r="E96" i="79"/>
  <c r="E97" i="79"/>
  <c r="C102" i="79"/>
  <c r="I118" i="79"/>
  <c r="H102" i="79"/>
  <c r="C103" i="79"/>
  <c r="C104" i="79"/>
  <c r="C105" i="79"/>
  <c r="H108" i="79"/>
  <c r="C35" i="79"/>
  <c r="F118" i="79"/>
  <c r="G118" i="79"/>
  <c r="E118" i="79"/>
  <c r="C34" i="79"/>
  <c r="D118" i="79"/>
  <c r="D119" i="79"/>
  <c r="F119" i="79"/>
  <c r="H119" i="79"/>
  <c r="D122" i="79"/>
  <c r="D123"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<sst xmlns="http://schemas.openxmlformats.org/spreadsheetml/2006/main" count="10601" uniqueCount="4111">
  <si>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</si>
  <si>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</si>
  <si>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</si>
  <si>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</si>
  <si>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</si>
  <si>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</si>
  <si>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</si>
  <si>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</si>
  <si>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</si>
  <si>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</si>
  <si>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</si>
  <si>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</si>
  <si>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</si>
  <si>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</si>
  <si>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</si>
  <si>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</si>
  <si>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</si>
  <si>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</si>
  <si>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</si>
  <si>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</si>
  <si>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</si>
  <si>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</si>
  <si>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</si>
  <si>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</si>
  <si>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</si>
  <si>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</si>
  <si>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</si>
  <si>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</si>
  <si>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</si>
  <si>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</si>
  <si>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</si>
  <si>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</si>
  <si>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</si>
  <si>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</si>
  <si>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</si>
  <si>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</si>
  <si>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</si>
  <si>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</si>
  <si>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</si>
  <si>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</si>
  <si>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</si>
  <si>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</si>
  <si>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</si>
  <si>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</si>
  <si>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</si>
  <si>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</si>
  <si>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</si>
  <si>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</si>
  <si>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</si>
  <si>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</si>
  <si>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</si>
  <si>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</si>
  <si>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</si>
  <si>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</si>
  <si>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</si>
  <si>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</si>
  <si>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</si>
  <si>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</si>
  <si>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</si>
  <si>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</si>
  <si>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</si>
  <si>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</si>
  <si>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</si>
  <si>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</si>
  <si>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</si>
  <si>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</si>
  <si>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</si>
  <si>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</si>
  <si>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</si>
  <si>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</si>
  <si>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</si>
  <si>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</si>
  <si>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</si>
  <si>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</si>
  <si>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</si>
  <si>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</si>
  <si>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</si>
  <si>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</si>
  <si>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</si>
  <si>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</si>
  <si>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</si>
  <si>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</si>
  <si>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</si>
  <si>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</si>
  <si>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</si>
  <si>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</si>
  <si>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</si>
  <si>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</si>
  <si>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</si>
  <si>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</si>
  <si>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</si>
  <si>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</si>
  <si>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</si>
  <si>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</si>
  <si>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</si>
  <si>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</si>
  <si>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</si>
  <si>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</si>
  <si>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</si>
  <si>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</si>
  <si>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</si>
  <si>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</si>
  <si>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</si>
  <si>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</si>
  <si>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</si>
  <si>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</si>
  <si>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</si>
  <si>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</si>
  <si>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</si>
  <si>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</si>
  <si>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</si>
  <si>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</si>
  <si>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</si>
  <si>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</si>
  <si>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</si>
  <si>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</si>
  <si>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</si>
  <si>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</si>
  <si>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</si>
  <si>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</si>
  <si>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</si>
  <si>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</si>
  <si>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</si>
  <si>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</si>
  <si>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</si>
  <si>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</si>
  <si>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</si>
  <si>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</si>
  <si>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</si>
  <si>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</si>
  <si>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</si>
  <si>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</si>
  <si>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</si>
  <si>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</si>
  <si>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</si>
  <si>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</si>
  <si>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</si>
  <si>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</si>
  <si>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</si>
  <si>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</si>
  <si>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</si>
  <si>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</si>
  <si>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</si>
  <si>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</si>
  <si>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</si>
  <si>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</si>
  <si>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</si>
  <si>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</si>
  <si>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</si>
  <si>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</si>
  <si>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</si>
  <si>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</si>
  <si>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</si>
  <si>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</si>
  <si>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</si>
  <si>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</si>
  <si>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</si>
  <si>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</si>
  <si>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</si>
  <si>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</si>
  <si>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</si>
  <si>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</si>
  <si>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</si>
  <si>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</si>
  <si>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</si>
  <si>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</si>
  <si>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</si>
  <si>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</si>
  <si>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</si>
  <si>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</si>
  <si>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</si>
  <si>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</si>
  <si>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</si>
  <si>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</si>
  <si>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</si>
  <si>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</si>
  <si>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</si>
  <si>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</si>
  <si>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</si>
  <si>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</si>
  <si>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</si>
  <si>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</si>
  <si>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</si>
  <si>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</si>
  <si>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</si>
  <si>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</si>
  <si>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</si>
  <si>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</si>
  <si>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</si>
  <si>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</si>
  <si>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</si>
  <si>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</si>
  <si>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</si>
  <si>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</si>
  <si>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</si>
  <si>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</si>
  <si>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</si>
  <si>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</si>
  <si>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</si>
  <si>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</si>
  <si>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</si>
  <si>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</si>
  <si>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</si>
  <si>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</si>
  <si>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</si>
  <si>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</si>
  <si>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</si>
  <si>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</si>
  <si>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</si>
  <si>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</si>
  <si>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</si>
  <si>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</si>
  <si>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</si>
  <si>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</si>
  <si>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</si>
  <si>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</si>
  <si>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</si>
  <si>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</si>
  <si>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</si>
  <si>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</si>
  <si>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</si>
  <si>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</si>
  <si>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</si>
  <si>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</si>
  <si>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</si>
  <si>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</si>
  <si>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</si>
  <si>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</si>
  <si>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</si>
  <si>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</si>
  <si>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</si>
  <si>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</si>
  <si>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</si>
  <si>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</si>
  <si>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</si>
  <si>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</si>
  <si>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</si>
  <si>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</si>
  <si>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</si>
  <si>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</si>
  <si>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</si>
  <si>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</si>
  <si>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</si>
  <si>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</si>
  <si>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</si>
  <si>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</si>
  <si>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</si>
  <si>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</si>
  <si>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</si>
  <si>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</si>
  <si>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</si>
  <si>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</si>
  <si>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</si>
  <si>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</si>
  <si>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</si>
  <si>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</si>
  <si>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</si>
  <si>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</si>
  <si>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</si>
  <si>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</si>
  <si>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</si>
  <si>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</si>
  <si>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</si>
  <si>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</si>
  <si>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</si>
  <si>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</si>
  <si>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</si>
  <si>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</si>
  <si>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</si>
  <si>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</si>
  <si>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</si>
  <si>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</si>
  <si>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</si>
  <si>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</si>
  <si>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</si>
  <si>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</si>
  <si>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</si>
  <si>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</si>
  <si>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</si>
  <si>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</si>
  <si>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</si>
  <si>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</si>
  <si>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</si>
  <si>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</si>
  <si>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</si>
  <si>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</si>
  <si>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</si>
  <si>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</si>
  <si>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</si>
  <si>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</si>
  <si>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</si>
  <si>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</si>
  <si>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</si>
  <si>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</si>
  <si>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</si>
  <si>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</si>
  <si>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</si>
  <si>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</si>
  <si>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</si>
  <si>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</si>
  <si>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</si>
  <si>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</si>
  <si>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</si>
  <si>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</si>
  <si>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</si>
  <si>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</si>
  <si>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</si>
  <si>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</si>
  <si>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</si>
  <si>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</si>
  <si>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</si>
  <si>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</si>
  <si>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</si>
  <si>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</si>
  <si>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</si>
  <si>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</si>
  <si>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</si>
  <si>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</si>
  <si>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</si>
  <si>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</si>
  <si>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</si>
  <si>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</si>
  <si>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</si>
  <si>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</si>
  <si>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</si>
  <si>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</si>
  <si>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</si>
  <si>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</si>
  <si>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</si>
  <si>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</si>
  <si>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</si>
  <si>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</si>
  <si>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</si>
  <si>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</si>
  <si>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</si>
  <si>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</si>
  <si>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</si>
  <si>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</si>
  <si>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</si>
  <si>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</si>
  <si>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</si>
  <si>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</si>
  <si>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</si>
  <si>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</si>
  <si>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</si>
  <si>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</si>
  <si>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</si>
  <si>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</si>
  <si>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</si>
  <si>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</si>
  <si>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</si>
  <si>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</si>
  <si>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</si>
  <si>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</si>
  <si>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</si>
  <si>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</si>
  <si>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</si>
  <si>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</si>
  <si>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</si>
  <si>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</si>
  <si>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</si>
  <si>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</si>
  <si>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</si>
  <si>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</si>
  <si>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</si>
  <si>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</si>
  <si>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</si>
  <si>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</si>
  <si>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</si>
  <si>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</si>
  <si>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</si>
  <si>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</si>
  <si>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</si>
  <si>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</si>
  <si>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</si>
  <si>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</si>
  <si>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</si>
  <si>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</si>
  <si>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</si>
  <si>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</si>
  <si>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</si>
  <si>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</si>
  <si>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</si>
  <si>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</si>
  <si>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</si>
  <si>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</si>
  <si>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</si>
  <si>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</si>
  <si>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</si>
  <si>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</si>
  <si>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</si>
  <si>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</si>
  <si>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</si>
  <si>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</si>
  <si>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</si>
  <si>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</si>
  <si>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</si>
  <si>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</si>
  <si>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</si>
  <si>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</si>
  <si>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</si>
  <si>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</si>
  <si>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</si>
  <si>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</si>
  <si>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</si>
  <si>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</si>
  <si>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</si>
  <si>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</si>
  <si>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</si>
  <si>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</si>
  <si>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</si>
  <si>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</si>
  <si>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</si>
  <si>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</si>
  <si>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</si>
  <si>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</si>
  <si>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</si>
  <si>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</si>
  <si>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</si>
  <si>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</si>
  <si>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</si>
  <si>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</si>
  <si>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</si>
  <si>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</si>
  <si>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</si>
  <si>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</si>
  <si>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</si>
  <si>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</si>
  <si>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</si>
  <si>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</si>
  <si>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</si>
  <si>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</si>
  <si>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</si>
  <si>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</si>
  <si>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</si>
  <si>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</si>
  <si>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</si>
  <si>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</si>
  <si>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</si>
  <si>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</si>
  <si>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</si>
  <si>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</si>
  <si>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</si>
  <si>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</si>
  <si>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</si>
  <si>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</si>
  <si>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</si>
  <si>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</si>
  <si>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</si>
  <si>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</si>
  <si>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</si>
  <si>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</si>
  <si>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</si>
  <si>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</si>
  <si>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</si>
  <si>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</si>
  <si>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</si>
  <si>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</si>
  <si>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</si>
  <si>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</si>
  <si>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</si>
  <si>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</si>
  <si>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</si>
  <si>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</si>
  <si>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</si>
  <si>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</si>
  <si>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</si>
  <si>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</si>
  <si>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</si>
  <si>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</si>
  <si>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</si>
  <si>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</si>
  <si>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</si>
  <si>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</si>
  <si>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</si>
  <si>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</si>
  <si>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</si>
  <si>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</si>
  <si>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</si>
  <si>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</si>
  <si>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</si>
  <si>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</si>
  <si>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</si>
  <si>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</si>
  <si>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</si>
  <si>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</si>
  <si>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</si>
  <si>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</si>
  <si>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</si>
  <si>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</si>
  <si>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</si>
  <si>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</si>
  <si>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</si>
  <si>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</si>
  <si>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</si>
  <si>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</si>
  <si>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</si>
  <si>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</si>
  <si>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</si>
  <si>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</si>
  <si>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</si>
  <si>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</si>
  <si>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</si>
  <si>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</si>
  <si>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</si>
  <si>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</si>
  <si>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</si>
  <si>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</si>
  <si>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</si>
  <si>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</si>
  <si>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</si>
  <si>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</si>
  <si>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</si>
  <si>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</si>
  <si>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</si>
  <si>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</si>
  <si>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</si>
  <si>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</si>
  <si>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</si>
  <si>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</si>
  <si>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</si>
  <si>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</si>
  <si>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</si>
  <si>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</si>
  <si>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</si>
  <si>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</si>
  <si>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</si>
  <si>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</si>
  <si>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</si>
  <si>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</si>
  <si>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</si>
  <si>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</si>
  <si>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</si>
  <si>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</si>
  <si>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</si>
  <si>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</si>
  <si>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</si>
  <si>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</si>
  <si>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</si>
  <si>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</si>
  <si>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</si>
  <si>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</si>
  <si>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</si>
  <si>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</si>
  <si>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</si>
  <si>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</si>
  <si>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</si>
  <si>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</si>
  <si>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</si>
  <si>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</si>
  <si>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</si>
  <si>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</si>
  <si>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</si>
  <si>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</si>
  <si>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</si>
  <si>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</si>
  <si>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</si>
  <si>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</si>
  <si>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</si>
  <si>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</si>
  <si>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</si>
  <si>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</si>
  <si>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</si>
  <si>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</si>
  <si>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</si>
  <si>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</si>
  <si>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</si>
  <si>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</si>
  <si>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</si>
  <si>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</si>
  <si>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</si>
  <si>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</si>
  <si>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</si>
  <si>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</si>
  <si>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</si>
  <si>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</si>
  <si>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</si>
  <si>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</si>
  <si>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</si>
  <si>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</si>
  <si>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</si>
  <si>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</si>
  <si>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</si>
  <si>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</si>
  <si>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</si>
  <si>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</si>
  <si>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</si>
  <si>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</si>
  <si>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</si>
  <si>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</si>
  <si>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</si>
  <si>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</si>
  <si>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</si>
  <si>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</si>
  <si>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</si>
  <si>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</si>
  <si>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</si>
  <si>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</si>
  <si>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</si>
  <si>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</si>
  <si>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</si>
  <si>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</si>
  <si>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</si>
  <si>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</si>
  <si>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</si>
  <si>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</si>
  <si>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</si>
  <si>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</si>
  <si>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</si>
  <si>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</si>
  <si>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</si>
  <si>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</si>
  <si>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</si>
  <si>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</si>
  <si>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</si>
  <si>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</si>
  <si>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</si>
  <si>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</si>
  <si>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</si>
  <si>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</si>
  <si>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</si>
  <si>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</si>
  <si>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</si>
  <si>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</si>
  <si>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</si>
  <si>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</si>
  <si>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</si>
  <si>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</si>
  <si>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</si>
  <si>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</si>
  <si>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</si>
  <si>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</si>
  <si>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</si>
  <si>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</si>
  <si>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</si>
  <si>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</si>
  <si>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</si>
  <si>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</si>
  <si>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</si>
  <si>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</si>
  <si>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</si>
  <si>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</si>
  <si>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</si>
  <si>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</si>
  <si>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</si>
  <si>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</si>
  <si>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</si>
  <si>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</si>
  <si>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</si>
  <si>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</si>
  <si>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</si>
  <si>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</si>
  <si>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</si>
  <si>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</si>
  <si>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</si>
  <si>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</si>
  <si>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</si>
  <si>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</si>
  <si>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</si>
  <si>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</si>
  <si>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</si>
  <si>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</si>
  <si>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</si>
  <si>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</si>
  <si>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</si>
  <si>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</si>
  <si>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</si>
  <si>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</si>
  <si>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</si>
  <si>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</si>
  <si>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</si>
  <si>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</si>
  <si>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</si>
  <si>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</si>
  <si>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</si>
  <si>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</si>
  <si>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</si>
  <si>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</si>
  <si>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</si>
  <si>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</si>
  <si>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</si>
  <si>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</si>
  <si>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</si>
  <si>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</si>
  <si>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</si>
  <si>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</si>
  <si>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</si>
  <si>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</si>
  <si>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</si>
  <si>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</si>
  <si>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</si>
  <si>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</si>
  <si>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</si>
  <si>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</si>
  <si>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</si>
  <si>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</si>
  <si>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</si>
  <si>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</si>
  <si>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</si>
  <si>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</si>
  <si>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</si>
  <si>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</si>
  <si>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</si>
  <si>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</si>
  <si>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</si>
  <si>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</si>
  <si>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</si>
  <si>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</si>
  <si>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</si>
  <si>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</si>
  <si>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</si>
  <si>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</si>
  <si>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</si>
  <si>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</si>
  <si>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</si>
  <si>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</si>
  <si>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</si>
  <si>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</si>
  <si>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</si>
  <si>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</si>
  <si>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</si>
  <si>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</si>
  <si>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</si>
  <si>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</si>
  <si>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</si>
  <si>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</si>
  <si>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</si>
  <si>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</si>
  <si>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</si>
  <si>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</si>
  <si>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</si>
  <si>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</si>
  <si>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</si>
  <si>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</si>
  <si>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</si>
  <si>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</si>
  <si>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</si>
  <si>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</si>
  <si>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</si>
  <si>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</si>
  <si>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</si>
  <si>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</si>
  <si>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</si>
  <si>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</si>
  <si>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</si>
  <si>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</si>
  <si>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</si>
  <si>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</si>
  <si>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</si>
  <si>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</si>
  <si>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</si>
  <si>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</si>
  <si>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</si>
  <si>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</si>
  <si>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</si>
  <si>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</si>
  <si>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</si>
  <si>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</si>
  <si>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</si>
  <si>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</si>
  <si>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</si>
  <si>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</si>
  <si>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</si>
  <si>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</si>
  <si>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</si>
  <si>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</si>
  <si>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</si>
  <si>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</si>
  <si>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</si>
  <si>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</si>
  <si>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</si>
  <si>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</si>
  <si>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</si>
  <si>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</si>
  <si>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</si>
  <si>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</si>
  <si>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</si>
  <si>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</si>
  <si>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</si>
  <si>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</si>
  <si>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</si>
  <si>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</si>
  <si>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</si>
  <si>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</si>
  <si>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</si>
  <si>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</si>
  <si>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</si>
  <si>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</si>
  <si>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</si>
  <si>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</si>
  <si>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</si>
  <si>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</si>
  <si>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</si>
  <si>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</si>
  <si>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</si>
  <si>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</si>
  <si>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</si>
  <si>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</si>
  <si>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</si>
  <si>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</si>
  <si>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</si>
  <si>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</si>
  <si>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</si>
  <si>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</si>
  <si>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</si>
  <si>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</si>
  <si>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</si>
  <si>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</si>
  <si>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</si>
  <si>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</si>
  <si>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</si>
  <si>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</si>
  <si>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</si>
  <si>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</si>
  <si>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</si>
  <si>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</si>
  <si>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</si>
  <si>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</si>
  <si>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</si>
  <si>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</si>
  <si>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</si>
  <si>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</si>
  <si>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</si>
  <si>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</si>
  <si>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</si>
  <si>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</si>
  <si>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</si>
  <si>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</si>
  <si>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</si>
  <si>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</si>
  <si>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</si>
  <si>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</si>
  <si>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</si>
  <si>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</si>
  <si>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</si>
  <si>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</si>
  <si>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</si>
  <si>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</si>
  <si>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</si>
  <si>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</si>
  <si>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</si>
  <si>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</si>
  <si>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</si>
  <si>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</si>
  <si>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</si>
  <si>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</si>
  <si>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</si>
  <si>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</si>
  <si>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</si>
  <si>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</si>
  <si>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</si>
  <si>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</si>
  <si>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</si>
  <si>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</si>
  <si>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</si>
  <si>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</si>
  <si>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</si>
  <si>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</si>
  <si>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</si>
  <si>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</si>
  <si>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</si>
  <si>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</si>
  <si>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</si>
  <si>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</si>
  <si>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</si>
  <si>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</si>
  <si>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</si>
  <si>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</si>
  <si>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</si>
  <si>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</si>
  <si>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</si>
  <si>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</si>
  <si>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</si>
  <si>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</si>
  <si>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</si>
  <si>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</si>
  <si>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</si>
  <si>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</si>
  <si>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</si>
  <si>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</si>
  <si>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</si>
  <si>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</si>
  <si>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</si>
  <si>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</si>
  <si>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</si>
  <si>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</si>
  <si>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</si>
  <si>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</si>
  <si>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</si>
  <si>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</si>
  <si>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</si>
  <si>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</si>
  <si>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</si>
  <si>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</si>
  <si>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</si>
  <si>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</si>
  <si>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</si>
  <si>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</si>
  <si>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</si>
  <si>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</si>
  <si>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</si>
  <si>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</si>
  <si>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</si>
  <si>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</si>
  <si>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</si>
  <si>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</si>
  <si>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</si>
  <si>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</si>
  <si>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</si>
  <si>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</si>
  <si>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</si>
  <si>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</si>
  <si>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</si>
  <si>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</si>
  <si>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</si>
  <si>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</si>
  <si>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</si>
  <si>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</si>
  <si>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</si>
  <si>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</si>
  <si>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</si>
  <si>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</si>
  <si>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</si>
  <si>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</si>
  <si>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</si>
  <si>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</si>
  <si>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</si>
  <si>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</si>
  <si>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</si>
  <si>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</si>
  <si>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</si>
  <si>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</si>
  <si>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</si>
  <si>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</si>
  <si>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</si>
  <si>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</si>
  <si>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</si>
  <si>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</si>
  <si>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</si>
  <si>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</si>
  <si>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</si>
  <si>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</si>
  <si>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</si>
  <si>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</si>
  <si>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</si>
  <si>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</si>
  <si>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</si>
  <si>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</si>
  <si>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</si>
  <si>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</si>
  <si>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</si>
  <si>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</si>
  <si>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</si>
  <si>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</si>
  <si>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</si>
  <si>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</si>
  <si>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</si>
  <si>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</si>
  <si>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</si>
  <si>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</si>
  <si>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</si>
  <si>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</si>
  <si>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</si>
  <si>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</si>
  <si>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</si>
  <si>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</si>
  <si>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</si>
  <si>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</si>
  <si>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</si>
  <si>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</si>
  <si>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</si>
  <si>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</si>
  <si>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</si>
  <si>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</si>
  <si>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</si>
  <si>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</si>
  <si>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</si>
  <si>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</si>
  <si>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</si>
  <si>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</si>
  <si>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</si>
  <si>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</si>
  <si>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</si>
  <si>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</si>
  <si>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</si>
  <si>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</si>
  <si>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</si>
  <si>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</si>
  <si>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</si>
  <si>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</si>
  <si>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</si>
  <si>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</si>
  <si>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</si>
  <si>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</si>
  <si>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</si>
  <si>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</si>
  <si>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</si>
  <si>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</si>
  <si>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</si>
  <si>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</si>
  <si>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</si>
  <si>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</si>
  <si>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</si>
  <si>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</si>
  <si>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</si>
  <si>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</si>
  <si>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</si>
  <si>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</si>
  <si>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</si>
  <si>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</si>
  <si>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</si>
  <si>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</si>
  <si>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</si>
  <si>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</si>
  <si>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</si>
  <si>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</si>
  <si>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</si>
  <si>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</si>
  <si>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</si>
  <si>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</si>
  <si>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</si>
  <si>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</si>
  <si>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</si>
  <si>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</si>
  <si>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</si>
  <si>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</si>
  <si>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</si>
  <si>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</si>
  <si>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</si>
  <si>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</si>
  <si>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</si>
  <si>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</si>
  <si>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</si>
  <si>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</si>
  <si>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</si>
  <si>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</si>
  <si>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</si>
  <si>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</si>
  <si>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</si>
  <si>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</si>
  <si>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</si>
  <si>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</si>
  <si>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</si>
  <si>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</si>
  <si>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</si>
  <si>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</si>
  <si>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</si>
  <si>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</si>
  <si>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</si>
  <si>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</si>
  <si>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</si>
  <si>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</si>
  <si>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</si>
  <si>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</si>
  <si>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</si>
  <si>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</si>
  <si>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</si>
  <si>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</si>
  <si>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</si>
  <si>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</si>
  <si>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</si>
  <si>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</si>
  <si>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</si>
  <si>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</si>
  <si>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</si>
  <si>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</si>
  <si>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</si>
  <si>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</si>
  <si>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</si>
  <si>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</si>
  <si>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</si>
  <si>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</si>
  <si>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</si>
  <si>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</si>
  <si>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</si>
  <si>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</si>
  <si>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</si>
  <si>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</si>
  <si>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</si>
  <si>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</si>
  <si>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</si>
  <si>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</si>
  <si>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</si>
  <si>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</si>
  <si>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</si>
  <si>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</si>
  <si>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</si>
  <si>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</si>
  <si>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</si>
  <si>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</si>
  <si>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</si>
  <si>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</si>
  <si>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</si>
  <si>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</si>
  <si>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</si>
  <si>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</si>
  <si>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</si>
  <si>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</si>
  <si>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</si>
  <si>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</si>
  <si>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</si>
  <si>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</si>
  <si>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</si>
  <si>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</si>
  <si>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</si>
  <si>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</si>
  <si>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</si>
  <si>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</si>
  <si>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</si>
  <si>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</si>
  <si>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</si>
  <si>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</si>
  <si>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</si>
  <si>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</si>
  <si>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</si>
  <si>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</si>
  <si>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</si>
  <si>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</si>
  <si>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</si>
  <si>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</si>
  <si>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</si>
  <si>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</si>
  <si>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</si>
  <si>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</si>
  <si>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</si>
  <si>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</si>
  <si>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</si>
  <si>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</si>
  <si>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</si>
  <si>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</si>
  <si>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</si>
  <si>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</si>
  <si>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</si>
  <si>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</si>
  <si>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</si>
  <si>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</si>
  <si>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</si>
  <si>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</si>
  <si>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</si>
  <si>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</si>
  <si>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</si>
  <si>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</si>
  <si>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</si>
  <si>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</si>
  <si>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</si>
  <si>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</si>
  <si>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</si>
  <si>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</si>
  <si>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</si>
  <si>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</si>
  <si>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</si>
  <si>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</si>
  <si>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</si>
  <si>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</si>
  <si>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</si>
  <si>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</si>
  <si>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</si>
  <si>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</si>
  <si>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</si>
  <si>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</si>
  <si>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</si>
  <si>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</si>
  <si>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</si>
  <si>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</si>
  <si>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</si>
  <si>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</si>
  <si>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</si>
  <si>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</si>
  <si>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</si>
  <si>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</si>
  <si>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</si>
  <si>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</si>
  <si>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</si>
  <si>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</si>
  <si>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</si>
  <si>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</si>
  <si>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</si>
  <si>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</si>
  <si>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</si>
  <si>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</si>
  <si>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</si>
  <si>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</si>
  <si>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</si>
  <si>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</si>
  <si>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</si>
  <si>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</si>
  <si>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</si>
  <si>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</si>
  <si>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</si>
  <si>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</si>
  <si>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</si>
  <si>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</si>
  <si>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</si>
  <si>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</si>
  <si>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</si>
  <si>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</si>
  <si>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</si>
  <si>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</si>
  <si>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</si>
  <si>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</si>
  <si>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</si>
  <si>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</si>
  <si>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</si>
  <si>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</si>
  <si>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</si>
  <si>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</si>
  <si>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</si>
  <si>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</si>
  <si>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</si>
  <si>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</si>
  <si>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</si>
  <si>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</si>
  <si>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</si>
  <si>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</si>
  <si>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</si>
  <si>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</si>
  <si>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</si>
  <si>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</si>
  <si>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</si>
  <si>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</si>
  <si>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</si>
  <si>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</si>
  <si>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</si>
  <si>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</si>
  <si>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</si>
  <si>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</si>
  <si>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</si>
  <si>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</si>
  <si>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</si>
  <si>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</si>
  <si>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</si>
  <si>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</si>
  <si>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</si>
  <si>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</si>
  <si>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</si>
  <si>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</si>
  <si>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</si>
  <si>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</si>
  <si>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</si>
  <si>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</si>
  <si>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</si>
  <si>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</si>
  <si>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</si>
  <si>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</si>
  <si>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</si>
  <si>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</si>
  <si>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</si>
  <si>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</si>
  <si>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</si>
  <si>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</si>
  <si>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</si>
  <si>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</si>
  <si>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</si>
  <si>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</si>
  <si>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</si>
  <si>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</si>
  <si>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</si>
  <si>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</si>
  <si>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</si>
  <si>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</si>
  <si>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</si>
  <si>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</si>
  <si>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</si>
  <si>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</si>
  <si>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</si>
  <si>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</si>
  <si>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</si>
  <si>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</si>
  <si>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</si>
  <si>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</si>
  <si>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</si>
  <si>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</si>
  <si>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</si>
  <si>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</si>
  <si>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</si>
  <si>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</si>
  <si>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</si>
  <si>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</si>
  <si>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</si>
  <si>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</si>
  <si>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</si>
  <si>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</si>
  <si>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</si>
  <si>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</si>
  <si>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</si>
  <si>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</si>
  <si>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</si>
  <si>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</si>
  <si>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</si>
  <si>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</si>
  <si>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</si>
  <si>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</si>
  <si>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</si>
  <si>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</si>
  <si>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</si>
  <si>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</si>
  <si>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</si>
  <si>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</si>
  <si>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</si>
  <si>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</si>
  <si>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</si>
  <si>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</si>
  <si>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</si>
  <si>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</si>
  <si>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</si>
  <si>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</si>
  <si>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</si>
  <si>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</si>
  <si>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</si>
  <si>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</si>
  <si>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</si>
  <si>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</si>
  <si>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</si>
  <si>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</si>
  <si>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</si>
  <si>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</si>
  <si>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</si>
  <si>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</si>
  <si>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</si>
  <si>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</si>
  <si>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</si>
  <si>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</si>
  <si>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</si>
  <si>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</si>
  <si>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</si>
  <si>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</si>
  <si>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</si>
  <si>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</si>
  <si>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</si>
  <si>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</si>
  <si>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</si>
  <si>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</si>
  <si>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</si>
  <si>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</si>
  <si>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</si>
  <si>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</si>
  <si>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</si>
  <si>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</si>
  <si>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</si>
  <si>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</si>
  <si>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</si>
  <si>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</si>
  <si>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</si>
  <si>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</si>
  <si>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</si>
  <si>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</si>
  <si>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</si>
  <si>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</si>
  <si>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</si>
  <si>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</si>
  <si>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</si>
  <si>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</si>
  <si>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</si>
  <si>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</si>
  <si>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</si>
  <si>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</si>
  <si>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</si>
  <si>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</si>
  <si>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</si>
  <si>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</si>
  <si>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</si>
  <si>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</si>
  <si>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</si>
  <si>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</si>
  <si>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</si>
  <si>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</si>
  <si>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</si>
  <si>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</si>
  <si>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</si>
  <si>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</si>
  <si>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</si>
  <si>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</si>
  <si>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</si>
  <si>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</si>
  <si>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</si>
  <si>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</si>
  <si>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</si>
  <si>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</si>
  <si>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</si>
  <si>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</si>
  <si>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</si>
  <si>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</si>
  <si>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</si>
  <si>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</si>
  <si>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</si>
  <si>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</si>
  <si>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</si>
  <si>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</si>
  <si>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</si>
  <si>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</si>
  <si>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</si>
  <si>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</si>
  <si>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</si>
  <si>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</si>
  <si>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</si>
  <si>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</si>
  <si>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</si>
  <si>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</si>
  <si>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</si>
  <si>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</si>
  <si>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</si>
  <si>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</si>
  <si>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</si>
  <si>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</si>
  <si>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</si>
  <si>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</si>
  <si>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</si>
  <si>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</si>
  <si>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</si>
  <si>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</si>
  <si>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</si>
  <si>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</si>
  <si>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</si>
  <si>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</si>
  <si>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</si>
  <si>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</si>
  <si>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</si>
  <si>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</si>
  <si>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</si>
  <si>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</si>
  <si>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</si>
  <si>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</si>
  <si>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</si>
  <si>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</si>
  <si>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</si>
  <si>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</si>
  <si>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</si>
  <si>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</si>
  <si>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</si>
  <si>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</si>
  <si>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</si>
  <si>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</si>
  <si>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</si>
  <si>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</si>
  <si>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</si>
  <si>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</si>
  <si>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</si>
  <si>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</si>
  <si>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</si>
  <si>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</si>
  <si>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</si>
  <si>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</si>
  <si>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</si>
  <si>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</si>
  <si>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</si>
  <si>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</si>
  <si>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</si>
  <si>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</si>
  <si>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</si>
  <si>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</si>
  <si>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</si>
  <si>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</si>
  <si>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</si>
  <si>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</si>
  <si>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</si>
  <si>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</si>
  <si>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</si>
  <si>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</si>
  <si>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</si>
  <si>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</si>
  <si>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</si>
  <si>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</si>
  <si>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</si>
  <si>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</si>
  <si>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</si>
  <si>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</si>
  <si>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</si>
  <si>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</si>
  <si>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</si>
  <si>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</si>
  <si>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</si>
  <si>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</si>
  <si>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</si>
  <si>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</si>
  <si>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</si>
  <si>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</si>
  <si>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</si>
  <si>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</si>
  <si>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</si>
  <si>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</si>
  <si>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</si>
  <si>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</si>
  <si>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</si>
  <si>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</si>
  <si>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</si>
  <si>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</si>
  <si>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</si>
  <si>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</si>
  <si>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</si>
  <si>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</si>
  <si>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</si>
  <si>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</si>
  <si>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</si>
  <si>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</si>
  <si>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</si>
  <si>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</si>
  <si>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</si>
  <si>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</si>
  <si>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</si>
  <si>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</si>
  <si>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</si>
  <si>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</si>
  <si>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</si>
  <si>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</si>
  <si>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</si>
  <si>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</si>
  <si>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</si>
  <si>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</si>
  <si>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</si>
  <si>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</si>
  <si>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</si>
  <si>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</si>
  <si>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</si>
  <si>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</si>
  <si>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</si>
  <si>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</si>
  <si>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</si>
  <si>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</si>
  <si>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</si>
  <si>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</si>
  <si>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</si>
  <si>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</si>
  <si>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</si>
  <si>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</si>
  <si>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</si>
  <si>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</si>
  <si>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</si>
  <si>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</si>
  <si>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</si>
  <si>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</si>
  <si>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</si>
  <si>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</si>
  <si>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</si>
  <si>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</si>
  <si>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</si>
  <si>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</si>
  <si>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</si>
  <si>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</si>
  <si>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</si>
  <si>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</si>
  <si>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</si>
  <si>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</si>
  <si>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</si>
  <si>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</si>
  <si>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</si>
  <si>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</si>
  <si>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</si>
  <si>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</si>
  <si>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</si>
  <si>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</si>
  <si>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</si>
  <si>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</si>
  <si>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</si>
  <si>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</si>
  <si>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</si>
  <si>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</si>
  <si>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</si>
  <si>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</si>
  <si>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</si>
  <si>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</si>
  <si>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</si>
  <si>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</si>
  <si>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</si>
  <si>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</si>
  <si>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</si>
  <si>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</si>
  <si>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</si>
  <si>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</si>
  <si>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</si>
  <si>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</si>
  <si>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</si>
  <si>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</si>
  <si>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</si>
  <si>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</si>
  <si>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</si>
  <si>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</si>
  <si>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</si>
  <si>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</si>
  <si>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</si>
  <si>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</si>
  <si>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</si>
  <si>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</si>
  <si>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</si>
  <si>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</si>
  <si>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</si>
  <si>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</si>
  <si>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</si>
  <si>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</si>
  <si>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</si>
  <si>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</si>
  <si>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</si>
  <si>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</si>
  <si>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</si>
  <si>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</si>
  <si>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</si>
  <si>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</si>
  <si>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</si>
  <si>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</si>
  <si>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</si>
  <si>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</si>
  <si>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</si>
  <si>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</si>
  <si>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</si>
  <si>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</si>
  <si>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</si>
  <si>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</si>
  <si>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</si>
  <si>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</si>
  <si>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</si>
  <si>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</si>
  <si>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</si>
  <si>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</si>
  <si>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</si>
  <si>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</si>
  <si>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</si>
  <si>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</si>
  <si>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</si>
  <si>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</si>
  <si>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</si>
  <si>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</si>
  <si>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</si>
  <si>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</si>
  <si>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</si>
  <si>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</si>
  <si>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</si>
  <si>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</si>
  <si>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</si>
  <si>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</si>
  <si>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</si>
  <si>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</si>
  <si>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</si>
  <si>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</si>
  <si>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</si>
  <si>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</si>
  <si>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</si>
  <si>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</si>
  <si>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</si>
  <si>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</si>
  <si>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</si>
  <si>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</si>
  <si>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</si>
  <si>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</si>
  <si>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</si>
  <si>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</si>
  <si>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</si>
  <si>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</si>
  <si>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</si>
  <si>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</si>
  <si>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</si>
  <si>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</si>
  <si>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</si>
  <si>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</si>
  <si>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</si>
  <si>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</si>
  <si>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</si>
  <si>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</si>
  <si>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</si>
  <si>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</si>
  <si>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</si>
  <si>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</si>
  <si>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</si>
  <si>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</si>
  <si>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</si>
  <si>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</si>
  <si>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</si>
  <si>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</si>
  <si>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</si>
  <si>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</si>
  <si>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</si>
  <si>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</si>
  <si>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</si>
  <si>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</si>
  <si>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</si>
  <si>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</si>
  <si>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</si>
  <si>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</si>
  <si>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</si>
  <si>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</si>
  <si>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</si>
  <si>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</si>
  <si>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</si>
  <si>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</si>
  <si>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</si>
  <si>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</si>
  <si>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</si>
  <si>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</si>
  <si>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</si>
  <si>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</si>
  <si>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</si>
  <si>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</si>
  <si>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</si>
  <si>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</si>
  <si>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</si>
  <si>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</si>
  <si>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</si>
  <si>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</si>
  <si>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</si>
  <si>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</si>
  <si>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</si>
  <si>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</si>
  <si>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</si>
  <si>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</si>
  <si>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</si>
  <si>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</si>
  <si>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</si>
  <si>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</si>
  <si>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</si>
  <si>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</si>
  <si>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</si>
  <si>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</si>
  <si>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</si>
  <si>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</si>
  <si>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</si>
  <si>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</si>
  <si>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</si>
  <si>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</si>
  <si>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</si>
  <si>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</si>
  <si>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</si>
  <si>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</si>
  <si>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</si>
  <si>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</si>
  <si>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</si>
  <si>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</si>
  <si>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</si>
  <si>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</si>
  <si>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</si>
  <si>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</si>
  <si>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</si>
  <si>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</si>
  <si>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</si>
  <si>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</si>
  <si>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</si>
  <si>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</si>
  <si>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</si>
  <si>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</si>
  <si>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</si>
  <si>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</si>
  <si>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</si>
  <si>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</si>
  <si>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</si>
  <si>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</si>
  <si>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</si>
  <si>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</si>
  <si>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</si>
  <si>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</si>
  <si>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</si>
  <si>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</si>
  <si>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</si>
  <si>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</si>
  <si>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</si>
  <si>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</si>
  <si>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</si>
  <si>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</si>
  <si>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</si>
  <si>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</si>
  <si>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</si>
  <si>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</si>
  <si>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</si>
  <si>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</si>
  <si>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</si>
  <si>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</si>
  <si>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</si>
  <si>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</si>
  <si>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</si>
  <si>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</si>
  <si>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</si>
  <si>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</si>
  <si>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</si>
  <si>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</si>
  <si>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</si>
  <si>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</si>
  <si>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</si>
  <si>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</si>
  <si>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</si>
  <si>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</si>
  <si>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</si>
  <si>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</si>
  <si>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</si>
  <si>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</si>
  <si>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</si>
  <si>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</si>
  <si>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</si>
  <si>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</si>
  <si>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</si>
  <si>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</si>
  <si>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</si>
  <si>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</si>
  <si>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</si>
  <si>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</si>
  <si>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</si>
  <si>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</si>
  <si>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</si>
  <si>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</si>
  <si>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</si>
  <si>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</si>
  <si>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</si>
  <si>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</si>
  <si>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</si>
  <si>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</si>
  <si>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</si>
  <si>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</si>
  <si>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</si>
  <si>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</si>
  <si>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</si>
  <si>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</si>
  <si>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</si>
  <si>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</si>
  <si>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</si>
  <si>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</si>
  <si>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</si>
  <si>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</si>
  <si>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</si>
  <si>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</si>
  <si>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</si>
  <si>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</si>
  <si>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</si>
  <si>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</si>
  <si>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</si>
  <si>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</si>
  <si>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</si>
  <si>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</si>
  <si>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</si>
  <si>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</si>
  <si>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</si>
  <si>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</si>
  <si>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</si>
  <si>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</si>
  <si>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</si>
  <si>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</si>
  <si>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</si>
  <si>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</si>
  <si>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</si>
  <si>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</si>
  <si>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</si>
  <si>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</si>
  <si>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</si>
  <si>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</si>
  <si>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</si>
  <si>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</si>
  <si>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</si>
  <si>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</si>
  <si>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</si>
  <si>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</si>
  <si>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</si>
  <si>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</si>
  <si>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</si>
  <si>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</si>
  <si>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</si>
  <si>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</si>
  <si>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</si>
  <si>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</si>
  <si>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</si>
  <si>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</si>
  <si>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</si>
  <si>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</si>
  <si>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</si>
  <si>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</si>
  <si>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</si>
  <si>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</si>
  <si>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</si>
  <si>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</si>
  <si>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</si>
  <si>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</si>
  <si>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</si>
  <si>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</si>
  <si>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</si>
  <si>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</si>
  <si>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</si>
  <si>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</si>
  <si>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</si>
  <si>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</si>
  <si>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</si>
  <si>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</si>
  <si>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</si>
  <si>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</si>
  <si>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</si>
  <si>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</si>
  <si>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</si>
  <si>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</si>
  <si>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</si>
  <si>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</si>
  <si>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</si>
  <si>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</si>
  <si>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</si>
  <si>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</si>
  <si>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</si>
  <si>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</si>
  <si>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</si>
  <si>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</si>
  <si>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</si>
  <si>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</si>
  <si>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</si>
  <si>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</si>
  <si>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</si>
  <si>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</si>
  <si>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</si>
  <si>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</si>
  <si>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</si>
  <si>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</si>
  <si>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</si>
  <si>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</si>
  <si>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</si>
  <si>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</si>
  <si>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</si>
  <si>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</si>
  <si>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</si>
  <si>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</si>
  <si>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</si>
  <si>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</si>
  <si>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</si>
  <si>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</si>
  <si>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</si>
  <si>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</si>
  <si>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</si>
  <si>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</si>
  <si>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</si>
  <si>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</si>
  <si>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</si>
  <si>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</si>
  <si>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</si>
  <si>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</si>
  <si>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</si>
  <si>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</si>
  <si>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</si>
  <si>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</si>
  <si>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</si>
  <si>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</si>
  <si>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</si>
  <si>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</si>
  <si>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</si>
  <si>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</si>
  <si>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</si>
  <si>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</si>
  <si>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</si>
  <si>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</si>
  <si>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</si>
  <si>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</si>
  <si>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</si>
  <si>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</si>
  <si>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</si>
  <si>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</si>
  <si>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</si>
  <si>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</si>
  <si>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</si>
  <si>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</si>
  <si>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</si>
  <si>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</si>
  <si>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</si>
  <si>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</si>
  <si>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</si>
  <si>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</si>
  <si>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</si>
  <si>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</si>
  <si>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</si>
  <si>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</si>
  <si>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</si>
  <si>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</si>
  <si>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</si>
  <si>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</si>
  <si>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</si>
  <si>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</si>
  <si>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</si>
  <si>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</si>
  <si>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</si>
  <si>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</si>
  <si>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</si>
  <si>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</si>
  <si>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</si>
  <si>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</si>
  <si>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</si>
  <si>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</si>
  <si>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</si>
  <si>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</si>
  <si>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</si>
  <si>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</si>
  <si>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</si>
  <si>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</si>
  <si>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</si>
  <si>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</si>
  <si>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</si>
  <si>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</si>
  <si>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</si>
  <si>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</si>
  <si>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</si>
  <si>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</si>
  <si>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</si>
  <si>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</si>
  <si>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</si>
  <si>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</si>
  <si>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</si>
  <si>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</si>
  <si>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</si>
  <si>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</si>
  <si>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</si>
  <si>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</si>
  <si>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</si>
  <si>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</si>
  <si>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</si>
  <si>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</si>
  <si>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</si>
  <si>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</si>
  <si>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</si>
  <si>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</si>
  <si>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</si>
  <si>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</si>
  <si>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</si>
  <si>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</si>
  <si>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</si>
  <si>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</si>
  <si>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</si>
  <si>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</si>
  <si>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</si>
  <si>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</si>
  <si>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</si>
  <si>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</si>
  <si>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</si>
  <si>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</si>
  <si>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</si>
  <si>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</si>
  <si>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</si>
  <si>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</si>
  <si>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</si>
  <si>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</si>
  <si>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</si>
  <si>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</si>
  <si>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</si>
  <si>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</si>
  <si>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</si>
  <si>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</si>
  <si>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</si>
  <si>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</si>
  <si>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</si>
  <si>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</si>
  <si>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</si>
  <si>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</si>
  <si>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</si>
  <si>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</si>
  <si>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</si>
  <si>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</si>
  <si>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</si>
  <si>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</si>
  <si>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</si>
  <si>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</si>
  <si>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</si>
  <si>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</si>
  <si>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</si>
  <si>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</si>
  <si>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</si>
  <si>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</si>
  <si>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</si>
  <si>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</si>
  <si>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</si>
  <si>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</si>
  <si>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</si>
  <si>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</si>
  <si>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</si>
  <si>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</si>
  <si>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</si>
  <si>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</si>
  <si>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</si>
  <si>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</si>
  <si>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</si>
  <si>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</si>
  <si>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</si>
  <si>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</si>
  <si>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</si>
  <si>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</si>
  <si>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</si>
  <si>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</si>
  <si>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</si>
  <si>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</si>
  <si>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</si>
  <si>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</si>
  <si>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</si>
  <si>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</si>
  <si>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</si>
  <si>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</si>
  <si>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</si>
  <si>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</si>
  <si>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</si>
  <si>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</si>
  <si>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</si>
  <si>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</si>
  <si>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</si>
  <si>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</si>
  <si>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</si>
  <si>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</si>
  <si>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</si>
  <si>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</si>
  <si>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</si>
  <si>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</si>
  <si>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</si>
  <si>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</si>
  <si>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</si>
  <si>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</si>
  <si>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</si>
  <si>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</si>
  <si>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</si>
  <si>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</si>
  <si>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</si>
  <si>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</si>
  <si>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</si>
  <si>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</si>
  <si>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</si>
  <si>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</si>
  <si>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</si>
  <si>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</si>
  <si>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</si>
  <si>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</si>
  <si>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</si>
  <si>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</si>
  <si>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</si>
  <si>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</si>
  <si>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</si>
  <si>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</si>
  <si>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</si>
  <si>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</si>
  <si>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</si>
  <si>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</si>
  <si>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</si>
  <si>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</si>
  <si>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</si>
  <si>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</si>
  <si>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</si>
  <si>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</si>
  <si>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</si>
  <si>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</si>
  <si>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</si>
  <si>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</si>
  <si>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</si>
  <si>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</si>
  <si>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</si>
  <si>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</si>
  <si>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</si>
  <si>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</si>
  <si>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</si>
  <si>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</si>
  <si>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</si>
  <si>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</si>
  <si>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</si>
  <si>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</si>
  <si>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</si>
  <si>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</si>
  <si>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</si>
  <si>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</si>
  <si>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</si>
  <si>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</si>
  <si>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</si>
  <si>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</si>
  <si>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</si>
  <si>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</si>
  <si>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</si>
  <si>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</si>
  <si>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</si>
  <si>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</si>
  <si>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</si>
  <si>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</si>
  <si>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</si>
  <si>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</si>
  <si>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</si>
  <si>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</si>
  <si>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</si>
  <si>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</si>
  <si>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</si>
  <si>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</si>
  <si>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</si>
  <si>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</si>
  <si>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</si>
  <si>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</si>
  <si>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</si>
  <si>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</si>
  <si>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</si>
  <si>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</si>
  <si>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</si>
  <si>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</si>
  <si>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</si>
  <si>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</si>
  <si>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</si>
  <si>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</si>
  <si>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</si>
  <si>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</si>
  <si>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</si>
  <si>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</si>
  <si>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</si>
  <si>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</si>
  <si>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</si>
  <si>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</si>
  <si>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</si>
  <si>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</si>
  <si>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</si>
  <si>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</si>
  <si>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</si>
  <si>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</si>
  <si>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</si>
  <si>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</si>
  <si>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</si>
  <si>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</si>
  <si>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</si>
  <si>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</si>
  <si>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</si>
  <si>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</si>
  <si>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</si>
  <si>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</si>
  <si>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</si>
  <si>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</si>
  <si>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</si>
  <si>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</si>
  <si>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</si>
  <si>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</si>
  <si>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</si>
  <si>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</si>
  <si>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</si>
  <si>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</si>
  <si>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</si>
  <si>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</si>
  <si>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</si>
  <si>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</si>
  <si>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</si>
  <si>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</si>
  <si>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</si>
  <si>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</si>
  <si>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</si>
  <si>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</si>
  <si>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</si>
  <si>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</si>
  <si>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</si>
  <si>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</si>
  <si>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</si>
  <si>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</si>
  <si>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</si>
  <si>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</si>
  <si>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</si>
  <si>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</si>
  <si>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</si>
  <si>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</si>
  <si>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</si>
  <si>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</si>
  <si>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</si>
  <si>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</si>
  <si>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</si>
  <si>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</si>
  <si>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</si>
  <si>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</si>
  <si>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</si>
  <si>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</si>
  <si>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</si>
  <si>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</si>
  <si>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</si>
  <si>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</si>
  <si>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</si>
  <si>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</si>
  <si>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</si>
  <si>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</si>
  <si>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</si>
  <si>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</si>
  <si>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</si>
  <si>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</si>
  <si>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</si>
  <si>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</si>
  <si>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</si>
  <si>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</si>
  <si>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</si>
  <si>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</si>
  <si>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</si>
  <si>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</si>
  <si>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</si>
  <si>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</si>
  <si>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</si>
  <si>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</si>
  <si>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</si>
  <si>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</si>
  <si>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</si>
  <si>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</si>
  <si>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</si>
  <si>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</si>
  <si>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</si>
  <si>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</si>
  <si>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</si>
  <si>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</si>
  <si>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</si>
  <si>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</si>
  <si>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</si>
  <si>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</si>
  <si>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</si>
  <si>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</si>
  <si>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</si>
  <si>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</si>
  <si>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</si>
  <si>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</si>
  <si>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</si>
  <si>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</si>
  <si>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</si>
  <si>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</si>
  <si>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</si>
  <si>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</si>
  <si>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</si>
  <si>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</si>
  <si>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</si>
  <si>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</si>
  <si>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</si>
  <si>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</si>
  <si>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</si>
  <si>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</si>
  <si>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</si>
  <si>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</si>
  <si>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</si>
  <si>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</si>
  <si>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</si>
  <si>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</si>
  <si>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</si>
  <si>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</si>
  <si>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</si>
  <si>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</si>
  <si>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</si>
  <si>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</si>
  <si>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</si>
  <si>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</si>
  <si>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</si>
  <si>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</si>
  <si>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</si>
  <si>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</si>
  <si>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</si>
  <si>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</si>
  <si>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</si>
  <si>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</si>
  <si>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</si>
  <si>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</si>
  <si>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</si>
  <si>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</si>
  <si>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</si>
  <si>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</si>
  <si>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</si>
  <si>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</si>
  <si>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</si>
  <si>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</si>
  <si>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</si>
  <si>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</si>
  <si>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</si>
  <si>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</si>
  <si>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</si>
  <si>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</si>
  <si>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</si>
  <si>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</si>
  <si>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</si>
  <si>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</si>
  <si>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</si>
  <si>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</si>
  <si>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</si>
  <si>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</si>
  <si>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</si>
  <si>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</si>
  <si>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</si>
  <si>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</si>
  <si>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</si>
  <si>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</si>
  <si>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</si>
  <si>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</si>
  <si>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</si>
  <si>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</si>
  <si>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</si>
  <si>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</si>
  <si>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</si>
  <si>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</si>
  <si>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</si>
  <si>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</si>
  <si>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</si>
  <si>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</si>
  <si>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</si>
  <si>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</si>
  <si>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</si>
  <si>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</si>
  <si>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</si>
  <si>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</si>
  <si>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</si>
  <si>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</si>
  <si>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</si>
  <si>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</si>
  <si>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</si>
  <si>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</si>
  <si>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</si>
  <si>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</si>
  <si>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</si>
  <si>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</si>
  <si>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</si>
  <si>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</si>
  <si>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</si>
  <si>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</si>
  <si>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</si>
  <si>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</si>
  <si>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</si>
  <si>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</si>
  <si>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</si>
  <si>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</si>
  <si>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</si>
  <si>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</si>
  <si>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</si>
  <si>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</si>
  <si>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</si>
  <si>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</si>
  <si>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</si>
  <si>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</si>
  <si>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</si>
  <si>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</si>
  <si>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</si>
  <si>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</si>
  <si>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</si>
  <si>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</si>
  <si>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</si>
  <si>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</si>
  <si>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</si>
  <si>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</si>
  <si>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</si>
  <si>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</si>
  <si>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</si>
  <si>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</si>
  <si>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</si>
  <si>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</si>
  <si>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</si>
  <si>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</si>
  <si>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</si>
  <si>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</si>
  <si>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</si>
  <si>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</si>
  <si>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</si>
  <si>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</si>
  <si>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</si>
  <si>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</si>
  <si>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</si>
  <si>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</si>
  <si>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</si>
  <si>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</si>
  <si>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</si>
  <si>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</si>
  <si>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</si>
  <si>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</si>
  <si>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</si>
  <si>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</si>
  <si>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</si>
  <si>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</si>
  <si>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</si>
  <si>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</si>
  <si>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</si>
  <si>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</si>
  <si>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</si>
  <si>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</si>
  <si>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</si>
  <si>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</si>
  <si>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</si>
  <si>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</si>
  <si>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</si>
  <si>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</si>
  <si>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</si>
  <si>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</si>
  <si>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</si>
  <si>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</si>
  <si>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</si>
  <si>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</si>
  <si>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</si>
  <si>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</si>
  <si>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</si>
  <si>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</si>
  <si>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</si>
  <si>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</si>
  <si>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</si>
  <si>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</si>
  <si>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</si>
  <si>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</si>
  <si>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</si>
  <si>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</si>
  <si>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</si>
  <si>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</si>
  <si>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</si>
  <si>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</si>
  <si>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</si>
  <si>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</si>
  <si>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</si>
  <si>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</si>
  <si>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</si>
  <si>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</si>
  <si>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</si>
  <si>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</si>
  <si>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</si>
  <si>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</si>
  <si>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</si>
  <si>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</si>
  <si>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</si>
  <si>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</si>
  <si>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</si>
  <si>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</si>
  <si>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</si>
  <si>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</si>
  <si>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</si>
  <si>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</si>
  <si>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</si>
  <si>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</si>
  <si>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</si>
  <si>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</si>
  <si>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</si>
  <si>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</si>
  <si>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</si>
  <si>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</si>
  <si>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</si>
  <si>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</si>
  <si>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</si>
  <si>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</si>
  <si>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</si>
  <si>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</si>
  <si>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</si>
  <si>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</si>
  <si>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</si>
  <si>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</si>
  <si>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</si>
  <si>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</si>
  <si>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</si>
  <si>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</si>
  <si>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</si>
  <si>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</si>
  <si>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</si>
  <si>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</si>
  <si>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</si>
  <si>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</si>
  <si>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</si>
  <si>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</si>
  <si>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</si>
  <si>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</si>
  <si>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</si>
  <si>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</si>
  <si>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</si>
  <si>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</si>
  <si>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</si>
  <si>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</si>
  <si>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</si>
  <si>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</si>
  <si>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</si>
  <si>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</si>
  <si>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</si>
  <si>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</si>
  <si>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</si>
  <si>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</si>
  <si>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</si>
  <si>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</si>
  <si>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</si>
  <si>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</si>
  <si>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</si>
  <si>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</si>
  <si>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</si>
  <si>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</si>
  <si>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</si>
  <si>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</si>
  <si>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</si>
  <si>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</si>
  <si>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</si>
  <si>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</si>
  <si>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</si>
  <si>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</si>
  <si>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</si>
  <si>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</si>
  <si>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</si>
  <si>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</si>
  <si>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</si>
  <si>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</si>
  <si>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</si>
  <si>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</si>
  <si>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</si>
  <si>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</si>
  <si>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</si>
  <si>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</si>
  <si>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</si>
  <si>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</si>
  <si>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</si>
  <si>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</si>
  <si>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</si>
  <si>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</si>
  <si>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</si>
  <si>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</si>
  <si>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</si>
  <si>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</si>
  <si>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</si>
  <si>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</si>
  <si>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</si>
  <si>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</si>
  <si>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</si>
  <si>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</si>
  <si>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</si>
  <si>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</si>
  <si>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</si>
  <si>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</si>
  <si>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</si>
  <si>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</si>
  <si>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</si>
  <si>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</si>
  <si>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</si>
  <si>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</si>
  <si>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</si>
  <si>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</si>
  <si>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</si>
  <si>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</si>
  <si>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</si>
  <si>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</si>
  <si>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</si>
  <si>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</si>
  <si>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</si>
  <si>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</si>
  <si>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</si>
  <si>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</si>
  <si>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</si>
  <si>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</si>
  <si>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</si>
  <si>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</si>
  <si>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</si>
  <si>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</si>
  <si>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</si>
  <si>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</si>
  <si>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</si>
  <si>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</si>
  <si>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</si>
  <si>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</si>
  <si>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</si>
  <si>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</si>
  <si>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</si>
  <si>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</si>
  <si>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</si>
  <si>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</si>
  <si>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</si>
  <si>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</si>
  <si>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</si>
  <si>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</si>
  <si>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</si>
  <si>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</si>
  <si>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</si>
  <si>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</si>
  <si>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</si>
  <si>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</si>
  <si>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</si>
  <si>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</si>
  <si>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</si>
  <si>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</si>
  <si>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</si>
  <si>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</si>
  <si>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</si>
  <si>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</si>
  <si>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</si>
  <si>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</si>
  <si>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</si>
  <si>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</si>
  <si>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</si>
  <si>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</si>
  <si>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</si>
  <si>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</si>
  <si>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</si>
  <si>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</si>
  <si>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</si>
  <si>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</si>
  <si>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</si>
  <si>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</si>
  <si>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</si>
  <si>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</si>
  <si>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</si>
  <si>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</si>
  <si>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</si>
  <si>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</si>
  <si>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</si>
  <si>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</si>
  <si>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</si>
  <si>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</si>
  <si>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</si>
  <si>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</si>
  <si>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</si>
  <si>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</si>
  <si>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</si>
  <si>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</si>
  <si>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</si>
  <si>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</si>
  <si>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</si>
  <si>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</si>
  <si>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</si>
  <si>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</si>
  <si>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</si>
  <si>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</si>
  <si>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</si>
  <si>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</si>
  <si>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</si>
  <si>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</si>
  <si>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</si>
  <si>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</si>
  <si>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</si>
  <si>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</si>
  <si>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</si>
  <si>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</si>
  <si>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</si>
  <si>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</si>
  <si>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</si>
  <si>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</si>
  <si>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</si>
  <si>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</si>
  <si>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</si>
  <si>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</si>
  <si>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</si>
  <si>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</si>
  <si>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</si>
  <si>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</si>
  <si>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</si>
  <si>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</si>
  <si>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</si>
  <si>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</si>
  <si>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</si>
  <si>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</si>
  <si>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</si>
  <si>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</si>
  <si>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</si>
  <si>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</si>
  <si>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</si>
  <si>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</si>
  <si>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</si>
  <si>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</si>
  <si>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</si>
  <si>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</si>
  <si>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</si>
  <si>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</si>
  <si>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</si>
  <si>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</si>
  <si>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</si>
  <si>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</si>
  <si>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</si>
  <si>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</si>
  <si>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</si>
  <si>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</si>
  <si>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</si>
  <si>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</si>
  <si>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</si>
  <si>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</si>
  <si>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</si>
  <si>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</si>
  <si>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</si>
  <si>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</si>
  <si>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</si>
  <si>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</si>
  <si>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</si>
  <si>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</si>
  <si>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</si>
  <si>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</si>
  <si>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</si>
  <si>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</si>
  <si>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</si>
  <si>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</si>
  <si>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</si>
  <si>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</si>
  <si>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</si>
  <si>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</si>
  <si>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</si>
  <si>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</si>
  <si>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</si>
  <si>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</si>
  <si>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</si>
  <si>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</si>
  <si>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</si>
  <si>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</si>
  <si>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</si>
  <si>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</si>
  <si>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</si>
  <si>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</si>
  <si>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</si>
  <si>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</si>
  <si>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</si>
  <si>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</si>
  <si>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</si>
  <si>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</si>
  <si>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</si>
  <si>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</si>
  <si>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</si>
  <si>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</si>
  <si>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</si>
  <si>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</si>
  <si>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</si>
  <si>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</si>
  <si>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</si>
  <si>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</si>
  <si>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</si>
  <si>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</si>
  <si>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</si>
  <si>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</si>
  <si>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</si>
  <si>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</si>
  <si>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</si>
  <si>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</si>
  <si>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</si>
  <si>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</si>
  <si>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</si>
  <si>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</si>
  <si>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</si>
  <si>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</si>
  <si>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</si>
  <si>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</si>
  <si>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</si>
  <si>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</si>
  <si>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</si>
  <si>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</si>
  <si>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</si>
  <si>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</si>
  <si>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</si>
  <si>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</si>
  <si>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</si>
  <si>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</si>
  <si>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</si>
  <si>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</si>
  <si>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</si>
  <si>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</si>
  <si>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</si>
  <si>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</si>
  <si>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</si>
  <si>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</si>
  <si>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</si>
  <si>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</si>
  <si>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</si>
  <si>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</si>
  <si>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</si>
  <si>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</si>
  <si>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</si>
  <si>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</si>
  <si>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</si>
  <si>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</si>
  <si>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</si>
  <si>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</si>
  <si>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</si>
  <si>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</si>
  <si>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</si>
  <si>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</si>
  <si>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</si>
  <si>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</si>
  <si>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</si>
  <si>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</si>
  <si>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</si>
  <si>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</si>
  <si>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</si>
  <si>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</si>
  <si>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</si>
  <si>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</si>
  <si>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</si>
  <si>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</si>
  <si>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</si>
  <si>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</si>
  <si>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</si>
  <si>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</si>
  <si>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</si>
  <si>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</si>
  <si>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</si>
  <si>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</si>
  <si>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</si>
  <si>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</si>
  <si>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</si>
  <si>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</si>
  <si>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</si>
  <si>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</si>
  <si>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</si>
  <si>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</si>
  <si>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</si>
  <si>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</si>
  <si>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</si>
  <si>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</si>
  <si>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</si>
  <si>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</si>
  <si>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</si>
  <si>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</si>
  <si>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</si>
  <si>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</si>
  <si>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</si>
  <si>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</si>
  <si>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</si>
  <si>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</si>
  <si>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</si>
  <si>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</si>
  <si>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</si>
  <si>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</si>
  <si>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</si>
  <si>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</si>
  <si>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</si>
  <si>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</si>
  <si>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</si>
  <si>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</si>
  <si>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</si>
  <si>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</si>
  <si>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</si>
  <si>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</si>
  <si>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</si>
  <si>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</si>
  <si>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</si>
  <si>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</si>
  <si>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</si>
  <si>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</si>
  <si>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</si>
  <si>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</si>
  <si>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</si>
  <si>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</si>
  <si>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</si>
  <si>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</si>
  <si>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</si>
  <si>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</si>
  <si>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</si>
  <si>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</si>
  <si>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</si>
  <si>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</si>
  <si>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</si>
  <si>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</si>
  <si>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</si>
  <si>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</si>
  <si>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</si>
  <si>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</si>
  <si>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</si>
  <si>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</si>
  <si>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</si>
  <si>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</si>
  <si>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</si>
  <si>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</si>
  <si>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</si>
  <si>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</si>
  <si>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</si>
  <si>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</si>
  <si>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</si>
  <si>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</si>
  <si>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</si>
  <si>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</si>
  <si>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</si>
  <si>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</si>
  <si>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</si>
  <si>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</si>
  <si>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</si>
  <si>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</si>
  <si>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</si>
  <si>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</si>
  <si>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</si>
  <si>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</si>
  <si>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</si>
  <si>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</si>
  <si>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</si>
  <si>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</si>
  <si>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</si>
  <si>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</si>
  <si>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</si>
  <si>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</si>
  <si>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</si>
  <si>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</si>
  <si>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</si>
  <si>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</si>
  <si>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</si>
  <si>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</si>
  <si>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</si>
  <si>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</si>
  <si>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</si>
  <si>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</si>
  <si>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</si>
  <si>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</si>
  <si>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</si>
  <si>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</si>
  <si>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</si>
  <si>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</si>
  <si>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</si>
  <si>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</si>
  <si>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</si>
  <si>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</si>
  <si>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</si>
  <si>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</si>
  <si>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</si>
  <si>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</si>
  <si>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</si>
  <si>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</si>
  <si>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</si>
  <si>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</si>
  <si>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</si>
  <si>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</si>
  <si>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</si>
  <si>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</si>
  <si>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</si>
  <si>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</si>
  <si>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</si>
  <si>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</si>
  <si>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</si>
  <si>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</si>
  <si>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</si>
  <si>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</si>
  <si>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</si>
  <si>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</si>
  <si>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</si>
  <si>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</si>
  <si>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</si>
  <si>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</si>
  <si>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</si>
  <si>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</si>
  <si>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</si>
  <si>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</si>
  <si>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</si>
  <si>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</si>
  <si>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</si>
  <si>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</si>
  <si>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</si>
  <si>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</si>
  <si>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</si>
  <si>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</si>
  <si>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</si>
  <si>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</si>
  <si>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</si>
  <si>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</si>
  <si>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</si>
  <si>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</si>
  <si>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</si>
  <si>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</si>
  <si>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</si>
  <si>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</si>
  <si>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</si>
  <si>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</si>
  <si>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</si>
  <si>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</si>
  <si>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</si>
  <si>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</si>
  <si>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</si>
  <si>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</si>
  <si>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</si>
  <si>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</si>
  <si>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</si>
  <si>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</si>
  <si>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</si>
  <si>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</si>
  <si>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</si>
  <si>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</si>
  <si>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</si>
  <si>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</si>
  <si>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</si>
  <si>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</si>
  <si>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</si>
  <si>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</si>
  <si>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</si>
  <si>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</si>
  <si>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</si>
  <si>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</si>
  <si>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</si>
  <si>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</si>
  <si>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郑燚</t>
  </si>
  <si>
    <t>抵押</t>
  </si>
  <si>
    <t>房地产抵押价值</t>
  </si>
  <si>
    <t>其他：</t>
  </si>
  <si>
    <t>企业</t>
  </si>
  <si>
    <t>出让</t>
  </si>
  <si>
    <t>汇总表</t>
  </si>
  <si>
    <t>幢可售建筑面积</t>
  </si>
  <si>
    <t>套数</t>
    <phoneticPr fontId="143" type="noConversion"/>
  </si>
  <si>
    <t>3幢</t>
  </si>
  <si>
    <t>4幢</t>
  </si>
  <si>
    <t>5幢</t>
  </si>
  <si>
    <t>6幢</t>
  </si>
  <si>
    <t>7幢</t>
  </si>
  <si>
    <t>合计</t>
    <phoneticPr fontId="143" type="noConversion"/>
  </si>
  <si>
    <t>收益法 (车位)</t>
    <phoneticPr fontId="16" type="noConversion"/>
  </si>
  <si>
    <t>2018-1-625</t>
    <phoneticPr fontId="6" type="noConversion"/>
  </si>
  <si>
    <t>项目名称：宁波万年基业梅山湾海港城一期(中区)不动产实测绘</t>
  </si>
  <si>
    <t>单位：㎡</t>
  </si>
  <si>
    <t>房号
（套号）</t>
  </si>
  <si>
    <t>套（户）
面积</t>
  </si>
  <si>
    <t>套内建筑面积</t>
  </si>
  <si>
    <t>其中套内
阳台建筑面积</t>
  </si>
  <si>
    <t>分摊的共有建筑面积</t>
  </si>
  <si>
    <t>规划用途</t>
  </si>
  <si>
    <t>备注</t>
  </si>
  <si>
    <t>地下车位</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</si>
  <si>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</si>
  <si>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</si>
  <si>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</si>
  <si>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</si>
  <si>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</si>
  <si>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</si>
  <si>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</si>
  <si>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</si>
  <si>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</si>
  <si>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</si>
  <si>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</si>
  <si>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</si>
  <si>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</si>
  <si>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</si>
  <si>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</si>
  <si>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</si>
  <si>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</si>
  <si>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</si>
  <si>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</si>
  <si>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</si>
  <si>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</si>
  <si>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</si>
  <si>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</si>
  <si>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</si>
  <si>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</si>
  <si>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</si>
  <si>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</si>
  <si>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</si>
  <si>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</si>
  <si>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</si>
  <si>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</si>
  <si>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</si>
  <si>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</si>
  <si>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</si>
  <si>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</si>
  <si>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</si>
  <si>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</si>
  <si>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</si>
  <si>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</si>
  <si>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</si>
  <si>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</si>
  <si>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</si>
  <si>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</si>
  <si>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101</t>
  </si>
  <si>
    <t>102</t>
  </si>
  <si>
    <t>103</t>
  </si>
  <si>
    <t>104</t>
  </si>
  <si>
    <t>105</t>
  </si>
  <si>
    <t>106</t>
  </si>
  <si>
    <t>107</t>
  </si>
  <si>
    <t>108</t>
  </si>
  <si>
    <t>109</t>
  </si>
  <si>
    <t>110</t>
  </si>
  <si>
    <t>111</t>
  </si>
  <si>
    <t>112</t>
  </si>
  <si>
    <t>113</t>
  </si>
  <si>
    <t>114</t>
  </si>
  <si>
    <t>115</t>
  </si>
  <si>
    <t>116</t>
  </si>
  <si>
    <t>117</t>
  </si>
  <si>
    <t>118</t>
  </si>
  <si>
    <t>201</t>
  </si>
  <si>
    <t>202</t>
  </si>
  <si>
    <t>203</t>
  </si>
  <si>
    <t>地下车位</t>
    <phoneticPr fontId="143" type="noConversion"/>
  </si>
  <si>
    <t>3幢房屋分户（套）面积明细表</t>
  </si>
  <si>
    <t>项目名称：宁波万年基业梅山湾海港城一期(东区)不动产实测绘</t>
  </si>
  <si>
    <t>分摊的共有
建筑面积</t>
  </si>
  <si>
    <t>酒店</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</si>
  <si>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</si>
  <si>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</si>
  <si>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</si>
  <si>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</si>
  <si>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</si>
  <si>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</si>
  <si>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</si>
  <si>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</si>
  <si>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</si>
  <si>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</si>
  <si>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</si>
  <si>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</si>
  <si>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</si>
  <si>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</si>
  <si>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</si>
  <si>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</si>
  <si>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</si>
  <si>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</si>
  <si>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</si>
  <si>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</si>
  <si>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</si>
  <si>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</si>
  <si>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</si>
  <si>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</si>
  <si>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</si>
  <si>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</si>
  <si>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</si>
  <si>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</si>
  <si>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</si>
  <si>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</si>
  <si>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</si>
  <si>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</si>
  <si>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</si>
  <si>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</si>
  <si>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</si>
  <si>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</si>
  <si>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</si>
  <si>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</si>
  <si>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</si>
  <si>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</si>
  <si>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</si>
  <si>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</si>
  <si>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</si>
  <si>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</si>
  <si>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</si>
  <si>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</si>
  <si>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</si>
  <si>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</si>
  <si>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</si>
  <si>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</si>
  <si>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</si>
  <si>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</si>
  <si>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</si>
  <si>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</si>
  <si>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</si>
  <si>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</si>
  <si>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</si>
  <si>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</si>
  <si>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</si>
  <si>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</si>
  <si>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</si>
  <si>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</si>
  <si>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</si>
  <si>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</si>
  <si>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</si>
  <si>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</si>
  <si>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</si>
  <si>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</si>
  <si>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</si>
  <si>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</si>
  <si>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</si>
  <si>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</si>
  <si>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</si>
  <si>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</si>
  <si>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</si>
  <si>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</si>
  <si>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</si>
  <si>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</si>
  <si>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</si>
  <si>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</si>
  <si>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</si>
  <si>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</si>
  <si>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</si>
  <si>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</si>
  <si>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</si>
  <si>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</si>
  <si>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</si>
  <si>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</si>
  <si>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</si>
  <si>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</si>
  <si>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</si>
  <si>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</si>
  <si>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</si>
  <si>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</si>
  <si>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</si>
  <si>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</si>
  <si>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</si>
  <si>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</si>
  <si>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</si>
  <si>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</si>
  <si>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</si>
  <si>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</si>
  <si>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</si>
  <si>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</si>
  <si>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</si>
  <si>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</si>
  <si>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</si>
  <si>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</si>
  <si>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</si>
  <si>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</si>
  <si>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</si>
  <si>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</si>
  <si>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</si>
  <si>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</si>
  <si>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</si>
  <si>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</si>
  <si>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</si>
  <si>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</si>
  <si>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</si>
  <si>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</si>
  <si>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</si>
  <si>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</si>
  <si>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</si>
  <si>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</si>
  <si>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</si>
  <si>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</si>
  <si>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</si>
  <si>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</si>
  <si>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</si>
  <si>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</si>
  <si>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</si>
  <si>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</si>
  <si>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</si>
  <si>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</si>
  <si>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</si>
  <si>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</si>
  <si>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</si>
  <si>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</si>
  <si>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</si>
  <si>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</si>
  <si>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</si>
  <si>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</si>
  <si>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</si>
  <si>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</si>
  <si>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</si>
  <si>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</si>
  <si>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</si>
  <si>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</si>
  <si>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</si>
  <si>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</si>
  <si>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</si>
  <si>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</si>
  <si>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</si>
  <si>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</si>
  <si>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</si>
  <si>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</si>
  <si>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</si>
  <si>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</si>
  <si>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</si>
  <si>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</si>
  <si>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</si>
  <si>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</si>
  <si>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t>序号</t>
    <phoneticPr fontId="143" type="noConversion"/>
  </si>
  <si>
    <t>合计</t>
    <phoneticPr fontId="143" type="noConversion"/>
  </si>
  <si>
    <t>6幢房屋分户（套）面积明细表</t>
  </si>
  <si>
    <t>合计</t>
    <phoneticPr fontId="143" type="noConversion"/>
  </si>
  <si>
    <t>7幢房屋分户（套）面积明细表</t>
  </si>
  <si>
    <t>合计</t>
    <phoneticPr fontId="143" type="noConversion"/>
  </si>
  <si>
    <t xml:space="preserve">备注：1、本次实测绘总建筑面积125164.81平方米，其中地上建筑面积86619.97平方米，地下建筑面积38544.84平方米。    </t>
  </si>
  <si>
    <t xml:space="preserve"> 2、地上建筑面积86619.97平方米，包括酒店用房53602.37平方米（798套）、商业31128.18平方米（6套）、办公886.85平方米（1套）、公建配套1002.57平方米。  </t>
  </si>
  <si>
    <t>3、地下建筑面积38544.84平方米，包括公建13943.19平方米、商业用房2037.22平方米、酒店608.56平方米、人防19236.23平方米、非人防区地下车位2719.64平方米（203个）。</t>
  </si>
  <si>
    <t>中国华融资产管理股份有限公司北京市分公司</t>
    <phoneticPr fontId="6" type="noConversion"/>
  </si>
  <si>
    <t>宁波万年基业旅游投资有限公司</t>
  </si>
  <si>
    <r>
      <rPr>
        <sz val="12"/>
        <rFont val="宋体"/>
        <family val="3"/>
        <charset val="134"/>
      </rPr>
      <t>春晓镇</t>
    </r>
    <r>
      <rPr>
        <sz val="12"/>
        <rFont val="Arial"/>
        <family val="2"/>
      </rPr>
      <t>183</t>
    </r>
    <r>
      <rPr>
        <sz val="12"/>
        <rFont val="宋体"/>
        <family val="3"/>
        <charset val="134"/>
      </rPr>
      <t>地块</t>
    </r>
    <r>
      <rPr>
        <sz val="12"/>
        <rFont val="Arial"/>
        <family val="2"/>
      </rPr>
      <t>3</t>
    </r>
    <r>
      <rPr>
        <sz val="12"/>
        <rFont val="宋体"/>
        <family val="3"/>
        <charset val="134"/>
      </rPr>
      <t>、</t>
    </r>
    <r>
      <rPr>
        <sz val="12"/>
        <rFont val="Arial"/>
        <family val="2"/>
      </rPr>
      <t>6</t>
    </r>
    <r>
      <rPr>
        <sz val="12"/>
        <rFont val="宋体"/>
        <family val="3"/>
        <charset val="134"/>
      </rPr>
      <t>、</t>
    </r>
    <r>
      <rPr>
        <sz val="12"/>
        <rFont val="Arial"/>
        <family val="2"/>
      </rPr>
      <t>7</t>
    </r>
    <r>
      <rPr>
        <sz val="12"/>
        <rFont val="宋体"/>
        <family val="3"/>
        <charset val="134"/>
      </rPr>
      <t>号楼产权式公寓用房及地下车库用房</t>
    </r>
    <phoneticPr fontId="6" type="noConversion"/>
  </si>
  <si>
    <t>浙江省宁波市</t>
    <phoneticPr fontId="6" type="noConversion"/>
  </si>
  <si>
    <t>宁波万年基业旅游投资有限公司</t>
    <phoneticPr fontId="6" type="noConversion"/>
  </si>
  <si>
    <t>分摊土地面积</t>
    <phoneticPr fontId="143" type="noConversion"/>
  </si>
  <si>
    <t>公寓用房</t>
  </si>
  <si>
    <t>公寓用房</t>
    <phoneticPr fontId="3" type="noConversion"/>
  </si>
  <si>
    <t>是</t>
  </si>
  <si>
    <t>地下车库</t>
    <phoneticPr fontId="3" type="noConversion"/>
  </si>
  <si>
    <t>地上</t>
  </si>
  <si>
    <t>公寓</t>
  </si>
  <si>
    <t>地下</t>
  </si>
  <si>
    <t>车库</t>
  </si>
  <si>
    <t>公寓用房</t>
    <phoneticPr fontId="7" type="noConversion"/>
  </si>
  <si>
    <t>地下车库</t>
    <phoneticPr fontId="7" type="noConversion"/>
  </si>
  <si>
    <t>成新度</t>
  </si>
  <si>
    <t>一般</t>
    <phoneticPr fontId="25" type="noConversion"/>
  </si>
  <si>
    <t>较差</t>
    <phoneticPr fontId="25" type="noConversion"/>
  </si>
  <si>
    <t>六通</t>
    <phoneticPr fontId="25" type="noConversion"/>
  </si>
  <si>
    <t>一般</t>
    <phoneticPr fontId="25" type="noConversion"/>
  </si>
  <si>
    <t>次干道</t>
    <phoneticPr fontId="25" type="noConversion"/>
  </si>
  <si>
    <t>成本法</t>
  </si>
  <si>
    <t>收益法</t>
  </si>
  <si>
    <t>现房</t>
  </si>
  <si>
    <t>项目局部</t>
  </si>
  <si>
    <t>未包含在土地购买价格中</t>
  </si>
  <si>
    <t>全部缴纳</t>
  </si>
  <si>
    <t>已包含在土地取得成本中</t>
  </si>
  <si>
    <t>押一</t>
  </si>
  <si>
    <t>收益法 (车位)</t>
  </si>
  <si>
    <t>按租金收入计税</t>
  </si>
  <si>
    <t>钢混</t>
  </si>
  <si>
    <t>非生产用房</t>
  </si>
  <si>
    <t>售价</t>
  </si>
  <si>
    <t>商业、车库</t>
    <phoneticPr fontId="6" type="noConversion"/>
  </si>
  <si>
    <t>建筑与土地面积依据相同</t>
  </si>
  <si>
    <t>否</t>
  </si>
  <si>
    <t>商业项目</t>
  </si>
  <si>
    <t>旅游地产</t>
  </si>
  <si>
    <t>通路</t>
  </si>
  <si>
    <t>通电</t>
  </si>
  <si>
    <t>通讯</t>
  </si>
  <si>
    <t>通上水</t>
  </si>
  <si>
    <t>通下水</t>
  </si>
  <si>
    <t>燃气</t>
  </si>
  <si>
    <t>龙湖滟澜海岸花园商业项目</t>
    <phoneticPr fontId="143" type="noConversion"/>
  </si>
  <si>
    <t>1层</t>
    <phoneticPr fontId="143" type="noConversion"/>
  </si>
  <si>
    <t>2层</t>
    <phoneticPr fontId="143" type="noConversion"/>
  </si>
  <si>
    <t>3.4-3.8</t>
    <phoneticPr fontId="143" type="noConversion"/>
  </si>
  <si>
    <r>
      <t>2</t>
    </r>
    <r>
      <rPr>
        <sz val="11"/>
        <color theme="1"/>
        <rFont val="宋体"/>
        <family val="3"/>
        <charset val="134"/>
        <scheme val="minor"/>
      </rPr>
      <t>.1-2.3</t>
    </r>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</si>
  <si>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</si>
  <si>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</si>
  <si>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</si>
  <si>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</si>
  <si>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</si>
  <si>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</si>
  <si>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</si>
  <si>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</si>
  <si>
    <t>容积率</t>
    <phoneticPr fontId="143" type="noConversion"/>
  </si>
  <si>
    <t>土地出让</t>
    <phoneticPr fontId="143" type="noConversion"/>
  </si>
  <si>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</si>
  <si>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</si>
  <si>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</si>
  <si>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</si>
  <si>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</si>
  <si>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</si>
  <si>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</si>
  <si>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</si>
  <si>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</si>
  <si>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</si>
  <si>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</si>
  <si>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</si>
  <si>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</si>
  <si>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梅山保税港区37-5号地块</t>
  </si>
  <si>
    <t>宁波市</t>
  </si>
  <si>
    <t>商业/办公用地</t>
  </si>
  <si>
    <t>≥2.6且≤3.0</t>
  </si>
  <si>
    <t>挂牌</t>
  </si>
  <si>
    <t>2017-06-14</t>
  </si>
  <si>
    <t>中国纸业投资有限公司</t>
  </si>
  <si>
    <t>梅山保税港区37-4号地块</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</si>
  <si>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</si>
  <si>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</si>
  <si>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</si>
  <si>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</si>
  <si>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</si>
  <si>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</si>
  <si>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</si>
  <si>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</si>
  <si>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</si>
  <si>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</si>
  <si>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</si>
  <si>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≥1.0且≤1.2</t>
  </si>
  <si>
    <t>2016-06-03</t>
  </si>
  <si>
    <t>宁波北仑太河人力资源有限公司</t>
  </si>
  <si>
    <t>北仑小浃江路北、北平路西地块</t>
  </si>
  <si>
    <t>≥1.5且＜1.6</t>
  </si>
  <si>
    <t>2016-02-26</t>
  </si>
  <si>
    <t>宁波市北仑茗都酒店有限公司</t>
  </si>
  <si>
    <t>≥1.5且＜2.8</t>
  </si>
  <si>
    <t>2015-11-13</t>
  </si>
  <si>
    <t>宁波众创国际互联网广场开发有限公司</t>
  </si>
  <si>
    <t>春晓200-1号地块</t>
  </si>
  <si>
    <t>≥1.0且＜1.3</t>
  </si>
  <si>
    <t>2015-10-16</t>
  </si>
  <si>
    <t>宁波铭泰投资有限公司</t>
  </si>
  <si>
    <t>地面</t>
    <phoneticPr fontId="143" type="noConversion"/>
  </si>
  <si>
    <t>单位面积地价</t>
  </si>
  <si>
    <t>北仑富春江路西、泰山路北地块</t>
    <phoneticPr fontId="143" type="noConversion"/>
  </si>
  <si>
    <r>
      <rPr>
        <sz val="11"/>
        <rFont val="宋体"/>
        <family val="3"/>
        <charset val="134"/>
      </rPr>
      <t>估价对象名称</t>
    </r>
    <phoneticPr fontId="3" type="noConversion"/>
  </si>
  <si>
    <t>正常</t>
  </si>
  <si>
    <t>宁波住宅备案价</t>
    <phoneticPr fontId="143" type="noConversion"/>
  </si>
  <si>
    <t>中东区</t>
    <phoneticPr fontId="143" type="noConversion"/>
  </si>
  <si>
    <t>可收益</t>
    <phoneticPr fontId="143" type="noConversion"/>
  </si>
  <si>
    <t>西区</t>
    <phoneticPr fontId="143" type="noConversion"/>
  </si>
  <si>
    <t>地上</t>
    <phoneticPr fontId="143" type="noConversion"/>
  </si>
  <si>
    <t>合计</t>
    <phoneticPr fontId="143" type="noConversion"/>
  </si>
  <si>
    <t>建筑面积</t>
    <phoneticPr fontId="143" type="noConversion"/>
  </si>
  <si>
    <r>
      <t>1</t>
    </r>
    <r>
      <rPr>
        <sz val="11"/>
        <color theme="1"/>
        <rFont val="宋体"/>
        <family val="3"/>
        <charset val="134"/>
        <scheme val="minor"/>
      </rPr>
      <t>83项目容积率</t>
    </r>
    <phoneticPr fontId="143" type="noConversion"/>
  </si>
  <si>
    <t>分摊土地面积（登记）</t>
    <phoneticPr fontId="143" type="noConversion"/>
  </si>
  <si>
    <t>分摊土地面积（计算）</t>
    <phoneticPr fontId="143" type="noConversion"/>
  </si>
  <si>
    <t>快速</t>
    <phoneticPr fontId="31" type="noConversion"/>
  </si>
  <si>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</si>
  <si>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</si>
  <si>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</si>
  <si>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</si>
  <si>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</si>
  <si>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</si>
  <si>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</si>
  <si>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</si>
  <si>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</si>
  <si>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</si>
  <si>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</si>
  <si>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</si>
  <si>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</si>
  <si>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</si>
  <si>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</si>
  <si>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</si>
  <si>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</si>
  <si>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</si>
  <si>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</si>
  <si>
    <t>一般</t>
    <phoneticPr fontId="31" type="noConversion"/>
  </si>
  <si>
    <t>较差</t>
  </si>
  <si>
    <t>较差</t>
    <phoneticPr fontId="31" type="noConversion"/>
  </si>
  <si>
    <t>差</t>
  </si>
  <si>
    <t>单面临街</t>
  </si>
  <si>
    <t>旅游</t>
  </si>
  <si>
    <t>旅游</t>
    <phoneticPr fontId="31" type="noConversion"/>
  </si>
  <si>
    <t>商业、办公</t>
  </si>
  <si>
    <t>商业、办公</t>
    <phoneticPr fontId="31" type="noConversion"/>
  </si>
  <si>
    <r>
      <rPr>
        <b/>
        <sz val="11"/>
        <rFont val="宋体"/>
        <family val="3"/>
        <charset val="134"/>
      </rPr>
      <t>估价对象商业用地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</si>
  <si>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地下车库</t>
    <phoneticPr fontId="32" type="noConversion"/>
  </si>
  <si>
    <t>30-40（含）</t>
  </si>
  <si>
    <t>保障房</t>
    <phoneticPr fontId="32" type="noConversion"/>
  </si>
  <si>
    <t>普通商品房</t>
  </si>
  <si>
    <t>普通商品房</t>
    <phoneticPr fontId="32" type="noConversion"/>
  </si>
  <si>
    <t>精装</t>
    <phoneticPr fontId="32" type="noConversion"/>
  </si>
  <si>
    <t>普装</t>
    <phoneticPr fontId="32" type="noConversion"/>
  </si>
  <si>
    <t>简装</t>
  </si>
  <si>
    <t>简装</t>
    <phoneticPr fontId="32" type="noConversion"/>
  </si>
  <si>
    <t>毛坯</t>
    <phoneticPr fontId="32" type="noConversion"/>
  </si>
  <si>
    <t>平面</t>
    <phoneticPr fontId="32" type="noConversion"/>
  </si>
  <si>
    <t>立体</t>
    <phoneticPr fontId="32" type="noConversion"/>
  </si>
  <si>
    <t>是</t>
    <phoneticPr fontId="32" type="noConversion"/>
  </si>
  <si>
    <t>否</t>
    <phoneticPr fontId="32" type="noConversion"/>
  </si>
  <si>
    <t>元/车位</t>
  </si>
  <si>
    <t>万年卡玛利亚住宅车库</t>
    <phoneticPr fontId="3" type="noConversion"/>
  </si>
  <si>
    <t>美地蝴蝶海住宅车库</t>
    <phoneticPr fontId="3" type="noConversion"/>
  </si>
  <si>
    <r>
      <rPr>
        <b/>
        <sz val="11"/>
        <rFont val="宋体"/>
        <family val="3"/>
        <charset val="134"/>
      </rPr>
      <t>估价对象地下车库用房的比较价值（楼面单价，元</t>
    </r>
    <r>
      <rPr>
        <b/>
        <sz val="11"/>
        <rFont val="Arial"/>
        <family val="2"/>
      </rPr>
      <t>/</t>
    </r>
    <r>
      <rPr>
        <b/>
        <sz val="11"/>
        <rFont val="宋体"/>
        <family val="3"/>
        <charset val="134"/>
      </rPr>
      <t>平方米）</t>
    </r>
    <phoneticPr fontId="3" type="noConversion"/>
  </si>
  <si>
    <t>比较法-车位</t>
  </si>
  <si>
    <t>成本比率</t>
  </si>
  <si>
    <t>梅山港湾路南、踏海路东</t>
    <phoneticPr fontId="143" type="noConversion"/>
  </si>
  <si>
    <t>龙湖住宅车库</t>
    <phoneticPr fontId="3" type="noConversion"/>
  </si>
  <si>
    <t>《不动产权证书》证号</t>
    <phoneticPr fontId="143" type="noConversion"/>
  </si>
  <si>
    <t>——</t>
    <phoneticPr fontId="143" type="noConversion"/>
  </si>
  <si>
    <t>浙（2018）北仑区不动产权第0024634号</t>
    <phoneticPr fontId="254" type="noConversion"/>
  </si>
  <si>
    <t>浙（2018）北仑区不动产权第0024609号</t>
    <phoneticPr fontId="254" type="noConversion"/>
  </si>
  <si>
    <t>浙（2018）北仑区不动产权第0024588号</t>
    <phoneticPr fontId="254" type="noConversion"/>
  </si>
  <si>
    <t>浙（2018）北仑区不动产权第0024663号</t>
    <phoneticPr fontId="254" type="noConversion"/>
  </si>
  <si>
    <t>浙（2018）北仑区不动产权第0024658号</t>
    <phoneticPr fontId="254" type="noConversion"/>
  </si>
  <si>
    <t>浙（2018）北仑区不动产权第0024579号</t>
    <phoneticPr fontId="254" type="noConversion"/>
  </si>
  <si>
    <t>浙（2018）北仑区不动产权第0024629号</t>
    <phoneticPr fontId="254" type="noConversion"/>
  </si>
  <si>
    <t>浙（2018）北仑区不动产权第0024744号</t>
    <phoneticPr fontId="254" type="noConversion"/>
  </si>
  <si>
    <t>浙（2018）北仑区不动产权第0024620号</t>
    <phoneticPr fontId="254" type="noConversion"/>
  </si>
  <si>
    <t>浙（2018）北仑区不动产权第0024739号</t>
    <phoneticPr fontId="254" type="noConversion"/>
  </si>
  <si>
    <t>浙（2018）北仑区不动产权第0024607号</t>
    <phoneticPr fontId="254" type="noConversion"/>
  </si>
  <si>
    <t>浙（2018）北仑区不动产权第0024587号</t>
    <phoneticPr fontId="254" type="noConversion"/>
  </si>
  <si>
    <t>浙（2018）北仑区不动产权第0024533号</t>
    <phoneticPr fontId="254" type="noConversion"/>
  </si>
  <si>
    <t>浙（2018）北仑区不动产权第0024731号</t>
    <phoneticPr fontId="254" type="noConversion"/>
  </si>
  <si>
    <t>浙（2018）北仑区不动产权第0024570号</t>
    <phoneticPr fontId="254" type="noConversion"/>
  </si>
  <si>
    <t>浙（2018）北仑区不动产权第0024668号</t>
    <phoneticPr fontId="254" type="noConversion"/>
  </si>
  <si>
    <t>浙（2018）北仑区不动产权第0024535号</t>
    <phoneticPr fontId="254" type="noConversion"/>
  </si>
  <si>
    <t>浙（2018）北仑区不动产权第0024591号</t>
    <phoneticPr fontId="254" type="noConversion"/>
  </si>
  <si>
    <t>浙（2018）北仑区不动产权第0024593号</t>
    <phoneticPr fontId="254" type="noConversion"/>
  </si>
  <si>
    <t>浙（2018）北仑区不动产权第0024651号</t>
    <phoneticPr fontId="254" type="noConversion"/>
  </si>
  <si>
    <t>浙（2018）北仑区不动产权第0024601号</t>
    <phoneticPr fontId="254" type="noConversion"/>
  </si>
  <si>
    <t>浙（2018）北仑区不动产权第0024577号</t>
    <phoneticPr fontId="254" type="noConversion"/>
  </si>
  <si>
    <t>浙（2018）北仑区不动产权第0024565号</t>
    <phoneticPr fontId="254" type="noConversion"/>
  </si>
  <si>
    <t>浙（2018）北仑区不动产权第0024673号</t>
    <phoneticPr fontId="254" type="noConversion"/>
  </si>
  <si>
    <t>浙（2018）北仑区不动产权第0024627号</t>
    <phoneticPr fontId="254" type="noConversion"/>
  </si>
  <si>
    <t>浙（2018）北仑区不动产权第0024671号</t>
    <phoneticPr fontId="254" type="noConversion"/>
  </si>
  <si>
    <t>浙（2018）北仑区不动产权第0024543号</t>
    <phoneticPr fontId="254" type="noConversion"/>
  </si>
  <si>
    <t>浙（2018）北仑区不动产权第0024704号</t>
    <phoneticPr fontId="254" type="noConversion"/>
  </si>
  <si>
    <t>浙（2018）北仑区不动产权第0024707号</t>
    <phoneticPr fontId="254" type="noConversion"/>
  </si>
  <si>
    <t>浙（2018）北仑区不动产权第0024736号</t>
    <phoneticPr fontId="254" type="noConversion"/>
  </si>
  <si>
    <t>浙（2018）北仑区不动产权第0024548号</t>
    <phoneticPr fontId="254" type="noConversion"/>
  </si>
  <si>
    <t>浙（2018）北仑区不动产权第0024571号</t>
    <phoneticPr fontId="254" type="noConversion"/>
  </si>
  <si>
    <t>浙（2018）北仑区不动产权第0024567号</t>
    <phoneticPr fontId="254" type="noConversion"/>
  </si>
  <si>
    <t>浙（2018）北仑区不动产权第0024600号</t>
    <phoneticPr fontId="254" type="noConversion"/>
  </si>
  <si>
    <t>浙（2018）北仑区不动产权第0024649号</t>
    <phoneticPr fontId="254" type="noConversion"/>
  </si>
  <si>
    <t>浙（2018）北仑区不动产权第0024690号</t>
    <phoneticPr fontId="254" type="noConversion"/>
  </si>
  <si>
    <t>浙（2018）北仑区不动产权第0024528号</t>
    <phoneticPr fontId="254" type="noConversion"/>
  </si>
  <si>
    <t>浙（2018）北仑区不动产权第0024625号</t>
    <phoneticPr fontId="254" type="noConversion"/>
  </si>
  <si>
    <t>浙（2018）北仑区不动产权第0024573号</t>
    <phoneticPr fontId="254" type="noConversion"/>
  </si>
  <si>
    <t>浙（2018）北仑区不动产权第0024746号</t>
    <phoneticPr fontId="254" type="noConversion"/>
  </si>
  <si>
    <t>浙（2018）北仑区不动产权第0024722号</t>
    <phoneticPr fontId="254" type="noConversion"/>
  </si>
  <si>
    <t>浙（2018）北仑区不动产权第0024698号</t>
    <phoneticPr fontId="254" type="noConversion"/>
  </si>
  <si>
    <t>浙（2018）北仑区不动产权第0024619号</t>
    <phoneticPr fontId="254" type="noConversion"/>
  </si>
  <si>
    <t>浙（2018）北仑区不动产权第0024635号</t>
    <phoneticPr fontId="254" type="noConversion"/>
  </si>
  <si>
    <t>浙（2018）北仑区不动产权第0024699号</t>
    <phoneticPr fontId="254" type="noConversion"/>
  </si>
  <si>
    <t>浙（2018）北仑区不动产权第0024660号</t>
    <phoneticPr fontId="254" type="noConversion"/>
  </si>
  <si>
    <t>浙（2018）北仑区不动产权第0024545号</t>
    <phoneticPr fontId="254" type="noConversion"/>
  </si>
  <si>
    <t>浙（2018）北仑区不动产权第0024602号</t>
    <phoneticPr fontId="254" type="noConversion"/>
  </si>
  <si>
    <t>浙（2018）北仑区不动产权第0024697号</t>
    <phoneticPr fontId="254" type="noConversion"/>
  </si>
  <si>
    <t>浙（2018）北仑区不动产权第0024718号</t>
    <phoneticPr fontId="254" type="noConversion"/>
  </si>
  <si>
    <t>浙（2018）北仑区不动产权第0024637号</t>
    <phoneticPr fontId="254" type="noConversion"/>
  </si>
  <si>
    <t>浙（2018）北仑区不动产权第0024552号</t>
    <phoneticPr fontId="254" type="noConversion"/>
  </si>
  <si>
    <t>浙（2018）北仑区不动产权第0024677号</t>
    <phoneticPr fontId="254" type="noConversion"/>
  </si>
  <si>
    <t>浙（2018）北仑区不动产权第0024633号</t>
    <phoneticPr fontId="254" type="noConversion"/>
  </si>
  <si>
    <t>浙（2018）北仑区不动产权第0024655号</t>
    <phoneticPr fontId="254" type="noConversion"/>
  </si>
  <si>
    <t>浙（2018）北仑区不动产权第0024631号</t>
    <phoneticPr fontId="254" type="noConversion"/>
  </si>
  <si>
    <t>浙（2018）北仑区不动产权第0024526号</t>
    <phoneticPr fontId="254" type="noConversion"/>
  </si>
  <si>
    <t>浙（2018）北仑区不动产权第0024529号</t>
    <phoneticPr fontId="254" type="noConversion"/>
  </si>
  <si>
    <t>浙（2018）北仑区不动产权第0024611号</t>
    <phoneticPr fontId="254" type="noConversion"/>
  </si>
  <si>
    <t>浙（2018）北仑区不动产权第0024711号</t>
    <phoneticPr fontId="254" type="noConversion"/>
  </si>
  <si>
    <t>浙（2018）北仑区不动产权第0024617号</t>
    <phoneticPr fontId="254" type="noConversion"/>
  </si>
  <si>
    <t>浙（2018）北仑区不动产权第0024654号</t>
    <phoneticPr fontId="254" type="noConversion"/>
  </si>
  <si>
    <t>浙（2018）北仑区不动产权第0024682号</t>
    <phoneticPr fontId="254" type="noConversion"/>
  </si>
  <si>
    <t>浙（2018）北仑区不动产权第0024710号</t>
    <phoneticPr fontId="254" type="noConversion"/>
  </si>
  <si>
    <t>浙（2018）北仑区不动产权第0024569号</t>
    <phoneticPr fontId="254" type="noConversion"/>
  </si>
  <si>
    <t>浙（2018）北仑区不动产权第0024574号</t>
    <phoneticPr fontId="254" type="noConversion"/>
  </si>
  <si>
    <t>浙（2018）北仑区不动产权第0024702号</t>
    <phoneticPr fontId="254" type="noConversion"/>
  </si>
  <si>
    <t>浙（2018）北仑区不动产权第0024669号</t>
    <phoneticPr fontId="254" type="noConversion"/>
  </si>
  <si>
    <t>浙（2018）北仑区不动产权第0024636号</t>
    <phoneticPr fontId="254" type="noConversion"/>
  </si>
  <si>
    <t>浙（2018）北仑区不动产权第0024696号</t>
    <phoneticPr fontId="254" type="noConversion"/>
  </si>
  <si>
    <t>浙（2018）北仑区不动产权第0024538号</t>
    <phoneticPr fontId="254" type="noConversion"/>
  </si>
  <si>
    <t>浙（2018）北仑区不动产权第0024730号</t>
    <phoneticPr fontId="254" type="noConversion"/>
  </si>
  <si>
    <t>浙（2018）北仑区不动产权第0024572号</t>
    <phoneticPr fontId="254" type="noConversion"/>
  </si>
  <si>
    <t>浙（2018）北仑区不动产权第0024582号</t>
    <phoneticPr fontId="254" type="noConversion"/>
  </si>
  <si>
    <t>浙（2018）北仑区不动产权第0024693号</t>
    <phoneticPr fontId="254" type="noConversion"/>
  </si>
  <si>
    <t>浙（2018）北仑区不动产权第0024558号</t>
    <phoneticPr fontId="254" type="noConversion"/>
  </si>
  <si>
    <t>浙（2018）北仑区不动产权第0024638号</t>
    <phoneticPr fontId="254" type="noConversion"/>
  </si>
  <si>
    <t>浙（2018）北仑区不动产权第0024537号</t>
    <phoneticPr fontId="254" type="noConversion"/>
  </si>
  <si>
    <t>浙（2018）北仑区不动产权第0024709号</t>
    <phoneticPr fontId="254" type="noConversion"/>
  </si>
  <si>
    <t>浙（2018）北仑区不动产权第0024712号</t>
    <phoneticPr fontId="254" type="noConversion"/>
  </si>
  <si>
    <t>浙（2018）北仑区不动产权第0024589号</t>
    <phoneticPr fontId="254" type="noConversion"/>
  </si>
  <si>
    <t>浙（2018）北仑区不动产权第0024684号</t>
    <phoneticPr fontId="254" type="noConversion"/>
  </si>
  <si>
    <t>浙（2018）北仑区不动产权第0024721号</t>
    <phoneticPr fontId="254" type="noConversion"/>
  </si>
  <si>
    <t>浙（2018）北仑区不动产权第0024726号</t>
    <phoneticPr fontId="254" type="noConversion"/>
  </si>
  <si>
    <t>浙（2018）北仑区不动产权第0024687号</t>
    <phoneticPr fontId="254" type="noConversion"/>
  </si>
  <si>
    <t>浙（2018）北仑区不动产权第0024595号</t>
    <phoneticPr fontId="254" type="noConversion"/>
  </si>
  <si>
    <t>浙（2018）北仑区不动产权第0024727号</t>
    <phoneticPr fontId="254" type="noConversion"/>
  </si>
  <si>
    <t>浙（2018）北仑区不动产权第0024560号</t>
    <phoneticPr fontId="254" type="noConversion"/>
  </si>
  <si>
    <t>浙（2018）北仑区不动产权第0024534号</t>
    <phoneticPr fontId="254" type="noConversion"/>
  </si>
  <si>
    <t>浙（2018）北仑区不动产权第0024585号</t>
    <phoneticPr fontId="254" type="noConversion"/>
  </si>
  <si>
    <t>浙（2018）北仑区不动产权第0024546号</t>
    <phoneticPr fontId="254" type="noConversion"/>
  </si>
  <si>
    <t>浙（2018）北仑区不动产权第0024735号</t>
    <phoneticPr fontId="254" type="noConversion"/>
  </si>
  <si>
    <t>浙（2018）北仑区不动产权第0024596号</t>
    <phoneticPr fontId="254" type="noConversion"/>
  </si>
  <si>
    <t>浙（2018）北仑区不动产权第0024606号</t>
    <phoneticPr fontId="254" type="noConversion"/>
  </si>
  <si>
    <t>浙（2018）北仑区不动产权第0024554号</t>
    <phoneticPr fontId="254" type="noConversion"/>
  </si>
  <si>
    <t>浙（2018）北仑区不动产权第0024561号</t>
    <phoneticPr fontId="254" type="noConversion"/>
  </si>
  <si>
    <t>浙（2018）北仑区不动产权第0024559号</t>
    <phoneticPr fontId="254" type="noConversion"/>
  </si>
  <si>
    <t>浙（2018）北仑区不动产权第0024618号</t>
    <phoneticPr fontId="254" type="noConversion"/>
  </si>
  <si>
    <t>浙（2018）北仑区不动产权第0024743号</t>
    <phoneticPr fontId="254" type="noConversion"/>
  </si>
  <si>
    <t>浙（2018）北仑区不动产权第0024666号</t>
    <phoneticPr fontId="254" type="noConversion"/>
  </si>
  <si>
    <t>浙（2018）北仑区不动产权第0024542号</t>
    <phoneticPr fontId="254" type="noConversion"/>
  </si>
  <si>
    <t>浙（2018）北仑区不动产权第0024652号</t>
    <phoneticPr fontId="254" type="noConversion"/>
  </si>
  <si>
    <t>浙（2018）北仑区不动产权第0024724号</t>
    <phoneticPr fontId="254" type="noConversion"/>
  </si>
  <si>
    <t>浙（2018）北仑区不动产权第0024586号</t>
    <phoneticPr fontId="254" type="noConversion"/>
  </si>
  <si>
    <t>浙（2018）北仑区不动产权第0024624号</t>
    <phoneticPr fontId="254" type="noConversion"/>
  </si>
  <si>
    <t>浙（2018）北仑区不动产权第0024540号</t>
    <phoneticPr fontId="254" type="noConversion"/>
  </si>
  <si>
    <t>浙（2018）北仑区不动产权第0024557号</t>
    <phoneticPr fontId="254" type="noConversion"/>
  </si>
  <si>
    <t>浙（2018）北仑区不动产权第0024612号</t>
    <phoneticPr fontId="254" type="noConversion"/>
  </si>
  <si>
    <t>浙（2018）北仑区不动产权第0024555号</t>
    <phoneticPr fontId="254" type="noConversion"/>
  </si>
  <si>
    <t>浙（2018）北仑区不动产权第0024680号</t>
    <phoneticPr fontId="254" type="noConversion"/>
  </si>
  <si>
    <t>浙（2018）北仑区不动产权第0024738号</t>
    <phoneticPr fontId="254" type="noConversion"/>
  </si>
  <si>
    <t>浙（2018）北仑区不动产权第0024599号</t>
    <phoneticPr fontId="254" type="noConversion"/>
  </si>
  <si>
    <t>浙（2018）北仑区不动产权第0024639号</t>
    <phoneticPr fontId="254" type="noConversion"/>
  </si>
  <si>
    <t>浙（2018）北仑区不动产权第0024562号</t>
    <phoneticPr fontId="254" type="noConversion"/>
  </si>
  <si>
    <t>浙（2018）北仑区不动产权第0024549号</t>
    <phoneticPr fontId="254" type="noConversion"/>
  </si>
  <si>
    <t>浙（2018）北仑区不动产权第0024733号</t>
    <phoneticPr fontId="254" type="noConversion"/>
  </si>
  <si>
    <t>浙（2018）北仑区不动产权第0024616号</t>
    <phoneticPr fontId="254" type="noConversion"/>
  </si>
  <si>
    <t>浙（2018）北仑区不动产权第0024628号</t>
    <phoneticPr fontId="254" type="noConversion"/>
  </si>
  <si>
    <t>浙（2018）北仑区不动产权第0024657号</t>
    <phoneticPr fontId="254" type="noConversion"/>
  </si>
  <si>
    <t>浙（2018）北仑区不动产权第0024686号</t>
    <phoneticPr fontId="254" type="noConversion"/>
  </si>
  <si>
    <t>浙（2018）北仑区不动产权第0024527号</t>
    <phoneticPr fontId="254" type="noConversion"/>
  </si>
  <si>
    <t>浙（2018）北仑区不动产权第0024695号</t>
    <phoneticPr fontId="254" type="noConversion"/>
  </si>
  <si>
    <t>浙（2018）北仑区不动产权第0024725号</t>
    <phoneticPr fontId="254" type="noConversion"/>
  </si>
  <si>
    <t>浙（2018）北仑区不动产权第0024706号</t>
    <phoneticPr fontId="254" type="noConversion"/>
  </si>
  <si>
    <t>浙（2018）北仑区不动产权第0024717号</t>
    <phoneticPr fontId="254" type="noConversion"/>
  </si>
  <si>
    <t>浙（2018）北仑区不动产权第0024550号</t>
    <phoneticPr fontId="254" type="noConversion"/>
  </si>
  <si>
    <t>浙（2018）北仑区不动产权第0024740号</t>
    <phoneticPr fontId="254" type="noConversion"/>
  </si>
  <si>
    <t>浙（2018）北仑区不动产权第0024544号</t>
    <phoneticPr fontId="254" type="noConversion"/>
  </si>
  <si>
    <t>浙（2018）北仑区不动产权第0024581号</t>
    <phoneticPr fontId="254" type="noConversion"/>
  </si>
  <si>
    <t>浙（2018）北仑区不动产权第0024597号</t>
    <phoneticPr fontId="254" type="noConversion"/>
  </si>
  <si>
    <t>浙（2018）北仑区不动产权第0024592号</t>
    <phoneticPr fontId="254" type="noConversion"/>
  </si>
  <si>
    <t>浙（2018）北仑区不动产权第0024626号</t>
    <phoneticPr fontId="254" type="noConversion"/>
  </si>
  <si>
    <t>浙（2018）北仑区不动产权第0024646号</t>
    <phoneticPr fontId="254" type="noConversion"/>
  </si>
  <si>
    <t>浙（2018）北仑区不动产权第0024603号</t>
    <phoneticPr fontId="254" type="noConversion"/>
  </si>
  <si>
    <t>浙（2018）北仑区不动产权第0024648号</t>
    <phoneticPr fontId="254" type="noConversion"/>
  </si>
  <si>
    <t>浙（2018）北仑区不动产权第0024661号</t>
    <phoneticPr fontId="254" type="noConversion"/>
  </si>
  <si>
    <t>浙（2018）北仑区不动产权第0024598号</t>
    <phoneticPr fontId="254" type="noConversion"/>
  </si>
  <si>
    <t>浙（2018）北仑区不动产权第0024630号</t>
    <phoneticPr fontId="254" type="noConversion"/>
  </si>
  <si>
    <t>浙（2018）北仑区不动产权第0024683号</t>
    <phoneticPr fontId="254" type="noConversion"/>
  </si>
  <si>
    <t>浙（2018）北仑区不动产权第0024747号</t>
    <phoneticPr fontId="254" type="noConversion"/>
  </si>
  <si>
    <t>浙（2018）北仑区不动产权第0024532号</t>
    <phoneticPr fontId="254" type="noConversion"/>
  </si>
  <si>
    <t>浙（2018）北仑区不动产权第0024524号</t>
    <phoneticPr fontId="254" type="noConversion"/>
  </si>
  <si>
    <t>浙（2018）北仑区不动产权第0024685号</t>
    <phoneticPr fontId="254" type="noConversion"/>
  </si>
  <si>
    <t>浙（2018）北仑区不动产权第0024622号</t>
    <phoneticPr fontId="254" type="noConversion"/>
  </si>
  <si>
    <t>浙（2018）北仑区不动产权第0024728号</t>
    <phoneticPr fontId="254" type="noConversion"/>
  </si>
  <si>
    <t>浙（2018）北仑区不动产权第0024737号</t>
    <phoneticPr fontId="254" type="noConversion"/>
  </si>
  <si>
    <t>浙（2018）北仑区不动产权第0024705号</t>
    <phoneticPr fontId="254" type="noConversion"/>
  </si>
  <si>
    <t>浙（2018）北仑区不动产权第0024623号</t>
    <phoneticPr fontId="254" type="noConversion"/>
  </si>
  <si>
    <t>浙（2018）北仑区不动产权第0024665号</t>
    <phoneticPr fontId="254" type="noConversion"/>
  </si>
  <si>
    <t>浙（2018）北仑区不动产权第0024720号</t>
    <phoneticPr fontId="254" type="noConversion"/>
  </si>
  <si>
    <t>浙（2018）北仑区不动产权第0024678号</t>
    <phoneticPr fontId="254" type="noConversion"/>
  </si>
  <si>
    <t>浙（2018）北仑区不动产权第0024553号</t>
    <phoneticPr fontId="254" type="noConversion"/>
  </si>
  <si>
    <t>浙（2018）北仑区不动产权第0024729号</t>
    <phoneticPr fontId="254" type="noConversion"/>
  </si>
  <si>
    <t>浙（2018）北仑区不动产权第0024632号</t>
    <phoneticPr fontId="254" type="noConversion"/>
  </si>
  <si>
    <t>浙（2018）北仑区不动产权第0024566号</t>
    <phoneticPr fontId="254" type="noConversion"/>
  </si>
  <si>
    <t>浙（2018）北仑区不动产权第0024689号</t>
    <phoneticPr fontId="254" type="noConversion"/>
  </si>
  <si>
    <t>浙（2018）北仑区不动产权第0024650号</t>
    <phoneticPr fontId="254" type="noConversion"/>
  </si>
  <si>
    <t>浙（2018）北仑区不动产权第0024590号</t>
    <phoneticPr fontId="254" type="noConversion"/>
  </si>
  <si>
    <t>浙（2018）北仑区不动产权第0024608号</t>
    <phoneticPr fontId="254" type="noConversion"/>
  </si>
  <si>
    <t>浙（2018）北仑区不动产权第0024563号</t>
    <phoneticPr fontId="254" type="noConversion"/>
  </si>
  <si>
    <t>浙（2018）北仑区不动产权第0024716号</t>
    <phoneticPr fontId="254" type="noConversion"/>
  </si>
  <si>
    <t>浙（2018）北仑区不动产权第0024605号</t>
    <phoneticPr fontId="254" type="noConversion"/>
  </si>
  <si>
    <t>浙（2018）北仑区不动产权第0024742号</t>
    <phoneticPr fontId="254" type="noConversion"/>
  </si>
  <si>
    <t>浙（2018）北仑区不动产权第0024674号</t>
    <phoneticPr fontId="254" type="noConversion"/>
  </si>
  <si>
    <t>浙（2018）北仑区不动产权第0024583号</t>
    <phoneticPr fontId="254" type="noConversion"/>
  </si>
  <si>
    <t>浙（2018）北仑区不动产权第0024614号</t>
    <phoneticPr fontId="254" type="noConversion"/>
  </si>
  <si>
    <t>浙（2018）北仑区不动产权第0024621号</t>
    <phoneticPr fontId="254" type="noConversion"/>
  </si>
  <si>
    <t>浙（2018）北仑区不动产权第0024541号</t>
    <phoneticPr fontId="254" type="noConversion"/>
  </si>
  <si>
    <t>浙（2018）北仑区不动产权第0024568号</t>
    <phoneticPr fontId="254" type="noConversion"/>
  </si>
  <si>
    <t>浙（2018）北仑区不动产权第0024692号</t>
    <phoneticPr fontId="254" type="noConversion"/>
  </si>
  <si>
    <t>浙（2018）北仑区不动产权第0024675号</t>
    <phoneticPr fontId="254" type="noConversion"/>
  </si>
  <si>
    <t>浙（2018）北仑区不动产权第0024662号</t>
    <phoneticPr fontId="254" type="noConversion"/>
  </si>
  <si>
    <t>浙（2018）北仑区不动产权第0024659号</t>
    <phoneticPr fontId="254" type="noConversion"/>
  </si>
  <si>
    <t>浙（2018）北仑区不动产权第0024575号</t>
    <phoneticPr fontId="254" type="noConversion"/>
  </si>
  <si>
    <t>浙（2018）北仑区不动产权第0024647号</t>
    <phoneticPr fontId="254" type="noConversion"/>
  </si>
  <si>
    <t>浙（2018）北仑区不动产权第0024679号</t>
    <phoneticPr fontId="254" type="noConversion"/>
  </si>
  <si>
    <t>浙（2018）北仑区不动产权第0024741号</t>
    <phoneticPr fontId="254" type="noConversion"/>
  </si>
  <si>
    <t>浙（2018）北仑区不动产权第0024615号</t>
    <phoneticPr fontId="254" type="noConversion"/>
  </si>
  <si>
    <t>浙（2018）北仑区不动产权第0024701号</t>
    <phoneticPr fontId="254" type="noConversion"/>
  </si>
  <si>
    <t>浙（2018）北仑区不动产权第0024536号</t>
    <phoneticPr fontId="254" type="noConversion"/>
  </si>
  <si>
    <t>浙（2018）北仑区不动产权第0024732号</t>
    <phoneticPr fontId="254" type="noConversion"/>
  </si>
  <si>
    <t>浙（2018）北仑区不动产权第0024525号</t>
    <phoneticPr fontId="254" type="noConversion"/>
  </si>
  <si>
    <t>浙（2018）北仑区不动产权第0024644号</t>
    <phoneticPr fontId="254" type="noConversion"/>
  </si>
  <si>
    <t>浙（2018）北仑区不动产权第0024708号</t>
    <phoneticPr fontId="254" type="noConversion"/>
  </si>
  <si>
    <t>浙（2018）北仑区不动产权第0024714号</t>
    <phoneticPr fontId="254" type="noConversion"/>
  </si>
  <si>
    <t>浙（2018）北仑区不动产权第0024610号</t>
    <phoneticPr fontId="254" type="noConversion"/>
  </si>
  <si>
    <t>浙（2018）北仑区不动产权第0024703号</t>
    <phoneticPr fontId="254" type="noConversion"/>
  </si>
  <si>
    <t>浙（2018）北仑区不动产权第0024613号</t>
    <phoneticPr fontId="254" type="noConversion"/>
  </si>
  <si>
    <t>浙（2018）北仑区不动产权第0024713号</t>
    <phoneticPr fontId="254" type="noConversion"/>
  </si>
  <si>
    <t>浙（2018）北仑区不动产权第0024584号</t>
    <phoneticPr fontId="254" type="noConversion"/>
  </si>
  <si>
    <t>浙（2018）北仑区不动产权第0024556号</t>
    <phoneticPr fontId="254" type="noConversion"/>
  </si>
  <si>
    <t>浙（2018）北仑区不动产权第0024640号</t>
    <phoneticPr fontId="254" type="noConversion"/>
  </si>
  <si>
    <t>浙（2018）北仑区不动产权第0024748号</t>
    <phoneticPr fontId="254" type="noConversion"/>
  </si>
  <si>
    <t>浙（2018）北仑区不动产权第0024645号</t>
    <phoneticPr fontId="254" type="noConversion"/>
  </si>
  <si>
    <t>浙（2018）北仑区不动产权第0024653号</t>
    <phoneticPr fontId="254" type="noConversion"/>
  </si>
  <si>
    <t>浙（2018）北仑区不动产权第0024539号</t>
    <phoneticPr fontId="254" type="noConversion"/>
  </si>
  <si>
    <t>浙（2018）北仑区不动产权第0024681号</t>
    <phoneticPr fontId="254" type="noConversion"/>
  </si>
  <si>
    <t>浙（2018）北仑区不动产权第0024694号</t>
    <phoneticPr fontId="254" type="noConversion"/>
  </si>
  <si>
    <t>浙（2018）北仑区不动产权第0024604号</t>
    <phoneticPr fontId="254" type="noConversion"/>
  </si>
  <si>
    <t>浙（2018）北仑区不动产权第0024715号</t>
    <phoneticPr fontId="254" type="noConversion"/>
  </si>
  <si>
    <t>浙（2018）北仑区不动产权第0024642号</t>
    <phoneticPr fontId="254" type="noConversion"/>
  </si>
  <si>
    <t>浙（2018）北仑区不动产权第0024688号</t>
    <phoneticPr fontId="254" type="noConversion"/>
  </si>
  <si>
    <t>浙（2018）北仑区不动产权第0024564号</t>
    <phoneticPr fontId="254" type="noConversion"/>
  </si>
  <si>
    <t>浙（2018）北仑区不动产权第0024576号</t>
    <phoneticPr fontId="254" type="noConversion"/>
  </si>
  <si>
    <t>浙（2018）北仑区不动产权第0024672号</t>
    <phoneticPr fontId="254" type="noConversion"/>
  </si>
  <si>
    <t>浙（2018）北仑区不动产权第0024594号</t>
    <phoneticPr fontId="254" type="noConversion"/>
  </si>
  <si>
    <t>浙（2018）北仑区不动产权第0024723号</t>
    <phoneticPr fontId="254" type="noConversion"/>
  </si>
  <si>
    <t>浙（2018）北仑区不动产权第0024700号</t>
    <phoneticPr fontId="254" type="noConversion"/>
  </si>
  <si>
    <t>浙（2018）北仑区不动产权第0024656号</t>
    <phoneticPr fontId="254" type="noConversion"/>
  </si>
  <si>
    <t>浙（2018）北仑区不动产权第0024578号</t>
    <phoneticPr fontId="254" type="noConversion"/>
  </si>
  <si>
    <t>浙（2018）北仑区不动产权第0024547号</t>
    <phoneticPr fontId="254" type="noConversion"/>
  </si>
  <si>
    <t>浙（2018）北仑区不动产权第0024551号</t>
    <phoneticPr fontId="254" type="noConversion"/>
  </si>
  <si>
    <t>浙（2018）北仑区不动产权第0024719号</t>
    <phoneticPr fontId="254" type="noConversion"/>
  </si>
  <si>
    <t>浙（2018）北仑区不动产权第0024734号</t>
    <phoneticPr fontId="254" type="noConversion"/>
  </si>
  <si>
    <t>浙（2018）北仑区不动产权第0024580号</t>
    <phoneticPr fontId="254" type="noConversion"/>
  </si>
  <si>
    <t>浙（2018）北仑区不动产权第0024641号</t>
    <phoneticPr fontId="254" type="noConversion"/>
  </si>
  <si>
    <t>浙（2018）北仑区不动产权第0024664号</t>
    <phoneticPr fontId="254" type="noConversion"/>
  </si>
  <si>
    <t>浙（2018）北仑区不动产权第0024530号</t>
    <phoneticPr fontId="254" type="noConversion"/>
  </si>
  <si>
    <t>浙（2018）北仑区不动产权第0024691号</t>
    <phoneticPr fontId="254" type="noConversion"/>
  </si>
  <si>
    <t>浙（2018）北仑区不动产权第0024531号</t>
    <phoneticPr fontId="254" type="noConversion"/>
  </si>
  <si>
    <t>浙（2018）北仑区不动产权第0024676号</t>
    <phoneticPr fontId="254" type="noConversion"/>
  </si>
  <si>
    <t>浙（2018）北仑区不动产权第0024667号</t>
    <phoneticPr fontId="254" type="noConversion"/>
  </si>
  <si>
    <t>浙（2018）北仑区不动产权第0024643号</t>
    <phoneticPr fontId="254" type="noConversion"/>
  </si>
  <si>
    <t>浙（2018）北仑区不动产权第0024670号</t>
    <phoneticPr fontId="254" type="noConversion"/>
  </si>
  <si>
    <t>——</t>
    <phoneticPr fontId="143" type="noConversion"/>
  </si>
  <si>
    <t>浙（2018）北仑区不动产权第0013295号</t>
    <phoneticPr fontId="254" type="noConversion"/>
  </si>
  <si>
    <t>浙（2018）北仑区不动产权第0013360号</t>
    <phoneticPr fontId="254" type="noConversion"/>
  </si>
  <si>
    <t>浙（2018）北仑区不动产权第0013347号</t>
    <phoneticPr fontId="254" type="noConversion"/>
  </si>
  <si>
    <t>浙（2018）北仑区不动产权第0013322号</t>
    <phoneticPr fontId="254" type="noConversion"/>
  </si>
  <si>
    <t>浙（2018）北仑区不动产权第0013372号</t>
    <phoneticPr fontId="254" type="noConversion"/>
  </si>
  <si>
    <t>浙（2018）北仑区不动产权第0013333号</t>
    <phoneticPr fontId="254" type="noConversion"/>
  </si>
  <si>
    <t>浙（2018）北仑区不动产权第0013292号</t>
    <phoneticPr fontId="254" type="noConversion"/>
  </si>
  <si>
    <t>浙（2018）北仑区不动产权第0013273号</t>
    <phoneticPr fontId="254" type="noConversion"/>
  </si>
  <si>
    <t>浙（2018）北仑区不动产权第0013329号</t>
    <phoneticPr fontId="254" type="noConversion"/>
  </si>
  <si>
    <t>浙（2018）北仑区不动产权第0013352号</t>
    <phoneticPr fontId="254" type="noConversion"/>
  </si>
  <si>
    <t>浙（2018）北仑区不动产权第0013373号</t>
    <phoneticPr fontId="254" type="noConversion"/>
  </si>
  <si>
    <t>浙（2018）北仑区不动产权第0013336号</t>
    <phoneticPr fontId="254" type="noConversion"/>
  </si>
  <si>
    <t>浙（2018）北仑区不动产权第0013361号</t>
    <phoneticPr fontId="254" type="noConversion"/>
  </si>
  <si>
    <t>浙（2018）北仑区不动产权第0013391号</t>
    <phoneticPr fontId="254" type="noConversion"/>
  </si>
  <si>
    <t>浙（2018）北仑区不动产权第0013390号</t>
    <phoneticPr fontId="254" type="noConversion"/>
  </si>
  <si>
    <t>浙（2018）北仑区不动产权第0013331号</t>
    <phoneticPr fontId="254" type="noConversion"/>
  </si>
  <si>
    <t>浙（2018）北仑区不动产权第0013368号</t>
    <phoneticPr fontId="254" type="noConversion"/>
  </si>
  <si>
    <t>浙（2018）北仑区不动产权第0013341号</t>
    <phoneticPr fontId="254" type="noConversion"/>
  </si>
  <si>
    <t>浙（2018）北仑区不动产权第0013351号</t>
    <phoneticPr fontId="254" type="noConversion"/>
  </si>
  <si>
    <t>浙（2018）北仑区不动产权第0013328号</t>
    <phoneticPr fontId="254" type="noConversion"/>
  </si>
  <si>
    <t>浙（2018）北仑区不动产权第0013387号</t>
    <phoneticPr fontId="254" type="noConversion"/>
  </si>
  <si>
    <t>浙（2018）北仑区不动产权第0013310号</t>
    <phoneticPr fontId="254" type="noConversion"/>
  </si>
  <si>
    <t>浙（2018）北仑区不动产权第0013340号</t>
    <phoneticPr fontId="254" type="noConversion"/>
  </si>
  <si>
    <t>浙（2018）北仑区不动产权第0013378号</t>
    <phoneticPr fontId="254" type="noConversion"/>
  </si>
  <si>
    <t>浙（2018）北仑区不动产权第0013392号</t>
    <phoneticPr fontId="254" type="noConversion"/>
  </si>
  <si>
    <t>浙（2018）北仑区不动产权第0013291号</t>
    <phoneticPr fontId="254" type="noConversion"/>
  </si>
  <si>
    <t>浙（2018）北仑区不动产权第0013293号</t>
    <phoneticPr fontId="254" type="noConversion"/>
  </si>
  <si>
    <t>浙（2018）北仑区不动产权第0013338号</t>
    <phoneticPr fontId="254" type="noConversion"/>
  </si>
  <si>
    <t>浙（2018）北仑区不动产权第0013303号</t>
    <phoneticPr fontId="254" type="noConversion"/>
  </si>
  <si>
    <t>浙（2018）北仑区不动产权第0013278号</t>
    <phoneticPr fontId="254" type="noConversion"/>
  </si>
  <si>
    <t>浙（2018）北仑区不动产权第0013286号</t>
    <phoneticPr fontId="254" type="noConversion"/>
  </si>
  <si>
    <t>浙（2018）北仑区不动产权第0013377号</t>
    <phoneticPr fontId="254" type="noConversion"/>
  </si>
  <si>
    <t>浙（2018）北仑区不动产权第0013337号</t>
    <phoneticPr fontId="254" type="noConversion"/>
  </si>
  <si>
    <t>浙（2018）北仑区不动产权第0013346号</t>
    <phoneticPr fontId="254" type="noConversion"/>
  </si>
  <si>
    <t>浙（2018）北仑区不动产权第0013270号</t>
    <phoneticPr fontId="254" type="noConversion"/>
  </si>
  <si>
    <t>浙（2018）北仑区不动产权第0013389号</t>
    <phoneticPr fontId="254" type="noConversion"/>
  </si>
  <si>
    <t>浙（2018）北仑区不动产权第0013376号</t>
    <phoneticPr fontId="254" type="noConversion"/>
  </si>
  <si>
    <t>浙（2018）北仑区不动产权第0013320号</t>
    <phoneticPr fontId="254" type="noConversion"/>
  </si>
  <si>
    <t>浙（2018）北仑区不动产权第0013305号</t>
    <phoneticPr fontId="254" type="noConversion"/>
  </si>
  <si>
    <t>浙（2018）北仑区不动产权第0013370号</t>
    <phoneticPr fontId="254" type="noConversion"/>
  </si>
  <si>
    <t>浙（2018）北仑区不动产权第0013284号</t>
    <phoneticPr fontId="254" type="noConversion"/>
  </si>
  <si>
    <t>浙（2018）北仑区不动产权第0013349号</t>
    <phoneticPr fontId="254" type="noConversion"/>
  </si>
  <si>
    <t>浙（2018）北仑区不动产权第0013317号</t>
    <phoneticPr fontId="254" type="noConversion"/>
  </si>
  <si>
    <t>浙（2018）北仑区不动产权第0013285号</t>
    <phoneticPr fontId="254" type="noConversion"/>
  </si>
  <si>
    <t>浙（2018）北仑区不动产权第0013290号</t>
    <phoneticPr fontId="254" type="noConversion"/>
  </si>
  <si>
    <t>浙（2018）北仑区不动产权第0013272号</t>
    <phoneticPr fontId="254" type="noConversion"/>
  </si>
  <si>
    <t>浙（2018）北仑区不动产权第0013275号</t>
    <phoneticPr fontId="254" type="noConversion"/>
  </si>
  <si>
    <t>浙（2018）北仑区不动产权第0013289号</t>
    <phoneticPr fontId="254" type="noConversion"/>
  </si>
  <si>
    <t>浙（2018）北仑区不动产权第0013339号</t>
    <phoneticPr fontId="254" type="noConversion"/>
  </si>
  <si>
    <t>浙（2018）北仑区不动产权第0013301号</t>
    <phoneticPr fontId="254" type="noConversion"/>
  </si>
  <si>
    <t>浙（2018）北仑区不动产权第0013306号</t>
    <phoneticPr fontId="254" type="noConversion"/>
  </si>
  <si>
    <t>浙（2018）北仑区不动产权第0013374号</t>
    <phoneticPr fontId="254" type="noConversion"/>
  </si>
  <si>
    <t>浙（2018）北仑区不动产权第0013356号</t>
    <phoneticPr fontId="254" type="noConversion"/>
  </si>
  <si>
    <t>浙（2018）北仑区不动产权第0013277号</t>
    <phoneticPr fontId="254" type="noConversion"/>
  </si>
  <si>
    <t>浙（2018）北仑区不动产权第0013357号</t>
    <phoneticPr fontId="254" type="noConversion"/>
  </si>
  <si>
    <t>浙（2018）北仑区不动产权第0013279号</t>
    <phoneticPr fontId="254" type="noConversion"/>
  </si>
  <si>
    <t>浙（2018）北仑区不动产权第0013274号</t>
    <phoneticPr fontId="254" type="noConversion"/>
  </si>
  <si>
    <t>浙（2018）北仑区不动产权第0013312号</t>
    <phoneticPr fontId="254" type="noConversion"/>
  </si>
  <si>
    <t>浙（2018）北仑区不动产权第0013299号</t>
    <phoneticPr fontId="254" type="noConversion"/>
  </si>
  <si>
    <t>浙（2018）北仑区不动产权第0013302号</t>
    <phoneticPr fontId="254" type="noConversion"/>
  </si>
  <si>
    <t>浙（2018）北仑区不动产权第0013283号</t>
    <phoneticPr fontId="254" type="noConversion"/>
  </si>
  <si>
    <t>浙（2018）北仑区不动产权第0013308号</t>
    <phoneticPr fontId="254" type="noConversion"/>
  </si>
  <si>
    <t>浙（2018）北仑区不动产权第0013388号</t>
    <phoneticPr fontId="254" type="noConversion"/>
  </si>
  <si>
    <t>浙（2018）北仑区不动产权第0013271号</t>
    <phoneticPr fontId="254" type="noConversion"/>
  </si>
  <si>
    <t>浙（2018）北仑区不动产权第0013294号</t>
    <phoneticPr fontId="254" type="noConversion"/>
  </si>
  <si>
    <t>浙（2018）北仑区不动产权第0013288号</t>
    <phoneticPr fontId="254" type="noConversion"/>
  </si>
  <si>
    <t>浙（2018）北仑区不动产权第0013366号</t>
    <phoneticPr fontId="254" type="noConversion"/>
  </si>
  <si>
    <t>浙（2018）北仑区不动产权第0013379号</t>
    <phoneticPr fontId="254" type="noConversion"/>
  </si>
  <si>
    <t>浙（2018）北仑区不动产权第0013334号</t>
    <phoneticPr fontId="254" type="noConversion"/>
  </si>
  <si>
    <t>浙（2018）北仑区不动产权第0013335号</t>
    <phoneticPr fontId="254" type="noConversion"/>
  </si>
  <si>
    <t>浙（2018）北仑区不动产权第0013386号</t>
    <phoneticPr fontId="254" type="noConversion"/>
  </si>
  <si>
    <t>浙（2018）北仑区不动产权第0013280号</t>
    <phoneticPr fontId="254" type="noConversion"/>
  </si>
  <si>
    <t>浙（2018）北仑区不动产权第0013369号</t>
    <phoneticPr fontId="254" type="noConversion"/>
  </si>
  <si>
    <t>浙（2018）北仑区不动产权第0013362号</t>
    <phoneticPr fontId="254" type="noConversion"/>
  </si>
  <si>
    <t>浙（2018）北仑区不动产权第0013332号</t>
    <phoneticPr fontId="254" type="noConversion"/>
  </si>
  <si>
    <t>浙（2018）北仑区不动产权第0013307号</t>
    <phoneticPr fontId="254" type="noConversion"/>
  </si>
  <si>
    <t>浙（2018）北仑区不动产权第0013345号</t>
    <phoneticPr fontId="254" type="noConversion"/>
  </si>
  <si>
    <t>浙（2018）北仑区不动产权第0013276号</t>
    <phoneticPr fontId="254" type="noConversion"/>
  </si>
  <si>
    <t>浙（2018）北仑区不动产权第0013300号</t>
    <phoneticPr fontId="254" type="noConversion"/>
  </si>
  <si>
    <t>浙（2018）北仑区不动产权第0013359号</t>
    <phoneticPr fontId="254" type="noConversion"/>
  </si>
  <si>
    <t>浙（2018）北仑区不动产权第0013304号</t>
    <phoneticPr fontId="254" type="noConversion"/>
  </si>
  <si>
    <t>浙（2018）北仑区不动产权第0013383号</t>
    <phoneticPr fontId="254" type="noConversion"/>
  </si>
  <si>
    <t>浙（2018）北仑区不动产权第0013309号</t>
    <phoneticPr fontId="254" type="noConversion"/>
  </si>
  <si>
    <t>浙（2018）北仑区不动产权第0013350号</t>
    <phoneticPr fontId="254" type="noConversion"/>
  </si>
  <si>
    <t>浙（2018）北仑区不动产权第0013319号</t>
    <phoneticPr fontId="254" type="noConversion"/>
  </si>
  <si>
    <t>浙（2018）北仑区不动产权第0013330号</t>
    <phoneticPr fontId="254" type="noConversion"/>
  </si>
  <si>
    <t>浙（2018）北仑区不动产权第0013385号</t>
    <phoneticPr fontId="254" type="noConversion"/>
  </si>
  <si>
    <t>浙（2018）北仑区不动产权第0013375号</t>
    <phoneticPr fontId="254" type="noConversion"/>
  </si>
  <si>
    <t>浙（2018）北仑区不动产权第0013358号</t>
    <phoneticPr fontId="254" type="noConversion"/>
  </si>
  <si>
    <t>浙（2018）北仑区不动产权第0013353号</t>
    <phoneticPr fontId="254" type="noConversion"/>
  </si>
  <si>
    <t>浙（2018）北仑区不动产权第0013384号</t>
    <phoneticPr fontId="254" type="noConversion"/>
  </si>
  <si>
    <t>浙（2018）北仑区不动产权第0013348号</t>
    <phoneticPr fontId="254" type="noConversion"/>
  </si>
  <si>
    <t>浙（2018）北仑区不动产权第0013318号</t>
    <phoneticPr fontId="254" type="noConversion"/>
  </si>
  <si>
    <t>浙（2018）北仑区不动产权第0013311号</t>
    <phoneticPr fontId="254" type="noConversion"/>
  </si>
  <si>
    <t>浙（2018）北仑区不动产权第0013281号</t>
    <phoneticPr fontId="254" type="noConversion"/>
  </si>
  <si>
    <t>浙（2018）北仑区不动产权第0013321号</t>
    <phoneticPr fontId="254" type="noConversion"/>
  </si>
  <si>
    <t>浙（2018）北仑区不动产权第0013287号</t>
    <phoneticPr fontId="254" type="noConversion"/>
  </si>
  <si>
    <t>浙（2018）北仑区不动产权第0013367号</t>
    <phoneticPr fontId="254" type="noConversion"/>
  </si>
  <si>
    <t>浙（2018）北仑区不动产权第0013371号</t>
    <phoneticPr fontId="254" type="noConversion"/>
  </si>
  <si>
    <t>浙（2018）北仑区不动产权第0013282号</t>
    <phoneticPr fontId="254" type="noConversion"/>
  </si>
  <si>
    <t>浙（2018）北仑区不动产权第0013315号</t>
    <phoneticPr fontId="254" type="noConversion"/>
  </si>
  <si>
    <t>浙（2018）北仑区不动产权第0013363号</t>
    <phoneticPr fontId="254" type="noConversion"/>
  </si>
  <si>
    <t>浙（2018）北仑区不动产权第0013364号</t>
    <phoneticPr fontId="254" type="noConversion"/>
  </si>
  <si>
    <t>浙（2018）北仑区不动产权第0013326号</t>
    <phoneticPr fontId="254" type="noConversion"/>
  </si>
  <si>
    <t>浙（2018）北仑区不动产权第0013344号</t>
    <phoneticPr fontId="254" type="noConversion"/>
  </si>
  <si>
    <t>浙（2018）北仑区不动产权第0013314号</t>
    <phoneticPr fontId="254" type="noConversion"/>
  </si>
  <si>
    <t>浙（2018）北仑区不动产权第0013316号</t>
    <phoneticPr fontId="254" type="noConversion"/>
  </si>
  <si>
    <t>浙（2018）北仑区不动产权第0013343号</t>
    <phoneticPr fontId="254" type="noConversion"/>
  </si>
  <si>
    <t>浙（2018）北仑区不动产权第0013324号</t>
    <phoneticPr fontId="254" type="noConversion"/>
  </si>
  <si>
    <t>浙（2018）北仑区不动产权第0013380号</t>
    <phoneticPr fontId="254" type="noConversion"/>
  </si>
  <si>
    <t>浙（2018）北仑区不动产权第0013327号</t>
    <phoneticPr fontId="254" type="noConversion"/>
  </si>
  <si>
    <t>浙（2018）北仑区不动产权第0013365号</t>
    <phoneticPr fontId="254" type="noConversion"/>
  </si>
  <si>
    <t>浙（2018）北仑区不动产权第0013297号</t>
    <phoneticPr fontId="254" type="noConversion"/>
  </si>
  <si>
    <t>浙（2018）北仑区不动产权第0013298号</t>
    <phoneticPr fontId="254" type="noConversion"/>
  </si>
  <si>
    <t>浙（2018）北仑区不动产权第0013355号</t>
    <phoneticPr fontId="254" type="noConversion"/>
  </si>
  <si>
    <t>浙（2018）北仑区不动产权第0013325号</t>
    <phoneticPr fontId="254" type="noConversion"/>
  </si>
  <si>
    <t>浙（2018）北仑区不动产权第0013342号</t>
    <phoneticPr fontId="254" type="noConversion"/>
  </si>
  <si>
    <t>浙（2018）北仑区不动产权第0013296号</t>
    <phoneticPr fontId="254" type="noConversion"/>
  </si>
  <si>
    <t>浙（2018）北仑区不动产权第0013323号</t>
    <phoneticPr fontId="254" type="noConversion"/>
  </si>
  <si>
    <t>浙（2018）北仑区不动产权第0013381号</t>
    <phoneticPr fontId="254" type="noConversion"/>
  </si>
  <si>
    <t>浙（2018）北仑区不动产权第0013382号</t>
    <phoneticPr fontId="254" type="noConversion"/>
  </si>
  <si>
    <t>浙（2018）北仑区不动产权第0013313号</t>
    <phoneticPr fontId="254" type="noConversion"/>
  </si>
  <si>
    <t>浙（2018）北仑区不动产权第0013354号</t>
    <phoneticPr fontId="254" type="noConversion"/>
  </si>
  <si>
    <t>浙（2018）北仑区不动产权第0017738号</t>
    <phoneticPr fontId="254" type="noConversion"/>
  </si>
  <si>
    <t>浙（2018）北仑区不动产权第0017675号</t>
    <phoneticPr fontId="254" type="noConversion"/>
  </si>
  <si>
    <t>浙（2018）北仑区不动产权第0017722号</t>
    <phoneticPr fontId="254" type="noConversion"/>
  </si>
  <si>
    <t>浙（2018）北仑区不动产权第0017742号</t>
    <phoneticPr fontId="254" type="noConversion"/>
  </si>
  <si>
    <t>浙（2018）北仑区不动产权第0017735号</t>
    <phoneticPr fontId="254" type="noConversion"/>
  </si>
  <si>
    <t>浙（2018）北仑区不动产权第0017732号</t>
    <phoneticPr fontId="254" type="noConversion"/>
  </si>
  <si>
    <t>浙（2018）北仑区不动产权第0017726号</t>
    <phoneticPr fontId="254" type="noConversion"/>
  </si>
  <si>
    <t>浙（2018）北仑区不动产权第0017657号</t>
    <phoneticPr fontId="254" type="noConversion"/>
  </si>
  <si>
    <t>浙（2018）北仑区不动产权第0017660号</t>
    <phoneticPr fontId="254" type="noConversion"/>
  </si>
  <si>
    <t>浙（2018）北仑区不动产权第0017647号</t>
    <phoneticPr fontId="254" type="noConversion"/>
  </si>
  <si>
    <t>浙（2018）北仑区不动产权第0017648号</t>
    <phoneticPr fontId="254" type="noConversion"/>
  </si>
  <si>
    <t>浙（2018）北仑区不动产权第0017749号</t>
    <phoneticPr fontId="254" type="noConversion"/>
  </si>
  <si>
    <t>浙（2018）北仑区不动产权第0017755号</t>
    <phoneticPr fontId="254" type="noConversion"/>
  </si>
  <si>
    <t>浙（2018）北仑区不动产权第0017659号</t>
    <phoneticPr fontId="254" type="noConversion"/>
  </si>
  <si>
    <t>浙（2018）北仑区不动产权第0017700号</t>
    <phoneticPr fontId="254" type="noConversion"/>
  </si>
  <si>
    <t>浙（2018）北仑区不动产权第0017754号</t>
    <phoneticPr fontId="254" type="noConversion"/>
  </si>
  <si>
    <t>浙（2018）北仑区不动产权第0017705号</t>
    <phoneticPr fontId="254" type="noConversion"/>
  </si>
  <si>
    <t>浙（2018）北仑区不动产权第0017714号</t>
    <phoneticPr fontId="254" type="noConversion"/>
  </si>
  <si>
    <t>浙（2018）北仑区不动产权第0017708号</t>
    <phoneticPr fontId="254" type="noConversion"/>
  </si>
  <si>
    <t>浙（2018）北仑区不动产权第0017683号</t>
    <phoneticPr fontId="254" type="noConversion"/>
  </si>
  <si>
    <t>浙（2018）北仑区不动产权第0017672号</t>
    <phoneticPr fontId="254" type="noConversion"/>
  </si>
  <si>
    <t>浙（2018）北仑区不动产权第0017704号</t>
    <phoneticPr fontId="254" type="noConversion"/>
  </si>
  <si>
    <t>浙（2018）北仑区不动产权第0017759号</t>
    <phoneticPr fontId="254" type="noConversion"/>
  </si>
  <si>
    <t>浙（2018）北仑区不动产权第0017678号</t>
    <phoneticPr fontId="254" type="noConversion"/>
  </si>
  <si>
    <t>浙（2018）北仑区不动产权第0017710号</t>
    <phoneticPr fontId="254" type="noConversion"/>
  </si>
  <si>
    <t>浙（2018）北仑区不动产权第0017693号</t>
    <phoneticPr fontId="254" type="noConversion"/>
  </si>
  <si>
    <t>浙（2018）北仑区不动产权第0017729号</t>
    <phoneticPr fontId="254" type="noConversion"/>
  </si>
  <si>
    <t>浙（2018）北仑区不动产权第0017723号</t>
    <phoneticPr fontId="254" type="noConversion"/>
  </si>
  <si>
    <t>浙（2018）北仑区不动产权第0017673号</t>
    <phoneticPr fontId="254" type="noConversion"/>
  </si>
  <si>
    <t>浙（2018）北仑区不动产权第0017743号</t>
    <phoneticPr fontId="254" type="noConversion"/>
  </si>
  <si>
    <t>浙（2018）北仑区不动产权第0017760号</t>
    <phoneticPr fontId="254" type="noConversion"/>
  </si>
  <si>
    <t>浙（2018）北仑区不动产权第0017650号</t>
    <phoneticPr fontId="254" type="noConversion"/>
  </si>
  <si>
    <t>浙（2018）北仑区不动产权第0017688号</t>
    <phoneticPr fontId="254" type="noConversion"/>
  </si>
  <si>
    <t>浙（2018）北仑区不动产权第0017721号</t>
    <phoneticPr fontId="254" type="noConversion"/>
  </si>
  <si>
    <t>浙（2018）北仑区不动产权第0017730号</t>
    <phoneticPr fontId="254" type="noConversion"/>
  </si>
  <si>
    <t>浙（2018）北仑区不动产权第0017661号</t>
    <phoneticPr fontId="254" type="noConversion"/>
  </si>
  <si>
    <t>浙（2018）北仑区不动产权第0017689号</t>
    <phoneticPr fontId="254" type="noConversion"/>
  </si>
  <si>
    <t>浙（2018）北仑区不动产权第0017724号</t>
    <phoneticPr fontId="254" type="noConversion"/>
  </si>
  <si>
    <t>浙（2018）北仑区不动产权第0017695号</t>
    <phoneticPr fontId="254" type="noConversion"/>
  </si>
  <si>
    <t>浙（2018）北仑区不动产权第0017644号</t>
    <phoneticPr fontId="254" type="noConversion"/>
  </si>
  <si>
    <t>浙（2018）北仑区不动产权第0017651号</t>
    <phoneticPr fontId="254" type="noConversion"/>
  </si>
  <si>
    <t>浙（2018）北仑区不动产权第0017751号</t>
    <phoneticPr fontId="254" type="noConversion"/>
  </si>
  <si>
    <t>浙（2018）北仑区不动产权第0017745号</t>
    <phoneticPr fontId="254" type="noConversion"/>
  </si>
  <si>
    <t>浙（2018）北仑区不动产权第0017699号</t>
    <phoneticPr fontId="254" type="noConversion"/>
  </si>
  <si>
    <t>浙（2018）北仑区不动产权第0017702号</t>
    <phoneticPr fontId="254" type="noConversion"/>
  </si>
  <si>
    <t>浙（2018）北仑区不动产权第0017748号</t>
    <phoneticPr fontId="254" type="noConversion"/>
  </si>
  <si>
    <t>浙（2018）北仑区不动产权第0017653号</t>
    <phoneticPr fontId="254" type="noConversion"/>
  </si>
  <si>
    <t>浙（2018）北仑区不动产权第0017639号</t>
    <phoneticPr fontId="254" type="noConversion"/>
  </si>
  <si>
    <t>浙（2018）北仑区不动产权第0017664号</t>
    <phoneticPr fontId="254" type="noConversion"/>
  </si>
  <si>
    <t>浙（2018）北仑区不动产权第0017669号</t>
    <phoneticPr fontId="254" type="noConversion"/>
  </si>
  <si>
    <t>浙（2018）北仑区不动产权第0017716号</t>
    <phoneticPr fontId="254" type="noConversion"/>
  </si>
  <si>
    <t>浙（2018）北仑区不动产权第0017686号</t>
    <phoneticPr fontId="254" type="noConversion"/>
  </si>
  <si>
    <t>浙（2018）北仑区不动产权第0017725号</t>
    <phoneticPr fontId="254" type="noConversion"/>
  </si>
  <si>
    <t>浙（2018）北仑区不动产权第0017670号</t>
    <phoneticPr fontId="254" type="noConversion"/>
  </si>
  <si>
    <t>浙（2018）北仑区不动产权第0017752号</t>
    <phoneticPr fontId="254" type="noConversion"/>
  </si>
  <si>
    <t>浙（2018）北仑区不动产权第0017741号</t>
    <phoneticPr fontId="254" type="noConversion"/>
  </si>
  <si>
    <t>浙（2018）北仑区不动产权第0017692号</t>
    <phoneticPr fontId="254" type="noConversion"/>
  </si>
  <si>
    <t>浙（2018）北仑区不动产权第0017663号</t>
    <phoneticPr fontId="254" type="noConversion"/>
  </si>
  <si>
    <t>浙（2018）北仑区不动产权第0017747号</t>
    <phoneticPr fontId="254" type="noConversion"/>
  </si>
  <si>
    <t>浙（2018）北仑区不动产权第0017709号</t>
    <phoneticPr fontId="254" type="noConversion"/>
  </si>
  <si>
    <t>浙（2018）北仑区不动产权第0017677号</t>
    <phoneticPr fontId="254" type="noConversion"/>
  </si>
  <si>
    <t>浙（2018）北仑区不动产权第0017733号</t>
    <phoneticPr fontId="254" type="noConversion"/>
  </si>
  <si>
    <t>浙（2018）北仑区不动产权第0017652号</t>
    <phoneticPr fontId="254" type="noConversion"/>
  </si>
  <si>
    <t>浙（2018）北仑区不动产权第0017698号</t>
    <phoneticPr fontId="254" type="noConversion"/>
  </si>
  <si>
    <t>浙（2018）北仑区不动产权第0017655号</t>
    <phoneticPr fontId="254" type="noConversion"/>
  </si>
  <si>
    <t>浙（2018）北仑区不动产权第0017676号</t>
    <phoneticPr fontId="254" type="noConversion"/>
  </si>
  <si>
    <t>浙（2018）北仑区不动产权第0017685号</t>
    <phoneticPr fontId="254" type="noConversion"/>
  </si>
  <si>
    <t>浙（2018）北仑区不动产权第0017706号</t>
    <phoneticPr fontId="254" type="noConversion"/>
  </si>
  <si>
    <t>浙（2018）北仑区不动产权第0017757号</t>
    <phoneticPr fontId="254" type="noConversion"/>
  </si>
  <si>
    <t>浙（2018）北仑区不动产权第0017681号</t>
    <phoneticPr fontId="254" type="noConversion"/>
  </si>
  <si>
    <t>浙（2018）北仑区不动产权第0017680号</t>
    <phoneticPr fontId="254" type="noConversion"/>
  </si>
  <si>
    <t>浙（2018）北仑区不动产权第0017746号</t>
    <phoneticPr fontId="254" type="noConversion"/>
  </si>
  <si>
    <t>浙（2018）北仑区不动产权第0017684号</t>
    <phoneticPr fontId="254" type="noConversion"/>
  </si>
  <si>
    <t>浙（2018）北仑区不动产权第0017756号</t>
    <phoneticPr fontId="254" type="noConversion"/>
  </si>
  <si>
    <t>浙（2018）北仑区不动产权第0017712号</t>
    <phoneticPr fontId="254" type="noConversion"/>
  </si>
  <si>
    <t>浙（2018）北仑区不动产权第0017696号</t>
    <phoneticPr fontId="254" type="noConversion"/>
  </si>
  <si>
    <t>浙（2018）北仑区不动产权第0017718号</t>
    <phoneticPr fontId="254" type="noConversion"/>
  </si>
  <si>
    <t>浙（2018）北仑区不动产权第0017727号</t>
    <phoneticPr fontId="254" type="noConversion"/>
  </si>
  <si>
    <t>浙（2018）北仑区不动产权第0017666号</t>
    <phoneticPr fontId="254" type="noConversion"/>
  </si>
  <si>
    <t>浙（2018）北仑区不动产权第0017753号</t>
    <phoneticPr fontId="254" type="noConversion"/>
  </si>
  <si>
    <t>浙（2018）北仑区不动产权第0017674号</t>
    <phoneticPr fontId="254" type="noConversion"/>
  </si>
  <si>
    <t>浙（2018）北仑区不动产权第0017694号</t>
    <phoneticPr fontId="254" type="noConversion"/>
  </si>
  <si>
    <t>浙（2018）北仑区不动产权第0017671号</t>
    <phoneticPr fontId="254" type="noConversion"/>
  </si>
  <si>
    <t>浙（2018）北仑区不动产权第0017649号</t>
    <phoneticPr fontId="254" type="noConversion"/>
  </si>
  <si>
    <t>浙（2018）北仑区不动产权第0017728号</t>
    <phoneticPr fontId="254" type="noConversion"/>
  </si>
  <si>
    <t>浙（2018）北仑区不动产权第0017703号</t>
    <phoneticPr fontId="254" type="noConversion"/>
  </si>
  <si>
    <t>浙（2018）北仑区不动产权第0017739号</t>
    <phoneticPr fontId="254" type="noConversion"/>
  </si>
  <si>
    <t>浙（2018）北仑区不动产权第0017682号</t>
    <phoneticPr fontId="254" type="noConversion"/>
  </si>
  <si>
    <t>浙（2018）北仑区不动产权第0017656号</t>
    <phoneticPr fontId="254" type="noConversion"/>
  </si>
  <si>
    <t>浙（2018）北仑区不动产权第0017740号</t>
    <phoneticPr fontId="254" type="noConversion"/>
  </si>
  <si>
    <t>浙（2018）北仑区不动产权第0017734号</t>
    <phoneticPr fontId="254" type="noConversion"/>
  </si>
  <si>
    <t>浙（2018）北仑区不动产权第0017645号</t>
    <phoneticPr fontId="254" type="noConversion"/>
  </si>
  <si>
    <t>浙（2018）北仑区不动产权第0017713号</t>
    <phoneticPr fontId="254" type="noConversion"/>
  </si>
  <si>
    <t>浙（2018）北仑区不动产权第0017643号</t>
    <phoneticPr fontId="254" type="noConversion"/>
  </si>
  <si>
    <t>浙（2018）北仑区不动产权第0017638号</t>
    <phoneticPr fontId="254" type="noConversion"/>
  </si>
  <si>
    <t>浙（2018）北仑区不动产权第0017750号</t>
    <phoneticPr fontId="254" type="noConversion"/>
  </si>
  <si>
    <t>浙（2018）北仑区不动产权第0017707号</t>
    <phoneticPr fontId="254" type="noConversion"/>
  </si>
  <si>
    <t>浙（2018）北仑区不动产权第0017719号</t>
    <phoneticPr fontId="254" type="noConversion"/>
  </si>
  <si>
    <t>浙（2018）北仑区不动产权第0017731号</t>
    <phoneticPr fontId="254" type="noConversion"/>
  </si>
  <si>
    <t>浙（2018）北仑区不动产权第0017642号</t>
    <phoneticPr fontId="254" type="noConversion"/>
  </si>
  <si>
    <t>浙（2018）北仑区不动产权第0017737号</t>
    <phoneticPr fontId="254" type="noConversion"/>
  </si>
  <si>
    <t>浙（2018）北仑区不动产权第0017691号</t>
    <phoneticPr fontId="254" type="noConversion"/>
  </si>
  <si>
    <t>浙（2018）北仑区不动产权第0017658号</t>
    <phoneticPr fontId="254" type="noConversion"/>
  </si>
  <si>
    <t>浙（2018）北仑区不动产权第0017641号</t>
    <phoneticPr fontId="254" type="noConversion"/>
  </si>
  <si>
    <t>浙（2018）北仑区不动产权第0017715号</t>
    <phoneticPr fontId="254" type="noConversion"/>
  </si>
  <si>
    <t>浙（2018）北仑区不动产权第0017668号</t>
    <phoneticPr fontId="254" type="noConversion"/>
  </si>
  <si>
    <t>浙（2018）北仑区不动产权第0017744号</t>
    <phoneticPr fontId="254" type="noConversion"/>
  </si>
  <si>
    <t>浙（2018）北仑区不动产权第0017690号</t>
    <phoneticPr fontId="254" type="noConversion"/>
  </si>
  <si>
    <t>浙（2018）北仑区不动产权第0017717号</t>
    <phoneticPr fontId="254" type="noConversion"/>
  </si>
  <si>
    <t>浙（2018）北仑区不动产权第0017679号</t>
    <phoneticPr fontId="254" type="noConversion"/>
  </si>
  <si>
    <t>浙（2018）北仑区不动产权第0017720号</t>
    <phoneticPr fontId="254" type="noConversion"/>
  </si>
  <si>
    <t>浙（2018）北仑区不动产权第0017736号</t>
    <phoneticPr fontId="254" type="noConversion"/>
  </si>
  <si>
    <t>浙（2018）北仑区不动产权第0017758号</t>
    <phoneticPr fontId="254" type="noConversion"/>
  </si>
  <si>
    <t>浙（2018）北仑区不动产权第0017640号</t>
    <phoneticPr fontId="254" type="noConversion"/>
  </si>
  <si>
    <t>浙（2018）北仑区不动产权第0017697号</t>
    <phoneticPr fontId="254" type="noConversion"/>
  </si>
  <si>
    <t>浙（2018）北仑区不动产权第0017646号</t>
    <phoneticPr fontId="254" type="noConversion"/>
  </si>
  <si>
    <t>浙（2018）北仑区不动产权第0017701号</t>
    <phoneticPr fontId="254" type="noConversion"/>
  </si>
  <si>
    <t>浙（2018）北仑区不动产权第0017662号</t>
    <phoneticPr fontId="254" type="noConversion"/>
  </si>
  <si>
    <t>浙（2018）北仑区不动产权第0017654号</t>
    <phoneticPr fontId="254" type="noConversion"/>
  </si>
  <si>
    <t>289</t>
  </si>
  <si>
    <t>290</t>
  </si>
  <si>
    <t>291</t>
  </si>
  <si>
    <t>332</t>
  </si>
  <si>
    <t>333</t>
  </si>
  <si>
    <t>334</t>
  </si>
  <si>
    <t>335</t>
  </si>
  <si>
    <t>336</t>
  </si>
  <si>
    <t>337</t>
  </si>
  <si>
    <t>338</t>
  </si>
  <si>
    <t>339</t>
  </si>
  <si>
    <t>340</t>
  </si>
  <si>
    <t>341</t>
  </si>
  <si>
    <t>342</t>
  </si>
  <si>
    <t>343</t>
  </si>
  <si>
    <t>344</t>
  </si>
  <si>
    <t>345</t>
  </si>
  <si>
    <t>346</t>
  </si>
  <si>
    <t>347</t>
  </si>
  <si>
    <t>348</t>
  </si>
  <si>
    <t>349</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</si>
  <si>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</si>
  <si>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</si>
  <si>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</si>
  <si>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</si>
  <si>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</si>
  <si>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</si>
  <si>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</si>
  <si>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</si>
  <si>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</si>
  <si>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</si>
  <si>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</si>
  <si>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</si>
  <si>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</si>
  <si>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</si>
  <si>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</si>
  <si>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</si>
  <si>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</si>
  <si>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</si>
  <si>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</si>
  <si>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</si>
  <si>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</si>
  <si>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</si>
  <si>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</si>
  <si>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</si>
  <si>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</si>
  <si>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</si>
  <si>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</si>
  <si>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</si>
  <si>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</si>
  <si>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</si>
  <si>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</si>
  <si>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</si>
  <si>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</si>
  <si>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</si>
  <si>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</si>
  <si>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</si>
  <si>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</si>
  <si>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</si>
  <si>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</si>
  <si>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</si>
  <si>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</si>
  <si>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</si>
  <si>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</si>
  <si>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</si>
  <si>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</si>
  <si>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</si>
  <si>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</si>
  <si>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</si>
  <si>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</si>
  <si>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</si>
  <si>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</si>
  <si>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</si>
  <si>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</si>
  <si>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</si>
  <si>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</si>
  <si>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</si>
  <si>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</si>
  <si>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</si>
  <si>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</si>
  <si>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</si>
  <si>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</si>
  <si>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</si>
  <si>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</si>
  <si>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</si>
  <si>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</si>
  <si>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</si>
  <si>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</si>
  <si>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</si>
  <si>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</si>
  <si>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</si>
  <si>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</si>
  <si>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</si>
  <si>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</si>
  <si>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</si>
  <si>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</si>
  <si>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</si>
  <si>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</si>
  <si>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</si>
  <si>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</si>
  <si>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</si>
  <si>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</si>
  <si>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</si>
  <si>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</si>
  <si>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</si>
  <si>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</si>
  <si>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</si>
  <si>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</si>
  <si>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</si>
  <si>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</si>
  <si>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</si>
  <si>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</si>
  <si>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</si>
  <si>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</si>
  <si>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</si>
  <si>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</si>
  <si>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</si>
  <si>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</si>
  <si>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</si>
  <si>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</si>
  <si>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</si>
  <si>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</si>
  <si>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</si>
  <si>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</si>
  <si>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</si>
  <si>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</si>
  <si>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</si>
  <si>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</si>
  <si>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</si>
  <si>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</si>
  <si>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</si>
  <si>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</si>
  <si>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</si>
  <si>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</si>
  <si>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</si>
  <si>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522</t>
  </si>
  <si>
    <t>523</t>
  </si>
  <si>
    <t>524</t>
  </si>
  <si>
    <t>525</t>
  </si>
  <si>
    <t>526</t>
  </si>
  <si>
    <t>527</t>
  </si>
  <si>
    <t>528</t>
  </si>
  <si>
    <t>529</t>
  </si>
  <si>
    <t>530</t>
  </si>
  <si>
    <t>531</t>
  </si>
  <si>
    <t>532</t>
  </si>
  <si>
    <t>533</t>
  </si>
  <si>
    <t>534</t>
  </si>
  <si>
    <t>535</t>
  </si>
  <si>
    <t>536</t>
  </si>
  <si>
    <t>537</t>
  </si>
  <si>
    <t>538</t>
  </si>
  <si>
    <t>539</t>
  </si>
  <si>
    <t>540</t>
  </si>
  <si>
    <t>541</t>
  </si>
  <si>
    <t>542</t>
  </si>
  <si>
    <t>544</t>
  </si>
  <si>
    <t>545</t>
  </si>
  <si>
    <t>546</t>
  </si>
  <si>
    <t>543</t>
  </si>
  <si>
    <t>序号</t>
    <phoneticPr fontId="143" type="noConversion"/>
  </si>
  <si>
    <t>D2幢房屋分户（套）面积明细表</t>
    <phoneticPr fontId="143" type="noConversion"/>
  </si>
  <si>
    <t>吴薇</t>
  </si>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</sst>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14"/>
      <name val="宋体"/>
      <family val="3"/>
      <charset val="134"/>
    </font>
    <font>
      <sz val="9"/>
      <name val="宋体"/>
      <family val="2"/>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NumberFormat="1">
      <alignment vertical="center"/>
    </xf>
    <xf numFmtId="0" fontId="0" fillId="0" borderId="1" xfId="0" applyNumberFormat="1" applyBorder="1" applyAlignment="1">
      <alignment horizontal="center" vertical="center" wrapText="1"/>
    </xf>
    <xf numFmtId="0" fontId="99" fillId="0" borderId="1" xfId="0" applyNumberFormat="1" applyFont="1" applyBorder="1" applyAlignment="1">
      <alignment horizontal="center" vertical="center" wrapText="1"/>
    </xf>
    <xf numFmtId="0" fontId="0" fillId="0" borderId="1" xfId="0" applyBorder="1" applyAlignment="1">
      <alignment horizontal="center" vertical="center"/>
    </xf>
    <xf numFmtId="0" fontId="99" fillId="0" borderId="0" xfId="0" applyFont="1">
      <alignment vertical="center"/>
    </xf>
    <xf numFmtId="0" fontId="0" fillId="0" borderId="157" xfId="0" applyFont="1" applyBorder="1" applyAlignment="1">
      <alignment horizontal="center" vertical="center"/>
    </xf>
    <xf numFmtId="0" fontId="0" fillId="0" borderId="159" xfId="0" applyFont="1" applyBorder="1" applyAlignment="1">
      <alignment horizontal="center" vertical="center"/>
    </xf>
    <xf numFmtId="0" fontId="0" fillId="0" borderId="160" xfId="0" applyFont="1" applyBorder="1" applyAlignment="1">
      <alignment horizontal="center" vertical="center"/>
    </xf>
    <xf numFmtId="176" fontId="0" fillId="0" borderId="159" xfId="0" applyNumberFormat="1" applyFont="1" applyBorder="1" applyAlignment="1">
      <alignment horizontal="center" vertical="center"/>
    </xf>
    <xf numFmtId="0" fontId="0" fillId="0" borderId="156" xfId="0" applyFont="1" applyBorder="1" applyAlignment="1">
      <alignment horizontal="center" vertical="center"/>
    </xf>
    <xf numFmtId="0" fontId="0" fillId="0" borderId="1" xfId="0" applyNumberFormat="1" applyFont="1" applyFill="1" applyBorder="1" applyAlignment="1" applyProtection="1">
      <alignment horizontal="center" vertical="center" wrapText="1"/>
    </xf>
    <xf numFmtId="176" fontId="0" fillId="0" borderId="1"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xf>
    <xf numFmtId="176" fontId="0" fillId="0" borderId="1" xfId="0" applyNumberFormat="1" applyFont="1" applyBorder="1" applyAlignment="1">
      <alignment horizontal="center" vertical="center" wrapText="1" shrinkToFit="1"/>
    </xf>
    <xf numFmtId="179" fontId="0" fillId="0" borderId="1" xfId="0" applyNumberFormat="1" applyFont="1" applyBorder="1" applyAlignment="1">
      <alignment horizontal="center" vertical="center" wrapText="1" shrinkToFit="1"/>
    </xf>
    <xf numFmtId="0" fontId="0" fillId="0" borderId="1" xfId="0" applyFont="1" applyFill="1" applyBorder="1" applyAlignment="1">
      <alignment horizontal="center"/>
    </xf>
    <xf numFmtId="49" fontId="0" fillId="0" borderId="1" xfId="0" applyNumberFormat="1" applyFont="1" applyBorder="1" applyAlignment="1">
      <alignment horizontal="center" vertical="center" wrapText="1" shrinkToFit="1"/>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xf>
    <xf numFmtId="0" fontId="0" fillId="0" borderId="1" xfId="0" applyNumberFormat="1" applyFont="1" applyFill="1" applyBorder="1" applyAlignment="1" applyProtection="1">
      <alignment horizontal="center" vertical="center"/>
    </xf>
    <xf numFmtId="179" fontId="0" fillId="0" borderId="1"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176" fontId="0" fillId="0" borderId="1" xfId="0" applyNumberFormat="1" applyFont="1" applyFill="1" applyBorder="1" applyAlignment="1" applyProtection="1">
      <alignment horizontal="center" vertical="center"/>
    </xf>
    <xf numFmtId="176" fontId="0" fillId="0" borderId="1" xfId="0" applyNumberFormat="1" applyFont="1" applyFill="1"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NumberFormat="1" applyBorder="1" applyAlignment="1">
      <alignment vertical="center" wrapText="1"/>
    </xf>
    <xf numFmtId="0" fontId="0" fillId="0" borderId="1"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0" borderId="0" xfId="0" applyNumberFormat="1" applyBorder="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56"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61"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9" fontId="3" fillId="0" borderId="1" xfId="0" applyNumberFormat="1" applyFont="1" applyBorder="1" applyAlignment="1">
      <alignment horizontal="center" vertical="center"/>
    </xf>
    <xf numFmtId="179" fontId="0" fillId="0" borderId="0" xfId="0" applyNumberFormat="1">
      <alignment vertical="center"/>
    </xf>
    <xf numFmtId="176" fontId="0" fillId="0" borderId="160" xfId="0" applyNumberFormat="1" applyFont="1" applyBorder="1" applyAlignment="1">
      <alignment horizontal="center" vertical="center"/>
    </xf>
    <xf numFmtId="0" fontId="99" fillId="0" borderId="160" xfId="0" applyFont="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84" fontId="64" fillId="17" borderId="1" xfId="0" applyNumberFormat="1" applyFont="1" applyFill="1" applyBorder="1" applyAlignment="1" applyProtection="1">
      <alignment horizontal="center" vertical="center" shrinkToFit="1"/>
      <protection locked="0"/>
    </xf>
    <xf numFmtId="0" fontId="99" fillId="0" borderId="1" xfId="0" applyFont="1" applyBorder="1">
      <alignment vertical="center"/>
    </xf>
    <xf numFmtId="0" fontId="0" fillId="0" borderId="1" xfId="0" applyBorder="1">
      <alignment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99" fillId="0" borderId="0" xfId="0" applyFont="1" applyAlignment="1">
      <alignment horizontal="center" vertical="center" wrapText="1"/>
    </xf>
    <xf numFmtId="0" fontId="0" fillId="9" borderId="0" xfId="0" applyFill="1" applyAlignment="1">
      <alignment horizontal="center" vertical="center" wrapText="1"/>
    </xf>
    <xf numFmtId="0" fontId="0" fillId="0" borderId="0" xfId="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0" fillId="0" borderId="15" xfId="0" applyNumberFormat="1" applyFont="1" applyFill="1" applyBorder="1" applyAlignment="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9" borderId="1" xfId="0" applyNumberFormat="1" applyFill="1" applyBorder="1" applyAlignment="1">
      <alignment horizontal="center" vertical="center" wrapText="1"/>
    </xf>
    <xf numFmtId="0" fontId="0" fillId="9" borderId="0" xfId="0" applyFill="1">
      <alignment vertical="center"/>
    </xf>
    <xf numFmtId="0" fontId="113" fillId="0"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255" fillId="0" borderId="1" xfId="0" applyNumberFormat="1" applyFont="1" applyFill="1" applyBorder="1" applyAlignment="1" applyProtection="1">
      <alignment horizontal="center" vertical="center" wrapText="1"/>
    </xf>
    <xf numFmtId="49" fontId="19" fillId="0" borderId="159" xfId="0" applyNumberFormat="1" applyFont="1" applyBorder="1" applyAlignment="1">
      <alignment horizontal="center" vertical="center" wrapText="1"/>
    </xf>
    <xf numFmtId="49" fontId="19" fillId="0" borderId="159" xfId="0" applyNumberFormat="1" applyFont="1" applyFill="1" applyBorder="1" applyAlignment="1">
      <alignment horizontal="center" vertical="center" wrapText="1"/>
    </xf>
    <xf numFmtId="0" fontId="255" fillId="0" borderId="1" xfId="0" applyFont="1" applyBorder="1" applyAlignment="1">
      <alignment horizontal="center" vertical="center" wrapText="1"/>
    </xf>
    <xf numFmtId="0" fontId="255" fillId="0" borderId="0" xfId="0" applyFont="1" applyAlignment="1">
      <alignment vertical="center" wrapText="1"/>
    </xf>
    <xf numFmtId="0" fontId="113" fillId="0" borderId="1" xfId="0" applyFont="1" applyBorder="1" applyAlignment="1">
      <alignment horizontal="center" vertical="center"/>
    </xf>
    <xf numFmtId="176" fontId="113"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13" fillId="0" borderId="1" xfId="0" applyNumberFormat="1"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9" fontId="19" fillId="0" borderId="1" xfId="0" applyNumberFormat="1" applyFont="1" applyBorder="1" applyAlignment="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Border="1" applyAlignment="1">
      <alignment horizontal="center" vertical="center"/>
    </xf>
    <xf numFmtId="179" fontId="113" fillId="0" borderId="0" xfId="0" applyNumberFormat="1" applyFont="1" applyAlignment="1">
      <alignment horizontal="center" vertical="center"/>
    </xf>
    <xf numFmtId="0" fontId="113" fillId="0" borderId="0" xfId="0" applyFont="1" applyAlignment="1">
      <alignment horizontal="center" vertical="center" wrapText="1"/>
    </xf>
    <xf numFmtId="0" fontId="19" fillId="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179" fontId="113" fillId="0" borderId="1" xfId="0" applyNumberFormat="1" applyFont="1" applyFill="1" applyBorder="1" applyAlignment="1" applyProtection="1">
      <alignment horizontal="center" vertical="center" wrapText="1"/>
    </xf>
    <xf numFmtId="179" fontId="19" fillId="0" borderId="1" xfId="0" applyNumberFormat="1" applyFont="1" applyBorder="1" applyAlignment="1">
      <alignment horizontal="center" vertical="center" wrapText="1"/>
    </xf>
    <xf numFmtId="176" fontId="113" fillId="0" borderId="1" xfId="0" applyNumberFormat="1" applyFont="1" applyBorder="1" applyAlignment="1">
      <alignment horizontal="center" vertical="center" wrapText="1"/>
    </xf>
    <xf numFmtId="179" fontId="113" fillId="0" borderId="0" xfId="0" applyNumberFormat="1" applyFont="1" applyAlignment="1">
      <alignment horizontal="center" vertical="center" wrapText="1"/>
    </xf>
    <xf numFmtId="176" fontId="113" fillId="0" borderId="0" xfId="0" applyNumberFormat="1" applyFont="1" applyAlignment="1">
      <alignment horizontal="center" vertical="center" wrapText="1"/>
    </xf>
    <xf numFmtId="0" fontId="255" fillId="0" borderId="0" xfId="0" applyFont="1" applyAlignment="1">
      <alignment horizontal="center" vertical="center" wrapText="1"/>
    </xf>
    <xf numFmtId="179" fontId="113" fillId="0" borderId="1" xfId="0" applyNumberFormat="1" applyFont="1" applyBorder="1" applyAlignment="1">
      <alignment horizontal="center" vertical="center" wrapText="1"/>
    </xf>
    <xf numFmtId="0" fontId="113" fillId="0" borderId="0" xfId="0" applyFont="1">
      <alignment vertical="center"/>
    </xf>
    <xf numFmtId="176" fontId="113" fillId="0" borderId="1" xfId="0" applyNumberFormat="1" applyFont="1" applyFill="1" applyBorder="1" applyAlignment="1">
      <alignment horizontal="center" vertical="center"/>
    </xf>
    <xf numFmtId="0" fontId="113" fillId="9" borderId="1" xfId="0" applyFont="1" applyFill="1" applyBorder="1" applyAlignment="1">
      <alignment horizontal="center" vertical="center"/>
    </xf>
    <xf numFmtId="179" fontId="113" fillId="0" borderId="1" xfId="0" applyNumberFormat="1" applyFont="1" applyBorder="1" applyAlignment="1">
      <alignment horizontal="center" vertical="center"/>
    </xf>
    <xf numFmtId="197" fontId="113" fillId="0" borderId="0" xfId="0" applyNumberFormat="1" applyFont="1" applyAlignment="1">
      <alignment horizontal="center" vertical="center"/>
    </xf>
    <xf numFmtId="0" fontId="19" fillId="0" borderId="158"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0" xfId="0" applyFont="1" applyAlignment="1">
      <alignment horizontal="center" vertical="center"/>
    </xf>
    <xf numFmtId="49" fontId="19" fillId="0" borderId="161" xfId="0" applyNumberFormat="1" applyFont="1" applyFill="1" applyBorder="1" applyAlignment="1">
      <alignment horizontal="left" vertical="center" wrapText="1"/>
    </xf>
    <xf numFmtId="49" fontId="19" fillId="0" borderId="158" xfId="0" applyNumberFormat="1" applyFont="1" applyFill="1" applyBorder="1" applyAlignment="1">
      <alignment horizontal="left" vertical="center" wrapText="1"/>
    </xf>
    <xf numFmtId="49" fontId="19" fillId="0" borderId="162" xfId="0" applyNumberFormat="1" applyFont="1" applyFill="1" applyBorder="1" applyAlignment="1">
      <alignment horizontal="left" vertical="center" wrapText="1"/>
    </xf>
    <xf numFmtId="49" fontId="19" fillId="0" borderId="163" xfId="0" applyNumberFormat="1" applyFont="1" applyFill="1" applyBorder="1" applyAlignment="1">
      <alignment horizontal="left" vertical="center" wrapText="1"/>
    </xf>
    <xf numFmtId="49" fontId="19" fillId="0" borderId="164" xfId="0" applyNumberFormat="1" applyFont="1" applyFill="1" applyBorder="1" applyAlignment="1">
      <alignment horizontal="left" vertical="center" wrapText="1"/>
    </xf>
    <xf numFmtId="49" fontId="19" fillId="0" borderId="165" xfId="0" applyNumberFormat="1" applyFont="1" applyFill="1" applyBorder="1" applyAlignment="1">
      <alignment horizontal="left" vertical="center" wrapText="1"/>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253" fillId="0" borderId="1" xfId="0" applyNumberFormat="1" applyFont="1" applyFill="1" applyBorder="1" applyAlignment="1" applyProtection="1">
      <alignment horizontal="center" vertical="center"/>
    </xf>
    <xf numFmtId="177" fontId="0"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177" fontId="113" fillId="0"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horizontal="center" vertical="center"/>
    </xf>
    <xf numFmtId="0" fontId="19" fillId="0" borderId="5" xfId="0" applyNumberFormat="1" applyFont="1" applyFill="1" applyBorder="1" applyAlignment="1" applyProtection="1">
      <alignment horizontal="center" vertical="center"/>
    </xf>
    <xf numFmtId="0" fontId="19" fillId="0" borderId="54"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center" vertical="center"/>
    </xf>
    <xf numFmtId="177" fontId="113" fillId="0" borderId="5" xfId="0" applyNumberFormat="1" applyFont="1" applyFill="1" applyBorder="1" applyAlignment="1" applyProtection="1">
      <alignment horizontal="center" vertical="center" wrapText="1"/>
    </xf>
    <xf numFmtId="177" fontId="113" fillId="0" borderId="54" xfId="0" applyNumberFormat="1" applyFont="1" applyFill="1" applyBorder="1" applyAlignment="1" applyProtection="1">
      <alignment horizontal="center" vertical="center" wrapText="1"/>
    </xf>
    <xf numFmtId="177" fontId="113" fillId="0" borderId="3"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0" fillId="0" borderId="166" xfId="0" applyNumberFormat="1" applyFont="1" applyBorder="1" applyAlignment="1">
      <alignment horizontal="center" vertical="center" wrapText="1" shrinkToFit="1"/>
    </xf>
    <xf numFmtId="0" fontId="0" fillId="0" borderId="166" xfId="0" applyFont="1" applyFill="1" applyBorder="1" applyAlignment="1">
      <alignment horizontal="center"/>
    </xf>
    <xf numFmtId="0" fontId="0" fillId="0" borderId="0" xfId="0" applyFont="1" applyBorder="1" applyAlignment="1">
      <alignment horizontal="center" vertical="center"/>
    </xf>
    <xf numFmtId="0" fontId="99" fillId="0" borderId="0" xfId="0" applyFont="1" applyBorder="1" applyAlignment="1">
      <alignment horizontal="center" vertical="center"/>
    </xf>
    <xf numFmtId="0" fontId="99" fillId="0" borderId="0" xfId="0" applyFont="1" applyFill="1" applyBorder="1" applyAlignment="1">
      <alignment horizontal="center"/>
    </xf>
    <xf numFmtId="0" fontId="99" fillId="0" borderId="35" xfId="0" applyFont="1" applyFill="1" applyBorder="1" applyAlignment="1">
      <alignment horizontal="center"/>
    </xf>
    <xf numFmtId="2" fontId="0" fillId="9" borderId="1" xfId="0" applyNumberFormat="1" applyFill="1" applyBorder="1" applyAlignment="1">
      <alignment horizontal="center" vertical="center" wrapText="1"/>
    </xf>
    <xf numFmtId="182" fontId="0" fillId="0" borderId="0" xfId="0" applyNumberForma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浙江省宁波市春晓镇183地块3、6、7号楼产权式公寓用房及地下车库用房房地产抵押价值预评估</v>
      </c>
    </row>
    <row r="3" spans="1:2" s="1595" customFormat="1">
      <c r="A3" s="1593" t="s">
        <v>1221</v>
      </c>
      <c r="B3" s="1594" t="str">
        <f>'预评函-封皮'!B40</f>
        <v>中国华融资产管理股份有限公司北京市分公司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康正预评字2018-1-625号</v>
      </c>
    </row>
    <row r="6" spans="1:2" s="1592" customFormat="1" ht="15" thickTop="1">
      <c r="A6" s="1590" t="s">
        <v>1224</v>
      </c>
      <c r="B6" s="1591" t="str">
        <f>'预评函-1'!A4</f>
        <v>受贵公司委托，我公司对浙江省宁波市春晓镇183地块3、6、7号楼产权式公寓用房及地下车库用房房地产抵押价值进行了预评估。</v>
      </c>
    </row>
    <row r="7" spans="1:2" s="1595" customFormat="1">
      <c r="A7" s="1593" t="s">
        <v>1264</v>
      </c>
      <c r="B7" s="1594" t="str">
        <f>'预评函-1'!A7</f>
        <v>估价对象为浙江省宁波市春晓镇183地块3、6、7号楼产权式公寓用房及地下车库用房房地产，为宁波万年基业旅游投资有限公司所有。根据，估价对象（分摊）出让国有建设用地使用权面积为60760.83平方米，建筑面积为30792.58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浙江省宁波市春晓镇183地块3、6、7号楼产权式公寓用房及地下车库用房房地产,属宁波万年基业旅游投资有限公司开发建设的商业项目，该项目尚在开发建设中。根据，估价对象（分摊）出让国有建设用地使用权面积为60760.83平方米，规划建筑面积为30792.58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2018年8月27日（评估专业人员实地查勘之日）</v>
      </c>
    </row>
    <row r="13" spans="1:2" s="1595" customFormat="1">
      <c r="A13" s="1593" t="s">
        <v>1227</v>
      </c>
      <c r="B13" s="1594" t="str">
        <f>'预评函-1'!A18</f>
        <v>本次估价的“房地产价值”是指在正常市场情况下，在价值时点2018年8月27日，估价对象规划用途为商业、车库，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26095</v>
      </c>
    </row>
    <row r="21" spans="1:2" s="1595" customFormat="1">
      <c r="A21" s="1593" t="s">
        <v>1235</v>
      </c>
      <c r="B21" s="1594">
        <f ca="1">'预评函-2'!D7</f>
        <v>9295</v>
      </c>
    </row>
    <row r="22" spans="1:2" s="1595" customFormat="1">
      <c r="A22" s="1593" t="s">
        <v>1236</v>
      </c>
      <c r="B22" s="1594" t="str">
        <f ca="1">'预评函-2'!D6</f>
        <v>贰亿陆仟零玖拾伍万元整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26095</v>
      </c>
    </row>
    <row r="31" spans="1:2" s="1595" customFormat="1">
      <c r="A31" s="1593" t="s">
        <v>1274</v>
      </c>
      <c r="B31" s="1594">
        <f ca="1">'预评函-2'!D15</f>
        <v>8474</v>
      </c>
    </row>
    <row r="32" spans="1:2" s="1595" customFormat="1">
      <c r="A32" s="1593" t="s">
        <v>1241</v>
      </c>
      <c r="B32" s="1594" t="str">
        <f ca="1">'预评函-2'!D14</f>
        <v>贰亿陆仟零玖拾伍万元整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浙江省宁波市春晓镇183地块3、6、7号楼产权式公寓用房及地下车库用房房地产</v>
      </c>
    </row>
    <row r="42" spans="1:2" s="1595" customFormat="1">
      <c r="A42" s="1593" t="s">
        <v>1288</v>
      </c>
      <c r="B42" s="1594" t="str">
        <f>'预评函-3'!B2</f>
        <v>建筑面积</v>
      </c>
    </row>
    <row r="43" spans="1:2" s="1595" customFormat="1">
      <c r="A43" s="1593" t="s">
        <v>1289</v>
      </c>
      <c r="B43" s="1594">
        <f>'预评函-3'!B4</f>
        <v>30792.58</v>
      </c>
    </row>
    <row r="44" spans="1:2" s="1595" customFormat="1">
      <c r="A44" s="1593" t="s">
        <v>1273</v>
      </c>
      <c r="B44" s="1594" t="str">
        <f>'预评函-3'!C2</f>
        <v>(分摊)土地面积</v>
      </c>
    </row>
    <row r="45" spans="1:2" s="1595" customFormat="1">
      <c r="A45" s="1593" t="s">
        <v>1245</v>
      </c>
      <c r="B45" s="1594">
        <f>'预评函-3'!C4</f>
        <v>60760.83</v>
      </c>
    </row>
    <row r="46" spans="1:2" s="1595" customFormat="1">
      <c r="A46" s="1593" t="s">
        <v>1271</v>
      </c>
      <c r="B46" s="1594" t="str">
        <f>'预评函-3'!D2</f>
        <v>出让国有建设用地使用权价值</v>
      </c>
    </row>
    <row r="47" spans="1:2" s="1595" customFormat="1">
      <c r="A47" s="1593" t="s">
        <v>1246</v>
      </c>
      <c r="B47" s="1594">
        <f ca="1">'预评函-3'!D4</f>
        <v>14587</v>
      </c>
    </row>
    <row r="48" spans="1:2" s="1595" customFormat="1">
      <c r="A48" s="1593" t="s">
        <v>1247</v>
      </c>
      <c r="B48" s="1594">
        <f ca="1">'预评函-3'!E4</f>
        <v>5196</v>
      </c>
    </row>
    <row r="49" spans="1:2" s="1595" customFormat="1">
      <c r="A49" s="1593" t="s">
        <v>1248</v>
      </c>
      <c r="B49" s="1594" t="str">
        <f ca="1">'预评函-3'!D5</f>
        <v>壹亿肆仟伍佰捌拾柒万元整</v>
      </c>
    </row>
    <row r="50" spans="1:2" s="1595" customFormat="1">
      <c r="A50" s="1593" t="s">
        <v>1272</v>
      </c>
      <c r="B50" s="1594" t="str">
        <f>'预评函-3'!F2</f>
        <v>在建建筑物价值</v>
      </c>
    </row>
    <row r="51" spans="1:2" s="1595" customFormat="1">
      <c r="A51" s="1593" t="s">
        <v>1249</v>
      </c>
      <c r="B51" s="1594">
        <f ca="1">'预评函-3'!F4</f>
        <v>11508</v>
      </c>
    </row>
    <row r="52" spans="1:2" s="1595" customFormat="1">
      <c r="A52" s="1593" t="s">
        <v>1250</v>
      </c>
      <c r="B52" s="1594">
        <f ca="1">'预评函-3'!G4</f>
        <v>4099</v>
      </c>
    </row>
    <row r="53" spans="1:2" s="1595" customFormat="1">
      <c r="A53" s="1593" t="s">
        <v>1278</v>
      </c>
      <c r="B53" s="1594" t="str">
        <f ca="1">'预评函-3'!F5</f>
        <v>壹亿壹仟伍佰零捌万元整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3051</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商业、车库土地取得方式为出让，出让国有建设用地使用权剩余土地使用年限为XX年(多用途剩余年限尾数不同时，可只体现小数点后一位)，假定未设立法定优先受偿款下的房地产市场价值。</v>
      </c>
    </row>
    <row r="54" spans="1:4">
      <c r="A54" s="3100"/>
      <c r="B54" s="2024" t="s">
        <v>864</v>
      </c>
      <c r="C54" s="2021" t="s">
        <v>1281</v>
      </c>
    </row>
    <row r="55" spans="1:4">
      <c r="A55" s="3100"/>
      <c r="B55" s="2024" t="s">
        <v>865</v>
      </c>
      <c r="C55" s="2021" t="s">
        <v>1282</v>
      </c>
    </row>
    <row r="56" spans="1:4">
      <c r="A56" s="3100"/>
      <c r="B56" s="2024" t="s">
        <v>866</v>
      </c>
      <c r="C56" s="2021" t="s">
        <v>1286</v>
      </c>
    </row>
    <row r="57" spans="1:4">
      <c r="A57" s="310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Normal="100" zoomScaleSheetLayoutView="100" workbookViewId="0">
      <selection activeCell="B16" sqref="B16:D16"/>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109" t="str">
        <f>IF(B10="北京市","北京市",C10)&amp;F10&amp;IF('结果表（公寓）'!G1="在建","出让国有建设用地使用权及在建建筑物",IF('结果表（公寓）'!G1="土地","出让国有建设用地使用权",))&amp;B9&amp;"预评估"</f>
        <v>浙江省宁波市春晓镇183地块3、6、7号楼产权式公寓用房及地下车库用房房地产抵押价值预评估</v>
      </c>
      <c r="C1" s="3110"/>
      <c r="D1" s="3110"/>
      <c r="E1" s="3110"/>
      <c r="F1" s="3110"/>
      <c r="G1" s="3110"/>
      <c r="H1" s="3110"/>
      <c r="I1" s="3111"/>
      <c r="J1" s="2028"/>
      <c r="K1" s="2029"/>
      <c r="L1" s="2030"/>
      <c r="M1" s="2030"/>
      <c r="N1" s="2031"/>
      <c r="O1" s="2032"/>
      <c r="P1" s="2031"/>
      <c r="Q1" s="2031"/>
      <c r="R1" s="2031"/>
      <c r="S1" s="2033" t="str">
        <f>IF(B10="北京市","北京市",C10)&amp;F10&amp;IF('结果表（公寓）'!G1="在建","出让国有建设用地使用权及在建建筑物房地产抵押价值",IF('结果表（公寓）'!G1="土地","出让国有建设用地使用权抵押价值",B9))</f>
        <v>浙江省宁波市春晓镇183地块3、6、7号楼产权式公寓用房及地下车库用房房地产抵押价值</v>
      </c>
    </row>
    <row r="2" spans="1:19" ht="18" customHeight="1">
      <c r="A2" s="2028" t="s">
        <v>1777</v>
      </c>
      <c r="B2" s="1042" t="s">
        <v>3052</v>
      </c>
      <c r="C2" s="2035"/>
      <c r="D2" s="2028"/>
      <c r="E2" s="2036"/>
      <c r="F2" s="2036"/>
      <c r="G2" s="2028"/>
      <c r="H2" s="2028"/>
      <c r="I2" s="2028"/>
      <c r="J2" s="2028"/>
      <c r="K2" s="2029"/>
      <c r="L2" s="2030"/>
      <c r="M2" s="2030"/>
      <c r="N2" s="2031"/>
      <c r="O2" s="2032"/>
      <c r="P2" s="2031"/>
      <c r="Q2" s="2031"/>
      <c r="R2" s="2031"/>
      <c r="S2" s="2033" t="str">
        <f>IF(B10="北京市","北京市",C10)&amp;F10&amp;IF('结果表（公寓）'!G1="在建","出让国有建设用地使用权及在建建筑物房地产",IF('结果表（公寓）'!G1="土地","出让国有建设用地使用权","房地产"))</f>
        <v>浙江省宁波市春晓镇183地块3、6、7号楼产权式公寓用房及地下车库用房房地产</v>
      </c>
    </row>
    <row r="3" spans="1:19" ht="18" customHeight="1">
      <c r="A3" s="2037" t="s">
        <v>1778</v>
      </c>
      <c r="B3" s="2038">
        <v>43339</v>
      </c>
      <c r="C3" s="2039" t="s">
        <v>1779</v>
      </c>
      <c r="D3" s="2038">
        <f>B3</f>
        <v>43339</v>
      </c>
      <c r="E3" s="2028"/>
      <c r="F3" s="2028"/>
      <c r="G3" s="2028"/>
      <c r="H3" s="2028"/>
      <c r="I3" s="2028"/>
      <c r="J3" s="2028"/>
      <c r="K3" s="2029"/>
      <c r="L3" s="2030"/>
      <c r="M3" s="2030"/>
      <c r="N3" s="2031"/>
      <c r="O3" s="2032"/>
      <c r="P3" s="2031"/>
      <c r="Q3" s="2031"/>
      <c r="R3" s="2031"/>
      <c r="S3" s="2033"/>
    </row>
    <row r="4" spans="1:19" ht="18" customHeight="1" thickBot="1">
      <c r="A4" s="2040" t="s">
        <v>1780</v>
      </c>
      <c r="B4" s="2041" t="s">
        <v>3036</v>
      </c>
      <c r="C4" s="1040">
        <f ca="1">SUMIF(注册房地产估价师,B4,估价师及机构信息!B3:B24)</f>
        <v>1120070131</v>
      </c>
      <c r="D4" s="2041" t="s">
        <v>4108</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91" t="s">
        <v>3303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92" t="s">
        <v>3303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93" t="s">
        <v>3304</v>
      </c>
      <c r="C7" s="2050"/>
      <c r="D7" s="2051"/>
      <c r="E7" s="2036"/>
      <c r="F7" s="2044"/>
      <c r="G7" s="2044"/>
      <c r="H7" s="2044"/>
      <c r="I7" s="2044"/>
      <c r="J7" s="2044"/>
      <c r="K7" s="2053"/>
      <c r="L7" s="2030"/>
      <c r="M7" s="2030"/>
      <c r="N7" s="2031"/>
      <c r="O7" s="2032"/>
      <c r="P7" s="2031"/>
      <c r="Q7" s="2031"/>
      <c r="R7" s="2031"/>
    </row>
    <row r="8" spans="1:19" ht="18" customHeight="1">
      <c r="A8" s="2049" t="s">
        <v>1784</v>
      </c>
      <c r="B8" s="2054" t="s">
        <v>3037</v>
      </c>
      <c r="C8" s="2055"/>
      <c r="D8" s="3112" t="s">
        <v>1785</v>
      </c>
      <c r="E8" s="2056" t="s">
        <v>3038</v>
      </c>
      <c r="F8" s="2057"/>
      <c r="G8" s="2028"/>
      <c r="H8" s="2028"/>
      <c r="I8" s="2028"/>
      <c r="J8" s="2044"/>
      <c r="K8" s="2045"/>
      <c r="L8" s="2030"/>
      <c r="M8" s="2030"/>
      <c r="N8" s="2031"/>
      <c r="O8" s="2032"/>
      <c r="P8" s="2031"/>
      <c r="Q8" s="2031"/>
      <c r="R8" s="2031"/>
    </row>
    <row r="9" spans="1:19" ht="18" customHeight="1" thickBot="1">
      <c r="A9" s="2042" t="s">
        <v>1786</v>
      </c>
      <c r="B9" s="2058" t="s">
        <v>3038</v>
      </c>
      <c r="C9" s="2059"/>
      <c r="D9" s="3113"/>
      <c r="E9" s="2058" t="s">
        <v>70</v>
      </c>
      <c r="F9" s="2060"/>
      <c r="G9" s="2061"/>
      <c r="H9" s="2061"/>
      <c r="I9" s="2061"/>
      <c r="J9" s="2044"/>
      <c r="K9" s="2053"/>
      <c r="L9" s="2030"/>
      <c r="M9" s="2030"/>
      <c r="N9" s="2031"/>
      <c r="O9" s="2032"/>
      <c r="P9" s="2031"/>
      <c r="Q9" s="2031"/>
      <c r="R9" s="2031"/>
    </row>
    <row r="10" spans="1:19" ht="18" customHeight="1" thickTop="1">
      <c r="A10" s="2062" t="s">
        <v>1787</v>
      </c>
      <c r="B10" s="2063" t="s">
        <v>3039</v>
      </c>
      <c r="C10" s="2997" t="s">
        <v>3306</v>
      </c>
      <c r="D10" s="2048"/>
      <c r="E10" s="2064" t="s">
        <v>1788</v>
      </c>
      <c r="F10" s="2996" t="s">
        <v>3305</v>
      </c>
      <c r="G10" s="2065"/>
      <c r="H10" s="2066"/>
      <c r="I10" s="2048"/>
      <c r="J10" s="2044"/>
      <c r="K10" s="2053"/>
      <c r="L10" s="2030"/>
      <c r="M10" s="2030"/>
      <c r="N10" s="2031"/>
      <c r="O10" s="2032"/>
      <c r="P10" s="2031"/>
      <c r="Q10" s="2031"/>
      <c r="R10" s="2031"/>
    </row>
    <row r="11" spans="1:19" ht="18" customHeight="1">
      <c r="A11" s="2067" t="s">
        <v>1789</v>
      </c>
      <c r="B11" s="2068" t="s">
        <v>3040</v>
      </c>
      <c r="C11" s="2998" t="s">
        <v>3307</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3041</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v>56156</v>
      </c>
      <c r="F13" s="2076"/>
      <c r="G13" s="3009">
        <v>56156</v>
      </c>
      <c r="H13" s="2076"/>
      <c r="I13" s="1050"/>
      <c r="J13" s="2044"/>
      <c r="K13" s="2053"/>
      <c r="L13" s="2030"/>
      <c r="M13" s="2030"/>
      <c r="N13" s="2031"/>
      <c r="O13" s="2032"/>
      <c r="P13" s="2031"/>
      <c r="Q13" s="2031"/>
      <c r="R13" s="2031"/>
    </row>
    <row r="14" spans="1:19" ht="18" customHeight="1">
      <c r="A14" s="2073"/>
      <c r="B14" s="2074"/>
      <c r="C14" s="2075" t="s">
        <v>1799</v>
      </c>
      <c r="D14" s="1053"/>
      <c r="E14" s="1053">
        <v>40</v>
      </c>
      <c r="F14" s="1053"/>
      <c r="G14" s="1053">
        <v>40</v>
      </c>
      <c r="H14" s="1053"/>
      <c r="I14" s="1053"/>
      <c r="J14" s="2044"/>
      <c r="K14" s="2077"/>
      <c r="L14" s="2030"/>
      <c r="M14" s="2030"/>
      <c r="N14" s="2031"/>
      <c r="O14" s="2032"/>
      <c r="P14" s="2031"/>
      <c r="Q14" s="2031"/>
      <c r="R14" s="2031"/>
    </row>
    <row r="15" spans="1:19" ht="18" customHeight="1">
      <c r="A15" s="2062"/>
      <c r="B15" s="2078"/>
      <c r="C15" s="2075" t="s">
        <v>1800</v>
      </c>
      <c r="D15" s="1052" t="str">
        <f>IF(B12="出让",IF(D13="","",ROUNDDOWN(MIN((D13-$D$3)/365,D14),2)),D14)</f>
        <v/>
      </c>
      <c r="E15" s="1052">
        <f>IF(B12="出让",IF(E13="","",ROUNDDOWN(MIN((E13-$D$3)/365,E14),2)),E14)</f>
        <v>35.11</v>
      </c>
      <c r="F15" s="1052" t="str">
        <f>IF(B12="出让",IF(F13="","",ROUNDDOWN(MIN((F13-$D$3)/365,F14),2)),F14)</f>
        <v/>
      </c>
      <c r="G15" s="1052">
        <f>IF(B12="出让",IF(G13="","",ROUNDDOWN(MIN((G13-$D$3)/365,G14),2)),G14)</f>
        <v>35.11</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27" customHeight="1">
      <c r="A16" s="2064" t="s">
        <v>1801</v>
      </c>
      <c r="B16" s="3119" t="s">
        <v>3338</v>
      </c>
      <c r="C16" s="3120"/>
      <c r="D16" s="3121"/>
      <c r="E16" s="2082" t="s">
        <v>1802</v>
      </c>
      <c r="F16" s="3122"/>
      <c r="G16" s="3123"/>
      <c r="H16" s="3123"/>
      <c r="I16" s="3124"/>
      <c r="J16" s="2031"/>
      <c r="K16" s="2079"/>
      <c r="L16" s="2080"/>
      <c r="M16" s="2080"/>
      <c r="N16" s="2081"/>
      <c r="O16" s="2080"/>
      <c r="P16" s="2081"/>
      <c r="Q16" s="2031"/>
      <c r="R16" s="2031"/>
    </row>
    <row r="17" spans="1:22" ht="18" customHeight="1">
      <c r="A17" s="2083" t="s">
        <v>1803</v>
      </c>
      <c r="B17" s="2037" t="s">
        <v>1804</v>
      </c>
      <c r="C17" s="1057">
        <f>'数据-汇总表'!E3</f>
        <v>30792.58</v>
      </c>
      <c r="D17" s="2084" t="s">
        <v>1805</v>
      </c>
      <c r="E17" s="3125"/>
      <c r="F17" s="3126"/>
      <c r="G17" s="3126"/>
      <c r="H17" s="3126"/>
      <c r="I17" s="3127"/>
      <c r="J17" s="2031"/>
      <c r="K17" s="2085"/>
      <c r="L17" s="2080"/>
      <c r="M17" s="2080"/>
      <c r="N17" s="2081"/>
      <c r="O17" s="2080"/>
      <c r="P17" s="2081"/>
      <c r="Q17" s="2031"/>
      <c r="R17" s="2031"/>
      <c r="S17" s="2031"/>
      <c r="T17" s="2031"/>
      <c r="U17" s="2031"/>
      <c r="V17" s="2031"/>
    </row>
    <row r="18" spans="1:22" ht="36" customHeight="1" thickBot="1">
      <c r="A18" s="2086" t="s">
        <v>3339</v>
      </c>
      <c r="B18" s="2040" t="s">
        <v>1806</v>
      </c>
      <c r="C18" s="1447">
        <f>'数据-汇总表'!D3</f>
        <v>60760.83</v>
      </c>
      <c r="D18" s="2087" t="s">
        <v>1805</v>
      </c>
      <c r="E18" s="3128"/>
      <c r="F18" s="3129"/>
      <c r="G18" s="3129"/>
      <c r="H18" s="3129"/>
      <c r="I18" s="3130"/>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3340</v>
      </c>
      <c r="D19" s="2089" t="s">
        <v>1809</v>
      </c>
      <c r="E19" s="2090" t="s">
        <v>3340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115" t="s">
        <v>1811</v>
      </c>
      <c r="C20" s="3116"/>
      <c r="D20" s="3117" t="s">
        <v>1812</v>
      </c>
      <c r="E20" s="3118"/>
      <c r="F20" s="2094" t="s">
        <v>1813</v>
      </c>
      <c r="G20" s="2044"/>
      <c r="H20" s="2044"/>
      <c r="I20" s="2044"/>
      <c r="J20" s="2044"/>
      <c r="K20" s="3114"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t="s">
        <v>1817</v>
      </c>
      <c r="E21" s="2098" t="s">
        <v>1816</v>
      </c>
      <c r="F21" s="2099"/>
      <c r="G21" s="2044"/>
      <c r="H21" s="2044"/>
      <c r="I21" s="2044"/>
      <c r="J21" s="2044"/>
      <c r="K21" s="31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1818</v>
      </c>
      <c r="C22" s="2096" t="s">
        <v>1819</v>
      </c>
      <c r="D22" s="2028"/>
      <c r="E22" s="2028"/>
      <c r="F22" s="2101"/>
      <c r="G22" s="2044"/>
      <c r="H22" s="2044"/>
      <c r="I22" s="2044"/>
      <c r="J22" s="2044"/>
      <c r="K22" s="3114"/>
      <c r="L22" s="748"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1820</v>
      </c>
      <c r="B23" s="183" t="s">
        <v>1821</v>
      </c>
      <c r="C23" s="2103"/>
      <c r="D23" s="2104" t="s">
        <v>1821</v>
      </c>
      <c r="E23" s="2105"/>
      <c r="F23" s="2101"/>
      <c r="G23" s="2044"/>
      <c r="H23" s="2044"/>
      <c r="I23" s="2044"/>
      <c r="J23" s="2044"/>
      <c r="K23" s="2106"/>
      <c r="L23" s="748"/>
      <c r="M23" s="2030"/>
      <c r="N23" s="2081"/>
      <c r="O23" s="2080"/>
      <c r="P23" s="2081"/>
      <c r="Q23" s="2031"/>
      <c r="R23" s="2031"/>
      <c r="S23" s="2031"/>
      <c r="T23" s="2031"/>
      <c r="U23" s="2031"/>
      <c r="V23" s="2031"/>
    </row>
    <row r="24" spans="1:22" ht="18" customHeight="1">
      <c r="A24" s="2107"/>
      <c r="B24" s="183" t="s">
        <v>1822</v>
      </c>
      <c r="C24" s="2108"/>
      <c r="D24" s="2102" t="s">
        <v>1822</v>
      </c>
      <c r="E24" s="2109"/>
      <c r="F24" s="2101"/>
      <c r="G24" s="2044"/>
      <c r="H24" s="2044"/>
      <c r="I24" s="2044"/>
      <c r="J24" s="2044"/>
      <c r="K24" s="2106"/>
      <c r="L24" s="748"/>
      <c r="M24" s="2030"/>
      <c r="N24" s="2081"/>
      <c r="O24" s="2080"/>
      <c r="P24" s="2081"/>
      <c r="Q24" s="2031"/>
      <c r="R24" s="2031"/>
      <c r="S24" s="2031"/>
      <c r="T24" s="2031"/>
      <c r="U24" s="2031"/>
      <c r="V24" s="2031"/>
    </row>
    <row r="25" spans="1:22" ht="18" customHeight="1">
      <c r="A25" s="2107"/>
      <c r="B25" s="183" t="s">
        <v>1823</v>
      </c>
      <c r="C25" s="2108"/>
      <c r="D25" s="2102" t="s">
        <v>1823</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1824</v>
      </c>
      <c r="C26" s="2112"/>
      <c r="D26" s="2113" t="s">
        <v>1825</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02" t="s">
        <v>1826</v>
      </c>
      <c r="B27" s="2062" t="s">
        <v>1827</v>
      </c>
      <c r="C27" s="2116" t="s">
        <v>3341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02"/>
      <c r="B28" s="2037" t="s">
        <v>1828</v>
      </c>
      <c r="C28" s="2118" t="s">
        <v>3342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02"/>
      <c r="B29" s="2037" t="s">
        <v>1829</v>
      </c>
      <c r="C29" s="2121" t="s">
        <v>3340</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03"/>
      <c r="B30" s="2037" t="s">
        <v>1830</v>
      </c>
      <c r="C30" s="3104"/>
      <c r="D30" s="3105"/>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06" t="s">
        <v>1831</v>
      </c>
      <c r="B31" s="2123" t="s">
        <v>3327</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07"/>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07"/>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0" t="s">
        <v>3343</v>
      </c>
      <c r="C34" s="2130" t="s">
        <v>3344</v>
      </c>
      <c r="D34" s="2130" t="s">
        <v>3345</v>
      </c>
      <c r="E34" s="2130" t="s">
        <v>3346</v>
      </c>
      <c r="F34" s="2130" t="s">
        <v>3347</v>
      </c>
      <c r="G34" s="2130" t="s">
        <v>3348</v>
      </c>
      <c r="H34" s="2130"/>
      <c r="I34" s="2044"/>
      <c r="J34" s="2044"/>
      <c r="K34" s="1797">
        <f>COUNTIF(B34:H34,"——")</f>
        <v>0</v>
      </c>
      <c r="L34" s="2071" t="s">
        <v>1833</v>
      </c>
      <c r="M34" s="2071" t="s">
        <v>1834</v>
      </c>
      <c r="N34" s="2071" t="s">
        <v>1835</v>
      </c>
      <c r="O34" s="2071" t="s">
        <v>1836</v>
      </c>
      <c r="P34" s="2071" t="s">
        <v>1837</v>
      </c>
      <c r="Q34" s="2071" t="s">
        <v>1838</v>
      </c>
      <c r="R34" s="2071" t="s">
        <v>1839</v>
      </c>
      <c r="S34" s="3101" t="s">
        <v>1840</v>
      </c>
      <c r="T34" s="2131" t="str">
        <f>NUMBERSTRING(7-K34,1)&amp;"通"</f>
        <v>七通</v>
      </c>
      <c r="U34" s="2031"/>
      <c r="V34" s="2031"/>
    </row>
    <row r="35" spans="1:22" ht="18" customHeight="1">
      <c r="A35" s="2132"/>
      <c r="B35" s="3108" t="s">
        <v>1841</v>
      </c>
      <c r="C35" s="3108"/>
      <c r="D35" s="3108"/>
      <c r="E35" s="3108"/>
      <c r="F35" s="2133" t="str">
        <f>C10</f>
        <v>浙江省宁波市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1"/>
      <c r="T35" s="48" t="str">
        <f>IF(T34="一通",L35,IF(T34="二通",M35,IF(T34="三通",N35,IF(T34="四通",O35,IF(T34="五通",P35,IF(T34="六通",Q35,R35))))))</f>
        <v>通路、通电、通讯、通上水、通下水、燃气、</v>
      </c>
      <c r="U35" s="2031"/>
      <c r="V35" s="2031"/>
    </row>
    <row r="36" spans="1:22" ht="18" customHeight="1">
      <c r="A36" s="2134"/>
      <c r="B36" s="2133" t="s">
        <v>1842</v>
      </c>
      <c r="C36" s="2133" t="s">
        <v>1843</v>
      </c>
      <c r="D36" s="2133" t="s">
        <v>1844</v>
      </c>
      <c r="E36" s="2133" t="s">
        <v>1845</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1846</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1847</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1849</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1850</v>
      </c>
      <c r="B42" s="1797" t="s">
        <v>1851</v>
      </c>
      <c r="C42" s="1797" t="s">
        <v>1852</v>
      </c>
      <c r="D42" s="1797" t="s">
        <v>1853</v>
      </c>
      <c r="E42" s="1797" t="s">
        <v>1854</v>
      </c>
      <c r="F42" s="1797" t="s">
        <v>1855</v>
      </c>
      <c r="G42" s="1797" t="s">
        <v>1856</v>
      </c>
      <c r="H42" s="1797" t="s">
        <v>1857</v>
      </c>
      <c r="I42" s="1797" t="s">
        <v>1858</v>
      </c>
      <c r="J42" s="2149" t="s">
        <v>1859</v>
      </c>
      <c r="K42" s="2072" t="s">
        <v>1860</v>
      </c>
      <c r="L42" s="2072" t="s">
        <v>1861</v>
      </c>
      <c r="M42" s="2072" t="s">
        <v>1862</v>
      </c>
      <c r="N42" s="1797" t="s">
        <v>1863</v>
      </c>
      <c r="O42" s="1797" t="s">
        <v>1864</v>
      </c>
      <c r="P42" s="1797" t="s">
        <v>1865</v>
      </c>
      <c r="Q42" s="2071" t="s">
        <v>1866</v>
      </c>
      <c r="R42" s="2071" t="s">
        <v>1867</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0" sqref="E20"/>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1873</v>
      </c>
      <c r="AZ2" s="1273"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面积表!F9</f>
        <v>60760.83</v>
      </c>
      <c r="B3" s="14">
        <f>IF(C3="否",G5-AT5,G5)</f>
        <v>30792.58</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5"/>
      <c r="C5" s="1805"/>
      <c r="D5" s="1808"/>
      <c r="E5" s="16" t="s">
        <v>1</v>
      </c>
      <c r="F5" s="16">
        <f>SUM(F13:F587)</f>
        <v>0</v>
      </c>
      <c r="G5" s="16">
        <f>SUM(G13:G587)</f>
        <v>30792.58</v>
      </c>
      <c r="H5" s="16">
        <f t="shared" ref="H5:AT5" si="0">SUM(H13:H656)</f>
        <v>30792.58</v>
      </c>
      <c r="I5" s="16">
        <f t="shared" si="0"/>
        <v>28072.940000000002</v>
      </c>
      <c r="J5" s="16">
        <f t="shared" si="0"/>
        <v>0</v>
      </c>
      <c r="K5" s="16">
        <f t="shared" si="0"/>
        <v>2719.64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30792.58</v>
      </c>
      <c r="BA5" s="18">
        <f t="shared" si="1"/>
        <v>30792.58</v>
      </c>
      <c r="BB5" s="18">
        <f t="shared" si="1"/>
        <v>28072.940000000002</v>
      </c>
      <c r="BC5" s="18">
        <f t="shared" si="1"/>
        <v>2719.64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60760.83</v>
      </c>
      <c r="F6" s="16" t="s">
        <v>1</v>
      </c>
      <c r="G6" s="16" t="s">
        <v>2</v>
      </c>
      <c r="H6" s="20">
        <f>SUMIF(I$12:AB$12,"总值",I6:AB6)</f>
        <v>60760.83</v>
      </c>
      <c r="I6" s="16">
        <f t="shared" ref="I6:AB6" si="2">ROUND($A$3*I5/$B$3,2)</f>
        <v>55394.36</v>
      </c>
      <c r="J6" s="16">
        <f t="shared" si="2"/>
        <v>0</v>
      </c>
      <c r="K6" s="16">
        <f t="shared" si="2"/>
        <v>5366.47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60760.83</v>
      </c>
      <c r="AZ6" s="16" t="s">
        <v>3</v>
      </c>
      <c r="BA6" s="16">
        <f>ROUND($AY$6*BA5/$AZ$5,2)</f>
        <v>60760.83</v>
      </c>
      <c r="BB6" s="16">
        <f>ROUND($AY$6*BB5/$AZ$5,2)</f>
        <v>55394.36</v>
      </c>
      <c r="BC6" s="16">
        <f t="shared" ref="BC6:BH6" si="4">ROUND($AY$6*BC5/$AZ$5,2)</f>
        <v>5366.47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1886</v>
      </c>
      <c r="AV7" s="23" t="s">
        <v>1887</v>
      </c>
      <c r="AW7" s="2163" t="s">
        <v>1888</v>
      </c>
      <c r="AX7" s="23" t="s">
        <v>1881</v>
      </c>
      <c r="AY7" s="1805"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20"/>
      <c r="K8" s="1820"/>
      <c r="L8" s="1820"/>
      <c r="M8" s="1820"/>
      <c r="N8" s="1820"/>
      <c r="O8" s="1820"/>
      <c r="P8" s="1820"/>
      <c r="Q8" s="1820"/>
      <c r="R8" s="1820"/>
      <c r="S8" s="1820"/>
      <c r="T8" s="1820"/>
      <c r="U8" s="1820"/>
      <c r="V8" s="2183"/>
      <c r="W8" s="1820"/>
      <c r="X8" s="1820"/>
      <c r="Y8" s="1820"/>
      <c r="Z8" s="1820"/>
      <c r="AA8" s="2183"/>
      <c r="AB8" s="2184"/>
      <c r="AC8" s="984" t="s">
        <v>1892</v>
      </c>
      <c r="AD8" s="2185"/>
      <c r="AE8" s="2177"/>
      <c r="AF8" s="1820"/>
      <c r="AG8" s="1820"/>
      <c r="AH8" s="1820"/>
      <c r="AI8" s="1820"/>
      <c r="AJ8" s="1820"/>
      <c r="AK8" s="1820"/>
      <c r="AL8" s="1820"/>
      <c r="AM8" s="1820"/>
      <c r="AN8" s="1820"/>
      <c r="AO8" s="1820"/>
      <c r="AP8" s="1820"/>
      <c r="AQ8" s="1820"/>
      <c r="AR8" s="1820"/>
      <c r="AS8" s="1820"/>
      <c r="AT8" s="1295" t="s">
        <v>1893</v>
      </c>
      <c r="AU8" s="2179" t="s">
        <v>1894</v>
      </c>
      <c r="AV8" s="1295"/>
      <c r="AW8" s="2162"/>
      <c r="AX8" s="1295"/>
      <c r="AY8" s="2163"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1897</v>
      </c>
      <c r="I9" s="2188" t="s">
        <v>3313</v>
      </c>
      <c r="J9" s="984"/>
      <c r="K9" s="2188" t="s">
        <v>3315</v>
      </c>
      <c r="L9" s="984"/>
      <c r="M9" s="2188"/>
      <c r="N9" s="984"/>
      <c r="O9" s="2188"/>
      <c r="P9" s="984"/>
      <c r="Q9" s="2188"/>
      <c r="R9" s="984"/>
      <c r="S9" s="2188"/>
      <c r="T9" s="984"/>
      <c r="U9" s="2188"/>
      <c r="V9" s="984"/>
      <c r="W9" s="2188"/>
      <c r="X9" s="2189"/>
      <c r="Y9" s="2188"/>
      <c r="Z9" s="984"/>
      <c r="AA9" s="2188"/>
      <c r="AB9" s="984"/>
      <c r="AC9" s="2180"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0"/>
      <c r="AT9" s="2179"/>
      <c r="AU9" s="2179" t="s">
        <v>1900</v>
      </c>
      <c r="AV9" s="1295"/>
      <c r="AW9" s="2162"/>
      <c r="AX9" s="1295"/>
      <c r="AY9" s="28"/>
      <c r="AZ9" s="28" t="s">
        <v>1890</v>
      </c>
      <c r="BA9" s="2191" t="s">
        <v>1901</v>
      </c>
      <c r="BB9" s="2192"/>
      <c r="BC9" s="1341"/>
      <c r="BD9" s="1341"/>
      <c r="BE9" s="1341"/>
      <c r="BF9" s="1341"/>
      <c r="BG9" s="1341"/>
      <c r="BH9" s="1341"/>
      <c r="BI9" s="1341"/>
      <c r="BJ9" s="1341"/>
      <c r="BK9" s="2193"/>
      <c r="BL9" s="15" t="s">
        <v>1902</v>
      </c>
      <c r="BM9" s="1820"/>
      <c r="BN9" s="2182"/>
      <c r="BO9" s="1820"/>
      <c r="BP9" s="1820"/>
      <c r="BQ9" s="1820"/>
      <c r="BR9" s="1820"/>
      <c r="BS9" s="1820"/>
      <c r="BT9" s="26"/>
    </row>
    <row r="10" spans="1:72" s="2186" customFormat="1" ht="12.75">
      <c r="A10" s="2179"/>
      <c r="B10" s="2179"/>
      <c r="C10" s="2179"/>
      <c r="D10" s="2179"/>
      <c r="E10" s="2179"/>
      <c r="F10" s="2179"/>
      <c r="G10" s="1295"/>
      <c r="H10" s="28"/>
      <c r="I10" s="2188" t="s">
        <v>1377</v>
      </c>
      <c r="J10" s="984"/>
      <c r="K10" s="2194" t="s">
        <v>1377</v>
      </c>
      <c r="L10" s="984"/>
      <c r="M10" s="2194"/>
      <c r="N10" s="984"/>
      <c r="O10" s="2194"/>
      <c r="P10" s="984"/>
      <c r="Q10" s="2194"/>
      <c r="R10" s="984"/>
      <c r="S10" s="2194"/>
      <c r="T10" s="984"/>
      <c r="U10" s="2194"/>
      <c r="V10" s="984"/>
      <c r="W10" s="2194"/>
      <c r="X10" s="984"/>
      <c r="Y10" s="2194"/>
      <c r="Z10" s="984"/>
      <c r="AA10" s="2194"/>
      <c r="AB10" s="984"/>
      <c r="AC10" s="1295"/>
      <c r="AD10" s="15" t="s">
        <v>1903</v>
      </c>
      <c r="AE10" s="2195"/>
      <c r="AF10" s="15" t="s">
        <v>1903</v>
      </c>
      <c r="AG10" s="2195"/>
      <c r="AH10" s="15" t="s">
        <v>1904</v>
      </c>
      <c r="AI10" s="2195"/>
      <c r="AJ10" s="15" t="s">
        <v>1904</v>
      </c>
      <c r="AK10" s="2195"/>
      <c r="AL10" s="15" t="s">
        <v>1905</v>
      </c>
      <c r="AM10" s="1301"/>
      <c r="AN10" s="15" t="s">
        <v>1905</v>
      </c>
      <c r="AO10" s="1301"/>
      <c r="AP10" s="15" t="s">
        <v>1906</v>
      </c>
      <c r="AQ10" s="1301"/>
      <c r="AR10" s="15" t="s">
        <v>1906</v>
      </c>
      <c r="AS10" s="1301"/>
      <c r="AT10" s="2179"/>
      <c r="AU10" s="2179"/>
      <c r="AV10" s="1295"/>
      <c r="AW10" s="2162"/>
      <c r="AX10" s="1295"/>
      <c r="AY10" s="28"/>
      <c r="AZ10" s="28"/>
      <c r="BA10" s="2196" t="s">
        <v>1897</v>
      </c>
      <c r="BB10" s="2197" t="str">
        <f>I9</f>
        <v>地上</v>
      </c>
      <c r="BC10" s="29" t="str">
        <f>K9</f>
        <v>地下</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3314</v>
      </c>
      <c r="J11" s="2200"/>
      <c r="K11" s="2199" t="s">
        <v>3316</v>
      </c>
      <c r="L11" s="2200"/>
      <c r="M11" s="2199"/>
      <c r="N11" s="2200"/>
      <c r="O11" s="2199"/>
      <c r="P11" s="2200"/>
      <c r="Q11" s="2199"/>
      <c r="R11" s="2200"/>
      <c r="S11" s="2199"/>
      <c r="T11" s="2200"/>
      <c r="U11" s="2199"/>
      <c r="V11" s="2200"/>
      <c r="W11" s="2199"/>
      <c r="X11" s="2200"/>
      <c r="Y11" s="2199"/>
      <c r="Z11" s="2200"/>
      <c r="AA11" s="2199"/>
      <c r="AB11" s="2200"/>
      <c r="AC11" s="1295"/>
      <c r="AD11" s="2201" t="s">
        <v>1907</v>
      </c>
      <c r="AE11" s="1821"/>
      <c r="AF11" s="2201" t="s">
        <v>1907</v>
      </c>
      <c r="AG11" s="1821"/>
      <c r="AH11" s="2201" t="s">
        <v>1908</v>
      </c>
      <c r="AI11" s="2202"/>
      <c r="AJ11" s="2201" t="s">
        <v>1908</v>
      </c>
      <c r="AK11" s="1821"/>
      <c r="AL11" s="1819"/>
      <c r="AM11" s="1821"/>
      <c r="AN11" s="1819"/>
      <c r="AO11" s="1821"/>
      <c r="AP11" s="1819"/>
      <c r="AQ11" s="1821"/>
      <c r="AR11" s="1819"/>
      <c r="AS11" s="1821"/>
      <c r="AT11" s="2162"/>
      <c r="AU11" s="2179"/>
      <c r="AV11" s="1295"/>
      <c r="AW11" s="2162"/>
      <c r="AX11" s="1295"/>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6"/>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公寓</v>
      </c>
      <c r="BC12" s="2209" t="str">
        <f>K11</f>
        <v>车库</v>
      </c>
      <c r="BD12" s="2209">
        <f>M11</f>
        <v>0</v>
      </c>
      <c r="BE12" s="2184">
        <f>O11</f>
        <v>0</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3003" t="s">
        <v>3310</v>
      </c>
      <c r="D13" s="2210" t="s">
        <v>3311</v>
      </c>
      <c r="E13" s="16">
        <f>IF($C$3="是",ROUND($A$3*G13/$B$3,2),ROUND($A$3*(G13-AT13)/$B$3,2))</f>
        <v>55394.36</v>
      </c>
      <c r="F13" s="32"/>
      <c r="G13" s="33">
        <f>H13+AC13+AT13</f>
        <v>28072.940000000002</v>
      </c>
      <c r="H13" s="20">
        <f>SUMIF(I$12:AB$12,"总值",I13:AB13)</f>
        <v>28072.940000000002</v>
      </c>
      <c r="I13" s="2211">
        <f>面积表!B9-面积表!B8</f>
        <v>28072.940000000002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公寓用房</v>
      </c>
      <c r="AY13" s="1808">
        <f>ROUND($AY$6*AZ13/$AZ$5,2)</f>
        <v>55394.36</v>
      </c>
      <c r="AZ13" s="16">
        <f>BA13+BL13</f>
        <v>28072.940000000002</v>
      </c>
      <c r="BA13" s="16">
        <f>SUM(BB13:BK13)</f>
        <v>28072.940000000002</v>
      </c>
      <c r="BB13" s="16">
        <f>IF($D13="是",I13-J13,0)</f>
        <v>28072.940000000002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5"/>
      <c r="B14" s="1275"/>
      <c r="C14" s="3004" t="s">
        <v>3312</v>
      </c>
      <c r="D14" s="2210" t="s">
        <v>3311</v>
      </c>
      <c r="E14" s="16">
        <f>IF($C$3="是",ROUND($A$3*G14/$B$3,2),ROUND($A$3*(G14-AT14)/$B$3,2))</f>
        <v>5366.47</v>
      </c>
      <c r="F14" s="32"/>
      <c r="G14" s="33">
        <f>H14+AC14+AT14</f>
        <v>2719.64</v>
      </c>
      <c r="H14" s="20">
        <f>SUMIF(I$12:AB$12,"总值",I14:AB14)</f>
        <v>2719.64</v>
      </c>
      <c r="I14" s="2211"/>
      <c r="J14" s="2211"/>
      <c r="K14" s="2211">
        <f>面积表!B8</f>
        <v>2719.64</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地下车库</v>
      </c>
      <c r="AY14" s="1808">
        <f>ROUND($AY$6*AZ14/$AZ$5,2)</f>
        <v>5366.47</v>
      </c>
      <c r="AZ14" s="16">
        <f>BA14+BL14</f>
        <v>2719.64</v>
      </c>
      <c r="BA14" s="16">
        <f>SUM(BB14:BK14)</f>
        <v>2719.64</v>
      </c>
      <c r="BB14" s="16">
        <f>IF($D14="是",I14-J14,0)</f>
        <v>0</v>
      </c>
      <c r="BC14" s="16">
        <f>IF($D14="是",K14-L14,0)</f>
        <v>2719.64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5"/>
      <c r="B16" s="1275"/>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B7" sqref="B7"/>
    </sheetView>
  </sheetViews>
  <sheetFormatPr defaultRowHeight="13.5"/>
  <cols>
    <col min="2" max="2" width="11" customWidth="1"/>
    <col min="3" max="4" width="9.5" bestFit="1" customWidth="1"/>
    <col min="7" max="7" width="10.5" bestFit="1" customWidth="1"/>
    <col min="10" max="10" width="9.5" customWidth="1"/>
  </cols>
  <sheetData>
    <row r="1" spans="1:24">
      <c r="A1" s="2961"/>
      <c r="B1" s="2961"/>
      <c r="C1" s="2961"/>
      <c r="D1" s="2961"/>
      <c r="E1" s="2961"/>
    </row>
    <row r="2" spans="1:24" ht="40.5">
      <c r="A2" s="2962" t="s">
        <v>3042</v>
      </c>
      <c r="B2" s="2962" t="s">
        <v>3043</v>
      </c>
      <c r="C2" s="2963" t="s">
        <v>3423</v>
      </c>
      <c r="D2" s="2962" t="s">
        <v>37</v>
      </c>
      <c r="E2" s="2988" t="s">
        <v>3044</v>
      </c>
      <c r="F2" s="3018" t="s">
        <v>3424</v>
      </c>
    </row>
    <row r="3" spans="1:24">
      <c r="A3" s="2962" t="s">
        <v>3045</v>
      </c>
      <c r="B3" s="2962">
        <v>13106.66</v>
      </c>
      <c r="C3" s="2962">
        <f>'3号楼'!L229</f>
        <v>1468.71</v>
      </c>
      <c r="D3" s="3140">
        <f>B3+B4+B5+B6+B7+B8</f>
        <v>30792.58</v>
      </c>
      <c r="E3" s="2962">
        <v>225</v>
      </c>
      <c r="F3">
        <f>ROUND(B3/$J$8*$G$27,2)</f>
        <v>25862.45</v>
      </c>
    </row>
    <row r="4" spans="1:24">
      <c r="A4" s="2962" t="s">
        <v>3046</v>
      </c>
      <c r="B4" s="2962"/>
      <c r="C4" s="2962"/>
      <c r="D4" s="3141"/>
      <c r="E4" s="2962">
        <v>151</v>
      </c>
    </row>
    <row r="5" spans="1:24">
      <c r="A5" s="2962" t="s">
        <v>3047</v>
      </c>
      <c r="B5" s="2962"/>
      <c r="C5" s="2962"/>
      <c r="D5" s="3141"/>
      <c r="E5" s="2962">
        <v>137</v>
      </c>
      <c r="J5" s="2965" t="s">
        <v>3421</v>
      </c>
      <c r="L5" s="2965" t="s">
        <v>3419</v>
      </c>
    </row>
    <row r="6" spans="1:24">
      <c r="A6" s="2962" t="s">
        <v>3048</v>
      </c>
      <c r="B6" s="2962">
        <v>7625.4</v>
      </c>
      <c r="C6" s="2962">
        <f>'6号楼'!L127</f>
        <v>967.69</v>
      </c>
      <c r="D6" s="3141"/>
      <c r="E6" s="2962">
        <v>123</v>
      </c>
      <c r="F6">
        <f>ROUND(B6/$J$8*$G$27,2)</f>
        <v>15046.67</v>
      </c>
      <c r="H6" s="2965" t="s">
        <v>3416</v>
      </c>
      <c r="I6" s="2965" t="s">
        <v>3417</v>
      </c>
      <c r="J6">
        <f>86619.97-1002.57+2037.22+608.56+2719.64</f>
        <v>90982.819999999992</v>
      </c>
      <c r="L6">
        <v>86619.97</v>
      </c>
    </row>
    <row r="7" spans="1:24">
      <c r="A7" s="3023" t="s">
        <v>3049</v>
      </c>
      <c r="B7" s="2962">
        <f>'7号楼'!D127-'7号楼'!D91-'7号楼'!D92-'7号楼'!D93-'7号楼'!D94</f>
        <v>7340.8800000000037</v>
      </c>
      <c r="C7" s="3418">
        <f>'7号楼'!L127-'7号楼'!J91-'7号楼'!J92-'7号楼'!J93-'7号楼'!J94</f>
        <v>929.59999999999991</v>
      </c>
      <c r="D7" s="3141"/>
      <c r="E7" s="3023">
        <f>123-4</f>
        <v>119</v>
      </c>
      <c r="F7">
        <f>ROUND(B7/$J$8*$G$27,2)</f>
        <v>14485.24</v>
      </c>
      <c r="H7" s="2965" t="s">
        <v>3418</v>
      </c>
      <c r="I7" s="2965" t="s">
        <v>3417</v>
      </c>
      <c r="J7">
        <v>25392.68</v>
      </c>
      <c r="L7">
        <v>25692.68</v>
      </c>
    </row>
    <row r="8" spans="1:24">
      <c r="A8" s="2963" t="s">
        <v>3127</v>
      </c>
      <c r="B8" s="2962">
        <v>2719.64</v>
      </c>
      <c r="C8" s="2962">
        <f>地下车位!I207</f>
        <v>2719.64</v>
      </c>
      <c r="D8" s="3142"/>
      <c r="E8" s="2962">
        <v>203</v>
      </c>
      <c r="F8">
        <f>ROUND(B8/$J$8*$G$27,2)</f>
        <v>5366.47</v>
      </c>
      <c r="H8" s="3133" t="s">
        <v>3420</v>
      </c>
      <c r="I8" s="3133"/>
      <c r="J8">
        <f>SUM(J6:J7)</f>
        <v>116375.5</v>
      </c>
      <c r="L8">
        <f>L6+L7</f>
        <v>112312.65</v>
      </c>
    </row>
    <row r="9" spans="1:24">
      <c r="A9" s="2988" t="s">
        <v>3050</v>
      </c>
      <c r="B9" s="2987">
        <f>SUM(B3:B8)</f>
        <v>30792.58</v>
      </c>
      <c r="C9" s="2962">
        <f>SUM(C3:C8)</f>
        <v>6085.6399999999994</v>
      </c>
      <c r="D9" s="2987"/>
      <c r="E9" s="2962">
        <f>SUM(E3:E8)-E4-E5</f>
        <v>670</v>
      </c>
      <c r="F9">
        <f>SUM(F3:F8)</f>
        <v>60760.83</v>
      </c>
      <c r="K9" s="2965" t="s">
        <v>3422</v>
      </c>
      <c r="L9">
        <f>ROUND(L8/G27,2)</f>
        <v>0.49</v>
      </c>
    </row>
    <row r="10" spans="1:24">
      <c r="A10" s="2989"/>
      <c r="B10" s="2990"/>
      <c r="C10" s="2990"/>
      <c r="D10" s="2990"/>
      <c r="E10" s="2990"/>
    </row>
    <row r="11" spans="1:24">
      <c r="B11">
        <f>B3+B6+B7</f>
        <v>28072.940000000002</v>
      </c>
      <c r="D11" s="3024">
        <v>269.36</v>
      </c>
      <c r="G11" s="3000">
        <f>C3+C6+C7</f>
        <v>3366</v>
      </c>
    </row>
    <row r="12" spans="1:24">
      <c r="E12">
        <f>E3+E6+E7</f>
        <v>467</v>
      </c>
    </row>
    <row r="15" spans="1:24">
      <c r="A15" s="3134" t="s">
        <v>3300</v>
      </c>
      <c r="B15" s="3135"/>
      <c r="C15" s="3135"/>
      <c r="D15" s="3135"/>
      <c r="E15" s="3135"/>
      <c r="F15" s="3135"/>
      <c r="G15" s="3135"/>
      <c r="H15" s="3135"/>
      <c r="I15" s="3135"/>
      <c r="J15" s="3135"/>
      <c r="K15" s="3135"/>
      <c r="L15" s="3135"/>
      <c r="M15" s="3135"/>
      <c r="N15" s="3135"/>
      <c r="O15" s="3135"/>
      <c r="P15" s="3135"/>
      <c r="Q15" s="3135"/>
      <c r="R15" s="3135"/>
      <c r="S15" s="3135"/>
      <c r="T15" s="3135"/>
      <c r="U15" s="3135"/>
      <c r="V15" s="3135"/>
      <c r="W15" s="3135"/>
      <c r="X15" s="3136"/>
    </row>
    <row r="16" spans="1:24">
      <c r="A16" s="3134" t="s">
        <v>3301</v>
      </c>
      <c r="B16" s="3135"/>
      <c r="C16" s="3135"/>
      <c r="D16" s="3135"/>
      <c r="E16" s="3135"/>
      <c r="F16" s="3135"/>
      <c r="G16" s="3135"/>
      <c r="H16" s="3135"/>
      <c r="I16" s="3135"/>
      <c r="J16" s="3135"/>
      <c r="K16" s="3135"/>
      <c r="L16" s="3135"/>
      <c r="M16" s="3135"/>
      <c r="N16" s="3135"/>
      <c r="O16" s="3135"/>
      <c r="P16" s="3135"/>
      <c r="Q16" s="3135"/>
      <c r="R16" s="3135"/>
      <c r="S16" s="3135"/>
      <c r="T16" s="3135"/>
      <c r="U16" s="3135"/>
      <c r="V16" s="3135"/>
      <c r="W16" s="3135"/>
      <c r="X16" s="3136"/>
    </row>
    <row r="17" spans="1:24">
      <c r="A17" s="3137" t="s">
        <v>3302</v>
      </c>
      <c r="B17" s="3138"/>
      <c r="C17" s="3138"/>
      <c r="D17" s="3138"/>
      <c r="E17" s="3138"/>
      <c r="F17" s="3138"/>
      <c r="G17" s="3138"/>
      <c r="H17" s="3138"/>
      <c r="I17" s="3138"/>
      <c r="J17" s="3138"/>
      <c r="K17" s="3138"/>
      <c r="L17" s="3138"/>
      <c r="M17" s="3138"/>
      <c r="N17" s="3138"/>
      <c r="O17" s="3138"/>
      <c r="P17" s="3138"/>
      <c r="Q17" s="3138"/>
      <c r="R17" s="3138"/>
      <c r="S17" s="3138"/>
      <c r="T17" s="3138"/>
      <c r="U17" s="3138"/>
      <c r="V17" s="3138"/>
      <c r="W17" s="3138"/>
      <c r="X17" s="3139"/>
    </row>
    <row r="19" spans="1:24">
      <c r="B19" s="2965"/>
    </row>
    <row r="23" spans="1:24">
      <c r="A23" s="3131" t="s">
        <v>3415</v>
      </c>
      <c r="B23" s="3131"/>
      <c r="C23" s="3131"/>
      <c r="D23" s="3131"/>
    </row>
    <row r="24" spans="1:24">
      <c r="A24" s="3011">
        <v>1</v>
      </c>
      <c r="B24" s="3010" t="s">
        <v>3349</v>
      </c>
      <c r="C24" s="3010" t="s">
        <v>3350</v>
      </c>
      <c r="D24" s="3010" t="s">
        <v>3352</v>
      </c>
    </row>
    <row r="25" spans="1:24">
      <c r="A25" s="3011"/>
      <c r="B25" s="3011"/>
      <c r="C25" s="3010" t="s">
        <v>3351</v>
      </c>
      <c r="D25" s="3010" t="s">
        <v>3353</v>
      </c>
      <c r="F25" s="3131" t="s">
        <v>3363</v>
      </c>
      <c r="G25" s="3132"/>
    </row>
    <row r="26" spans="1:24">
      <c r="A26" s="3011"/>
      <c r="B26" s="3011"/>
      <c r="C26" s="3010" t="s">
        <v>3354</v>
      </c>
      <c r="D26" s="3010" t="s">
        <v>3355</v>
      </c>
      <c r="F26" s="2994" t="s">
        <v>3356</v>
      </c>
      <c r="G26" s="3012">
        <v>41533</v>
      </c>
    </row>
    <row r="27" spans="1:24">
      <c r="F27" s="2994" t="s">
        <v>3357</v>
      </c>
      <c r="G27" s="2995">
        <v>229635.6</v>
      </c>
    </row>
    <row r="28" spans="1:24">
      <c r="F28" s="2994" t="s">
        <v>3358</v>
      </c>
      <c r="G28" s="2995">
        <v>24111.738000000001</v>
      </c>
    </row>
    <row r="29" spans="1:24">
      <c r="F29" s="2994" t="s">
        <v>3359</v>
      </c>
      <c r="G29" s="2995">
        <v>1050</v>
      </c>
    </row>
    <row r="30" spans="1:24">
      <c r="F30" s="2994" t="s">
        <v>3360</v>
      </c>
      <c r="G30" s="2995">
        <f>ROUND(G29/G31,0)</f>
        <v>1615</v>
      </c>
    </row>
    <row r="31" spans="1:24">
      <c r="F31" s="2994" t="s">
        <v>3362</v>
      </c>
      <c r="G31" s="2995">
        <v>0.65</v>
      </c>
    </row>
  </sheetData>
  <mergeCells count="7">
    <mergeCell ref="F25:G25"/>
    <mergeCell ref="A23:D23"/>
    <mergeCell ref="H8:I8"/>
    <mergeCell ref="A15:X15"/>
    <mergeCell ref="A16:X16"/>
    <mergeCell ref="A17:X17"/>
    <mergeCell ref="D3:D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4"/>
  <sheetViews>
    <sheetView topLeftCell="A130" workbookViewId="0">
      <selection sqref="A1:I229"/>
    </sheetView>
  </sheetViews>
  <sheetFormatPr defaultRowHeight="13.5"/>
  <cols>
    <col min="1" max="1" width="6" customWidth="1"/>
    <col min="2" max="2" width="7.25" customWidth="1"/>
    <col min="3" max="3" width="18.125" style="3031" customWidth="1"/>
    <col min="4" max="4" width="10.5" bestFit="1" customWidth="1"/>
    <col min="5" max="6" width="0" hidden="1" customWidth="1"/>
    <col min="7" max="7" width="10" hidden="1" customWidth="1"/>
    <col min="8" max="8" width="9" customWidth="1"/>
    <col min="10" max="10" width="9.125" customWidth="1"/>
  </cols>
  <sheetData>
    <row r="1" spans="1:10" ht="18.75">
      <c r="A1" s="2964"/>
      <c r="B1" s="3143" t="s">
        <v>3128</v>
      </c>
      <c r="C1" s="3143"/>
      <c r="D1" s="3143"/>
      <c r="E1" s="3143"/>
      <c r="F1" s="3143"/>
      <c r="G1" s="3143"/>
      <c r="H1" s="3143"/>
      <c r="I1" s="3143"/>
    </row>
    <row r="2" spans="1:10" ht="13.5" customHeight="1">
      <c r="A2" s="3144" t="s">
        <v>3129</v>
      </c>
      <c r="B2" s="3144"/>
      <c r="C2" s="3144"/>
      <c r="D2" s="3144"/>
      <c r="E2" s="3144"/>
      <c r="F2" s="3144"/>
      <c r="G2" s="3144"/>
      <c r="H2" s="3144"/>
      <c r="I2" s="2973" t="s">
        <v>3054</v>
      </c>
    </row>
    <row r="3" spans="1:10" ht="40.5">
      <c r="A3" s="2985" t="s">
        <v>3294</v>
      </c>
      <c r="B3" s="2971" t="s">
        <v>3055</v>
      </c>
      <c r="C3" s="3027" t="s">
        <v>3477</v>
      </c>
      <c r="D3" s="2972" t="s">
        <v>3056</v>
      </c>
      <c r="E3" s="2972" t="s">
        <v>3057</v>
      </c>
      <c r="F3" s="2972" t="s">
        <v>3058</v>
      </c>
      <c r="G3" s="2972" t="s">
        <v>3130</v>
      </c>
      <c r="H3" s="2971" t="s">
        <v>3060</v>
      </c>
      <c r="I3" s="2973" t="s">
        <v>3061</v>
      </c>
    </row>
    <row r="4" spans="1:10" ht="24">
      <c r="A4" s="2964">
        <v>1</v>
      </c>
      <c r="B4" s="2980" t="s">
        <v>3106</v>
      </c>
      <c r="C4" s="3028" t="s">
        <v>3479</v>
      </c>
      <c r="D4" s="2981">
        <v>53.5</v>
      </c>
      <c r="E4" s="2981">
        <v>36.07</v>
      </c>
      <c r="F4" s="2981">
        <v>2.99</v>
      </c>
      <c r="G4" s="2981">
        <v>17.43</v>
      </c>
      <c r="H4" s="2982" t="s">
        <v>1377</v>
      </c>
      <c r="I4" s="2978" t="s">
        <v>3131</v>
      </c>
      <c r="J4" s="2999"/>
    </row>
    <row r="5" spans="1:10" ht="24">
      <c r="A5" s="2964">
        <v>2</v>
      </c>
      <c r="B5" s="2980" t="s">
        <v>3107</v>
      </c>
      <c r="C5" s="3028" t="s">
        <v>3480</v>
      </c>
      <c r="D5" s="2981">
        <v>73.14</v>
      </c>
      <c r="E5" s="2981">
        <v>49.31</v>
      </c>
      <c r="F5" s="2981">
        <v>3.27</v>
      </c>
      <c r="G5" s="2981">
        <v>23.83</v>
      </c>
      <c r="H5" s="2980" t="s">
        <v>1377</v>
      </c>
      <c r="I5" s="2978" t="s">
        <v>3131</v>
      </c>
      <c r="J5" s="2999"/>
    </row>
    <row r="6" spans="1:10" ht="24">
      <c r="A6" s="2964">
        <v>3</v>
      </c>
      <c r="B6" s="2980" t="s">
        <v>3108</v>
      </c>
      <c r="C6" s="3028" t="s">
        <v>3481</v>
      </c>
      <c r="D6" s="2981">
        <v>73.27</v>
      </c>
      <c r="E6" s="2981">
        <v>49.4</v>
      </c>
      <c r="F6" s="2981">
        <v>3.36</v>
      </c>
      <c r="G6" s="2981">
        <v>23.87</v>
      </c>
      <c r="H6" s="2980" t="s">
        <v>1377</v>
      </c>
      <c r="I6" s="2978" t="s">
        <v>3131</v>
      </c>
      <c r="J6" s="2999"/>
    </row>
    <row r="7" spans="1:10" ht="24">
      <c r="A7" s="2964">
        <v>4</v>
      </c>
      <c r="B7" s="2980" t="s">
        <v>3109</v>
      </c>
      <c r="C7" s="3028" t="s">
        <v>3482</v>
      </c>
      <c r="D7" s="2983">
        <v>53.53</v>
      </c>
      <c r="E7" s="2983">
        <v>36.090000000000003</v>
      </c>
      <c r="F7" s="2983">
        <v>3.04</v>
      </c>
      <c r="G7" s="2981">
        <v>17.440000000000001</v>
      </c>
      <c r="H7" s="2980" t="s">
        <v>1377</v>
      </c>
      <c r="I7" s="2978" t="s">
        <v>3131</v>
      </c>
      <c r="J7" s="2999"/>
    </row>
    <row r="8" spans="1:10" ht="24">
      <c r="A8" s="2964">
        <v>5</v>
      </c>
      <c r="B8" s="2978" t="s">
        <v>3111</v>
      </c>
      <c r="C8" s="3028" t="s">
        <v>3483</v>
      </c>
      <c r="D8" s="2984">
        <v>53.58</v>
      </c>
      <c r="E8" s="2984">
        <v>36.119999999999997</v>
      </c>
      <c r="F8" s="2984">
        <v>3.04</v>
      </c>
      <c r="G8" s="2981">
        <v>17.46</v>
      </c>
      <c r="H8" s="2980" t="s">
        <v>1377</v>
      </c>
      <c r="I8" s="2978" t="s">
        <v>3131</v>
      </c>
      <c r="J8" s="2999"/>
    </row>
    <row r="9" spans="1:10" ht="24">
      <c r="A9" s="2964">
        <v>6</v>
      </c>
      <c r="B9" s="2978" t="s">
        <v>3112</v>
      </c>
      <c r="C9" s="3028" t="s">
        <v>3484</v>
      </c>
      <c r="D9" s="2984">
        <v>54.26</v>
      </c>
      <c r="E9" s="2984">
        <v>36.58</v>
      </c>
      <c r="F9" s="2984">
        <v>3.5</v>
      </c>
      <c r="G9" s="2981">
        <v>17.68</v>
      </c>
      <c r="H9" s="2980" t="s">
        <v>1377</v>
      </c>
      <c r="I9" s="2978" t="s">
        <v>3131</v>
      </c>
      <c r="J9" s="2999"/>
    </row>
    <row r="10" spans="1:10" ht="24">
      <c r="A10" s="2964">
        <v>7</v>
      </c>
      <c r="B10" s="2978" t="s">
        <v>3113</v>
      </c>
      <c r="C10" s="3028" t="s">
        <v>3485</v>
      </c>
      <c r="D10" s="2984">
        <v>62.19</v>
      </c>
      <c r="E10" s="2984">
        <v>41.93</v>
      </c>
      <c r="F10" s="2984">
        <v>3.81</v>
      </c>
      <c r="G10" s="2981">
        <v>20.260000000000002</v>
      </c>
      <c r="H10" s="2980" t="s">
        <v>1377</v>
      </c>
      <c r="I10" s="2978" t="s">
        <v>3131</v>
      </c>
      <c r="J10" s="2999"/>
    </row>
    <row r="11" spans="1:10" ht="24">
      <c r="A11" s="2964">
        <v>8</v>
      </c>
      <c r="B11" s="2978" t="s">
        <v>3114</v>
      </c>
      <c r="C11" s="3028" t="s">
        <v>3486</v>
      </c>
      <c r="D11" s="2984">
        <v>54.02</v>
      </c>
      <c r="E11" s="2984">
        <v>36.42</v>
      </c>
      <c r="F11" s="2984">
        <v>3.58</v>
      </c>
      <c r="G11" s="2981">
        <v>17.600000000000001</v>
      </c>
      <c r="H11" s="2980" t="s">
        <v>1377</v>
      </c>
      <c r="I11" s="2978" t="s">
        <v>3131</v>
      </c>
      <c r="J11" s="2999"/>
    </row>
    <row r="12" spans="1:10" ht="24">
      <c r="A12" s="2964">
        <v>9</v>
      </c>
      <c r="B12" s="2978" t="s">
        <v>3115</v>
      </c>
      <c r="C12" s="3028" t="s">
        <v>3487</v>
      </c>
      <c r="D12" s="2984">
        <v>54.27</v>
      </c>
      <c r="E12" s="2984">
        <v>36.590000000000003</v>
      </c>
      <c r="F12" s="2984">
        <v>3.49</v>
      </c>
      <c r="G12" s="2981">
        <v>17.68</v>
      </c>
      <c r="H12" s="2980" t="s">
        <v>1377</v>
      </c>
      <c r="I12" s="2978" t="s">
        <v>3131</v>
      </c>
      <c r="J12" s="2999"/>
    </row>
    <row r="13" spans="1:10" ht="24">
      <c r="A13" s="2964">
        <v>10</v>
      </c>
      <c r="B13" s="2978" t="s">
        <v>3116</v>
      </c>
      <c r="C13" s="3028" t="s">
        <v>3488</v>
      </c>
      <c r="D13" s="2984">
        <v>54.27</v>
      </c>
      <c r="E13" s="2984">
        <v>36.590000000000003</v>
      </c>
      <c r="F13" s="2984">
        <v>3.49</v>
      </c>
      <c r="G13" s="2981">
        <v>17.68</v>
      </c>
      <c r="H13" s="2980" t="s">
        <v>1377</v>
      </c>
      <c r="I13" s="2978" t="s">
        <v>3131</v>
      </c>
      <c r="J13" s="2999"/>
    </row>
    <row r="14" spans="1:10" ht="24">
      <c r="A14" s="2964">
        <v>11</v>
      </c>
      <c r="B14" s="2978" t="s">
        <v>3117</v>
      </c>
      <c r="C14" s="3028" t="s">
        <v>3489</v>
      </c>
      <c r="D14" s="2984">
        <v>54.24</v>
      </c>
      <c r="E14" s="2984">
        <v>36.57</v>
      </c>
      <c r="F14" s="2984">
        <v>3.49</v>
      </c>
      <c r="G14" s="2981">
        <v>17.670000000000002</v>
      </c>
      <c r="H14" s="2980" t="s">
        <v>1377</v>
      </c>
      <c r="I14" s="2978" t="s">
        <v>3131</v>
      </c>
      <c r="J14" s="2999"/>
    </row>
    <row r="15" spans="1:10" ht="24">
      <c r="A15" s="2964">
        <v>12</v>
      </c>
      <c r="B15" s="2978" t="s">
        <v>3118</v>
      </c>
      <c r="C15" s="3028" t="s">
        <v>3490</v>
      </c>
      <c r="D15" s="2984">
        <v>74.680000000000007</v>
      </c>
      <c r="E15" s="2984">
        <v>50.35</v>
      </c>
      <c r="F15" s="2984">
        <v>6.44</v>
      </c>
      <c r="G15" s="2981">
        <v>24.33</v>
      </c>
      <c r="H15" s="2980" t="s">
        <v>1377</v>
      </c>
      <c r="I15" s="2978" t="s">
        <v>3131</v>
      </c>
      <c r="J15" s="2999"/>
    </row>
    <row r="16" spans="1:10" ht="24">
      <c r="A16" s="2964">
        <v>13</v>
      </c>
      <c r="B16" s="2978" t="s">
        <v>3119</v>
      </c>
      <c r="C16" s="3028" t="s">
        <v>3491</v>
      </c>
      <c r="D16" s="2984">
        <v>74.05</v>
      </c>
      <c r="E16" s="2984">
        <v>49.92</v>
      </c>
      <c r="F16" s="2984">
        <v>6.65</v>
      </c>
      <c r="G16" s="2981">
        <v>24.13</v>
      </c>
      <c r="H16" s="2980" t="s">
        <v>1377</v>
      </c>
      <c r="I16" s="2978" t="s">
        <v>3131</v>
      </c>
      <c r="J16" s="2999"/>
    </row>
    <row r="17" spans="1:10" ht="24">
      <c r="A17" s="2964">
        <v>14</v>
      </c>
      <c r="B17" s="2978" t="s">
        <v>3120</v>
      </c>
      <c r="C17" s="3028" t="s">
        <v>3492</v>
      </c>
      <c r="D17" s="2984">
        <v>54.24</v>
      </c>
      <c r="E17" s="2984">
        <v>36.57</v>
      </c>
      <c r="F17" s="2984">
        <v>3.49</v>
      </c>
      <c r="G17" s="2981">
        <v>17.670000000000002</v>
      </c>
      <c r="H17" s="2980" t="s">
        <v>1377</v>
      </c>
      <c r="I17" s="2978" t="s">
        <v>3131</v>
      </c>
      <c r="J17" s="2999"/>
    </row>
    <row r="18" spans="1:10" ht="24">
      <c r="A18" s="2964">
        <v>15</v>
      </c>
      <c r="B18" s="2978" t="s">
        <v>3121</v>
      </c>
      <c r="C18" s="3028" t="s">
        <v>3493</v>
      </c>
      <c r="D18" s="2984">
        <v>54.27</v>
      </c>
      <c r="E18" s="2984">
        <v>36.590000000000003</v>
      </c>
      <c r="F18" s="2984">
        <v>3.49</v>
      </c>
      <c r="G18" s="2981">
        <v>17.68</v>
      </c>
      <c r="H18" s="2980" t="s">
        <v>1377</v>
      </c>
      <c r="I18" s="2978" t="s">
        <v>3131</v>
      </c>
      <c r="J18" s="2999"/>
    </row>
    <row r="19" spans="1:10" ht="24">
      <c r="A19" s="2964">
        <v>16</v>
      </c>
      <c r="B19" s="2978" t="s">
        <v>3122</v>
      </c>
      <c r="C19" s="3028" t="s">
        <v>3494</v>
      </c>
      <c r="D19" s="2984">
        <v>53.59</v>
      </c>
      <c r="E19" s="2984">
        <v>36.130000000000003</v>
      </c>
      <c r="F19" s="2984">
        <v>3.44</v>
      </c>
      <c r="G19" s="2981">
        <v>17.46</v>
      </c>
      <c r="H19" s="2980" t="s">
        <v>1377</v>
      </c>
      <c r="I19" s="2978" t="s">
        <v>3131</v>
      </c>
      <c r="J19" s="2999"/>
    </row>
    <row r="20" spans="1:10" ht="24">
      <c r="A20" s="2964">
        <v>17</v>
      </c>
      <c r="B20" s="2978" t="s">
        <v>3123</v>
      </c>
      <c r="C20" s="3028" t="s">
        <v>3495</v>
      </c>
      <c r="D20" s="2984">
        <v>66.239999999999995</v>
      </c>
      <c r="E20" s="2984">
        <v>44.66</v>
      </c>
      <c r="F20" s="2984">
        <v>3.62</v>
      </c>
      <c r="G20" s="2981">
        <v>21.58</v>
      </c>
      <c r="H20" s="2980" t="s">
        <v>1377</v>
      </c>
      <c r="I20" s="2978" t="s">
        <v>3131</v>
      </c>
      <c r="J20" s="2999"/>
    </row>
    <row r="21" spans="1:10" ht="24">
      <c r="A21" s="2964">
        <v>18</v>
      </c>
      <c r="B21" s="2978" t="s">
        <v>3124</v>
      </c>
      <c r="C21" s="3028" t="s">
        <v>3496</v>
      </c>
      <c r="D21" s="2984">
        <v>50.87</v>
      </c>
      <c r="E21" s="2984">
        <v>35.15</v>
      </c>
      <c r="F21" s="2984">
        <v>3.04</v>
      </c>
      <c r="G21" s="2981">
        <v>15.72</v>
      </c>
      <c r="H21" s="2980" t="s">
        <v>1377</v>
      </c>
      <c r="I21" s="2978" t="s">
        <v>3131</v>
      </c>
      <c r="J21" s="2999"/>
    </row>
    <row r="22" spans="1:10" ht="24">
      <c r="A22" s="2964">
        <v>19</v>
      </c>
      <c r="B22" s="2978" t="s">
        <v>3125</v>
      </c>
      <c r="C22" s="3028" t="s">
        <v>3497</v>
      </c>
      <c r="D22" s="2984">
        <v>54.01</v>
      </c>
      <c r="E22" s="2984">
        <v>37.32</v>
      </c>
      <c r="F22" s="2984">
        <v>3.58</v>
      </c>
      <c r="G22" s="2981">
        <v>16.690000000000001</v>
      </c>
      <c r="H22" s="2980" t="s">
        <v>1377</v>
      </c>
      <c r="I22" s="2978" t="s">
        <v>3131</v>
      </c>
      <c r="J22" s="2999"/>
    </row>
    <row r="23" spans="1:10" ht="24">
      <c r="A23" s="2964">
        <v>20</v>
      </c>
      <c r="B23" s="2978" t="s">
        <v>3126</v>
      </c>
      <c r="C23" s="3028" t="s">
        <v>3498</v>
      </c>
      <c r="D23" s="2984">
        <v>52.04</v>
      </c>
      <c r="E23" s="2984">
        <v>35.96</v>
      </c>
      <c r="F23" s="2984">
        <v>2.72</v>
      </c>
      <c r="G23" s="2981">
        <v>16.079999999999998</v>
      </c>
      <c r="H23" s="2980" t="s">
        <v>1377</v>
      </c>
      <c r="I23" s="2978" t="s">
        <v>3131</v>
      </c>
      <c r="J23" s="2999"/>
    </row>
    <row r="24" spans="1:10" ht="24">
      <c r="A24" s="2964">
        <v>21</v>
      </c>
      <c r="B24" s="2978" t="s">
        <v>3132</v>
      </c>
      <c r="C24" s="3028" t="s">
        <v>3499</v>
      </c>
      <c r="D24" s="2984">
        <v>71.069999999999993</v>
      </c>
      <c r="E24" s="2984">
        <v>49.11</v>
      </c>
      <c r="F24" s="2984">
        <v>3.07</v>
      </c>
      <c r="G24" s="2981">
        <v>21.96</v>
      </c>
      <c r="H24" s="2980" t="s">
        <v>1377</v>
      </c>
      <c r="I24" s="2978" t="s">
        <v>3131</v>
      </c>
      <c r="J24" s="2999"/>
    </row>
    <row r="25" spans="1:10" ht="24">
      <c r="A25" s="2964">
        <v>22</v>
      </c>
      <c r="B25" s="2978" t="s">
        <v>3133</v>
      </c>
      <c r="C25" s="3028" t="s">
        <v>3500</v>
      </c>
      <c r="D25" s="2984">
        <v>71.489999999999995</v>
      </c>
      <c r="E25" s="2984">
        <v>49.4</v>
      </c>
      <c r="F25" s="2984">
        <v>3.36</v>
      </c>
      <c r="G25" s="2981">
        <v>22.09</v>
      </c>
      <c r="H25" s="2980" t="s">
        <v>1377</v>
      </c>
      <c r="I25" s="2978" t="s">
        <v>3131</v>
      </c>
      <c r="J25" s="2999"/>
    </row>
    <row r="26" spans="1:10" ht="24">
      <c r="A26" s="2964">
        <v>23</v>
      </c>
      <c r="B26" s="2978" t="s">
        <v>3134</v>
      </c>
      <c r="C26" s="3028" t="s">
        <v>3501</v>
      </c>
      <c r="D26" s="2984">
        <v>52.23</v>
      </c>
      <c r="E26" s="2984">
        <v>36.090000000000003</v>
      </c>
      <c r="F26" s="2984">
        <v>3.04</v>
      </c>
      <c r="G26" s="2981">
        <v>16.14</v>
      </c>
      <c r="H26" s="2980" t="s">
        <v>1377</v>
      </c>
      <c r="I26" s="2978" t="s">
        <v>3131</v>
      </c>
      <c r="J26" s="2999"/>
    </row>
    <row r="27" spans="1:10" ht="24">
      <c r="A27" s="2964">
        <v>24</v>
      </c>
      <c r="B27" s="2978" t="s">
        <v>3135</v>
      </c>
      <c r="C27" s="3028" t="s">
        <v>3502</v>
      </c>
      <c r="D27" s="2984">
        <v>52.3</v>
      </c>
      <c r="E27" s="2984">
        <v>36.14</v>
      </c>
      <c r="F27" s="2984">
        <v>3.04</v>
      </c>
      <c r="G27" s="2981">
        <v>16.16</v>
      </c>
      <c r="H27" s="2980" t="s">
        <v>1377</v>
      </c>
      <c r="I27" s="2978" t="s">
        <v>3131</v>
      </c>
      <c r="J27" s="2999"/>
    </row>
    <row r="28" spans="1:10" ht="24">
      <c r="A28" s="2964">
        <v>25</v>
      </c>
      <c r="B28" s="2978" t="s">
        <v>3136</v>
      </c>
      <c r="C28" s="3028" t="s">
        <v>3503</v>
      </c>
      <c r="D28" s="2984">
        <v>52.27</v>
      </c>
      <c r="E28" s="2984">
        <v>36.119999999999997</v>
      </c>
      <c r="F28" s="2984">
        <v>3.04</v>
      </c>
      <c r="G28" s="2981">
        <v>16.149999999999999</v>
      </c>
      <c r="H28" s="2980" t="s">
        <v>1377</v>
      </c>
      <c r="I28" s="2978" t="s">
        <v>3131</v>
      </c>
      <c r="J28" s="2999"/>
    </row>
    <row r="29" spans="1:10" ht="24">
      <c r="A29" s="2964">
        <v>26</v>
      </c>
      <c r="B29" s="2978" t="s">
        <v>3137</v>
      </c>
      <c r="C29" s="3028" t="s">
        <v>3504</v>
      </c>
      <c r="D29" s="2984">
        <v>52.94</v>
      </c>
      <c r="E29" s="2984">
        <v>36.58</v>
      </c>
      <c r="F29" s="2984">
        <v>3.5</v>
      </c>
      <c r="G29" s="2981">
        <v>16.36</v>
      </c>
      <c r="H29" s="2980" t="s">
        <v>1377</v>
      </c>
      <c r="I29" s="2978" t="s">
        <v>3131</v>
      </c>
      <c r="J29" s="2999"/>
    </row>
    <row r="30" spans="1:10" ht="24">
      <c r="A30" s="2964">
        <v>27</v>
      </c>
      <c r="B30" s="2978" t="s">
        <v>3138</v>
      </c>
      <c r="C30" s="3028" t="s">
        <v>3505</v>
      </c>
      <c r="D30" s="2984">
        <v>60.59</v>
      </c>
      <c r="E30" s="2984">
        <v>41.87</v>
      </c>
      <c r="F30" s="2984">
        <v>3.73</v>
      </c>
      <c r="G30" s="2981">
        <v>18.72</v>
      </c>
      <c r="H30" s="2980" t="s">
        <v>1377</v>
      </c>
      <c r="I30" s="2978" t="s">
        <v>3131</v>
      </c>
      <c r="J30" s="2999"/>
    </row>
    <row r="31" spans="1:10" ht="24">
      <c r="A31" s="2964">
        <v>28</v>
      </c>
      <c r="B31" s="2978" t="s">
        <v>3139</v>
      </c>
      <c r="C31" s="3028" t="s">
        <v>3506</v>
      </c>
      <c r="D31" s="2984">
        <v>66.349999999999994</v>
      </c>
      <c r="E31" s="2984">
        <v>45.85</v>
      </c>
      <c r="F31" s="2984">
        <v>3</v>
      </c>
      <c r="G31" s="2981">
        <v>20.5</v>
      </c>
      <c r="H31" s="2980" t="s">
        <v>1377</v>
      </c>
      <c r="I31" s="2978" t="s">
        <v>3131</v>
      </c>
      <c r="J31" s="2999"/>
    </row>
    <row r="32" spans="1:10" ht="24">
      <c r="A32" s="2964">
        <v>29</v>
      </c>
      <c r="B32" s="2978" t="s">
        <v>3140</v>
      </c>
      <c r="C32" s="3028" t="s">
        <v>3507</v>
      </c>
      <c r="D32" s="2984">
        <v>60.59</v>
      </c>
      <c r="E32" s="2984">
        <v>41.87</v>
      </c>
      <c r="F32" s="2984">
        <v>3.77</v>
      </c>
      <c r="G32" s="2981">
        <v>18.72</v>
      </c>
      <c r="H32" s="2980" t="s">
        <v>1377</v>
      </c>
      <c r="I32" s="2978" t="s">
        <v>3131</v>
      </c>
      <c r="J32" s="2999"/>
    </row>
    <row r="33" spans="1:10" ht="24">
      <c r="A33" s="2964">
        <v>30</v>
      </c>
      <c r="B33" s="2978" t="s">
        <v>3141</v>
      </c>
      <c r="C33" s="3028" t="s">
        <v>3508</v>
      </c>
      <c r="D33" s="2984">
        <v>53.01</v>
      </c>
      <c r="E33" s="2984">
        <v>36.630000000000003</v>
      </c>
      <c r="F33" s="2984">
        <v>3.58</v>
      </c>
      <c r="G33" s="2981">
        <v>16.38</v>
      </c>
      <c r="H33" s="2980" t="s">
        <v>1377</v>
      </c>
      <c r="I33" s="2978" t="s">
        <v>3131</v>
      </c>
      <c r="J33" s="2999"/>
    </row>
    <row r="34" spans="1:10" ht="24">
      <c r="A34" s="2964">
        <v>31</v>
      </c>
      <c r="B34" s="2978" t="s">
        <v>3142</v>
      </c>
      <c r="C34" s="3028" t="s">
        <v>3509</v>
      </c>
      <c r="D34" s="2984">
        <v>52.95</v>
      </c>
      <c r="E34" s="2984">
        <v>36.590000000000003</v>
      </c>
      <c r="F34" s="2984">
        <v>3.49</v>
      </c>
      <c r="G34" s="2981">
        <v>16.36</v>
      </c>
      <c r="H34" s="2980" t="s">
        <v>1377</v>
      </c>
      <c r="I34" s="2978" t="s">
        <v>3131</v>
      </c>
      <c r="J34" s="2999"/>
    </row>
    <row r="35" spans="1:10" ht="24">
      <c r="A35" s="2964">
        <v>32</v>
      </c>
      <c r="B35" s="2978" t="s">
        <v>3143</v>
      </c>
      <c r="C35" s="3028" t="s">
        <v>3510</v>
      </c>
      <c r="D35" s="2984">
        <v>52.95</v>
      </c>
      <c r="E35" s="2984">
        <v>36.590000000000003</v>
      </c>
      <c r="F35" s="2984">
        <v>3.49</v>
      </c>
      <c r="G35" s="2981">
        <v>16.36</v>
      </c>
      <c r="H35" s="2980" t="s">
        <v>1377</v>
      </c>
      <c r="I35" s="2978" t="s">
        <v>3131</v>
      </c>
      <c r="J35" s="2999"/>
    </row>
    <row r="36" spans="1:10" ht="24">
      <c r="A36" s="2964">
        <v>33</v>
      </c>
      <c r="B36" s="2978" t="s">
        <v>3144</v>
      </c>
      <c r="C36" s="3028" t="s">
        <v>3511</v>
      </c>
      <c r="D36" s="2984">
        <v>52.92</v>
      </c>
      <c r="E36" s="2984">
        <v>36.57</v>
      </c>
      <c r="F36" s="2984">
        <v>3.49</v>
      </c>
      <c r="G36" s="2981">
        <v>16.350000000000001</v>
      </c>
      <c r="H36" s="2980" t="s">
        <v>1377</v>
      </c>
      <c r="I36" s="2978" t="s">
        <v>3131</v>
      </c>
      <c r="J36" s="2999"/>
    </row>
    <row r="37" spans="1:10" ht="24">
      <c r="A37" s="2964">
        <v>34</v>
      </c>
      <c r="B37" s="2978" t="s">
        <v>3145</v>
      </c>
      <c r="C37" s="3028" t="s">
        <v>3512</v>
      </c>
      <c r="D37" s="2984">
        <v>72.87</v>
      </c>
      <c r="E37" s="2984">
        <v>50.35</v>
      </c>
      <c r="F37" s="2984">
        <v>6.44</v>
      </c>
      <c r="G37" s="2981">
        <v>22.52</v>
      </c>
      <c r="H37" s="2980" t="s">
        <v>1377</v>
      </c>
      <c r="I37" s="2978" t="s">
        <v>3131</v>
      </c>
      <c r="J37" s="2999"/>
    </row>
    <row r="38" spans="1:10" ht="24">
      <c r="A38" s="2964">
        <v>35</v>
      </c>
      <c r="B38" s="2978" t="s">
        <v>3146</v>
      </c>
      <c r="C38" s="3028" t="s">
        <v>3513</v>
      </c>
      <c r="D38" s="2984">
        <v>72.239999999999995</v>
      </c>
      <c r="E38" s="2984">
        <v>49.92</v>
      </c>
      <c r="F38" s="2984">
        <v>6.65</v>
      </c>
      <c r="G38" s="2981">
        <v>22.32</v>
      </c>
      <c r="H38" s="2980" t="s">
        <v>1377</v>
      </c>
      <c r="I38" s="2978" t="s">
        <v>3131</v>
      </c>
      <c r="J38" s="2999"/>
    </row>
    <row r="39" spans="1:10" ht="24">
      <c r="A39" s="2964">
        <v>36</v>
      </c>
      <c r="B39" s="2978" t="s">
        <v>3147</v>
      </c>
      <c r="C39" s="3028" t="s">
        <v>3514</v>
      </c>
      <c r="D39" s="2984">
        <v>52.92</v>
      </c>
      <c r="E39" s="2984">
        <v>36.57</v>
      </c>
      <c r="F39" s="2984">
        <v>3.49</v>
      </c>
      <c r="G39" s="2981">
        <v>16.350000000000001</v>
      </c>
      <c r="H39" s="2980" t="s">
        <v>1377</v>
      </c>
      <c r="I39" s="2978" t="s">
        <v>3131</v>
      </c>
      <c r="J39" s="2999"/>
    </row>
    <row r="40" spans="1:10" ht="24">
      <c r="A40" s="2964">
        <v>37</v>
      </c>
      <c r="B40" s="2978" t="s">
        <v>3148</v>
      </c>
      <c r="C40" s="3028" t="s">
        <v>3515</v>
      </c>
      <c r="D40" s="2984">
        <v>52.95</v>
      </c>
      <c r="E40" s="2984">
        <v>36.590000000000003</v>
      </c>
      <c r="F40" s="2984">
        <v>3.49</v>
      </c>
      <c r="G40" s="2981">
        <v>16.36</v>
      </c>
      <c r="H40" s="2980" t="s">
        <v>1377</v>
      </c>
      <c r="I40" s="2978" t="s">
        <v>3131</v>
      </c>
      <c r="J40" s="2999"/>
    </row>
    <row r="41" spans="1:10" ht="24">
      <c r="A41" s="2964">
        <v>38</v>
      </c>
      <c r="B41" s="2978" t="s">
        <v>3149</v>
      </c>
      <c r="C41" s="3028" t="s">
        <v>3516</v>
      </c>
      <c r="D41" s="2984">
        <v>52.29</v>
      </c>
      <c r="E41" s="2984">
        <v>36.130000000000003</v>
      </c>
      <c r="F41" s="2984">
        <v>3.44</v>
      </c>
      <c r="G41" s="2981">
        <v>16.16</v>
      </c>
      <c r="H41" s="2980" t="s">
        <v>1377</v>
      </c>
      <c r="I41" s="2978" t="s">
        <v>3131</v>
      </c>
      <c r="J41" s="2999"/>
    </row>
    <row r="42" spans="1:10" ht="24">
      <c r="A42" s="2964">
        <v>39</v>
      </c>
      <c r="B42" s="2978" t="s">
        <v>3150</v>
      </c>
      <c r="C42" s="3028" t="s">
        <v>3517</v>
      </c>
      <c r="D42" s="2984">
        <v>64.63</v>
      </c>
      <c r="E42" s="2984">
        <v>44.66</v>
      </c>
      <c r="F42" s="2984">
        <v>3.62</v>
      </c>
      <c r="G42" s="2981">
        <v>19.97</v>
      </c>
      <c r="H42" s="2980" t="s">
        <v>1377</v>
      </c>
      <c r="I42" s="2978" t="s">
        <v>3131</v>
      </c>
      <c r="J42" s="2999"/>
    </row>
    <row r="43" spans="1:10" ht="24">
      <c r="A43" s="2964">
        <v>40</v>
      </c>
      <c r="B43" s="2978" t="s">
        <v>3151</v>
      </c>
      <c r="C43" s="3028" t="s">
        <v>3518</v>
      </c>
      <c r="D43" s="2984">
        <v>50.87</v>
      </c>
      <c r="E43" s="2984">
        <v>35.15</v>
      </c>
      <c r="F43" s="2984">
        <v>3.04</v>
      </c>
      <c r="G43" s="2981">
        <v>15.72</v>
      </c>
      <c r="H43" s="2980" t="s">
        <v>1377</v>
      </c>
      <c r="I43" s="2978" t="s">
        <v>3131</v>
      </c>
      <c r="J43" s="2999"/>
    </row>
    <row r="44" spans="1:10" ht="24">
      <c r="A44" s="2964">
        <v>41</v>
      </c>
      <c r="B44" s="2978" t="s">
        <v>3152</v>
      </c>
      <c r="C44" s="3028" t="s">
        <v>3519</v>
      </c>
      <c r="D44" s="2984">
        <v>54.01</v>
      </c>
      <c r="E44" s="2984">
        <v>37.32</v>
      </c>
      <c r="F44" s="2984">
        <v>3.58</v>
      </c>
      <c r="G44" s="2981">
        <v>16.690000000000001</v>
      </c>
      <c r="H44" s="2980" t="s">
        <v>1377</v>
      </c>
      <c r="I44" s="2978" t="s">
        <v>3131</v>
      </c>
      <c r="J44" s="2999"/>
    </row>
    <row r="45" spans="1:10" ht="24">
      <c r="A45" s="2964">
        <v>42</v>
      </c>
      <c r="B45" s="2978" t="s">
        <v>3153</v>
      </c>
      <c r="C45" s="3028" t="s">
        <v>3520</v>
      </c>
      <c r="D45" s="2984">
        <v>52.04</v>
      </c>
      <c r="E45" s="2984">
        <v>35.96</v>
      </c>
      <c r="F45" s="2984">
        <v>2.72</v>
      </c>
      <c r="G45" s="2981">
        <v>16.079999999999998</v>
      </c>
      <c r="H45" s="2980" t="s">
        <v>1377</v>
      </c>
      <c r="I45" s="2978" t="s">
        <v>3131</v>
      </c>
      <c r="J45" s="2999"/>
    </row>
    <row r="46" spans="1:10" ht="24">
      <c r="A46" s="2964">
        <v>43</v>
      </c>
      <c r="B46" s="2978" t="s">
        <v>3154</v>
      </c>
      <c r="C46" s="3028" t="s">
        <v>3521</v>
      </c>
      <c r="D46" s="2984">
        <v>71.069999999999993</v>
      </c>
      <c r="E46" s="2984">
        <v>49.11</v>
      </c>
      <c r="F46" s="2984">
        <v>3.07</v>
      </c>
      <c r="G46" s="2981">
        <v>21.96</v>
      </c>
      <c r="H46" s="2980" t="s">
        <v>1377</v>
      </c>
      <c r="I46" s="2978" t="s">
        <v>3131</v>
      </c>
      <c r="J46" s="2999"/>
    </row>
    <row r="47" spans="1:10" ht="24">
      <c r="A47" s="2964">
        <v>44</v>
      </c>
      <c r="B47" s="2978" t="s">
        <v>3155</v>
      </c>
      <c r="C47" s="3028" t="s">
        <v>3522</v>
      </c>
      <c r="D47" s="2984">
        <v>71.489999999999995</v>
      </c>
      <c r="E47" s="2984">
        <v>49.4</v>
      </c>
      <c r="F47" s="2984">
        <v>3.36</v>
      </c>
      <c r="G47" s="2981">
        <v>22.09</v>
      </c>
      <c r="H47" s="2980" t="s">
        <v>1377</v>
      </c>
      <c r="I47" s="2978" t="s">
        <v>3131</v>
      </c>
      <c r="J47" s="2999"/>
    </row>
    <row r="48" spans="1:10" ht="24">
      <c r="A48" s="2964">
        <v>45</v>
      </c>
      <c r="B48" s="2978" t="s">
        <v>3156</v>
      </c>
      <c r="C48" s="3028" t="s">
        <v>3523</v>
      </c>
      <c r="D48" s="2984">
        <v>52.23</v>
      </c>
      <c r="E48" s="2984">
        <v>36.090000000000003</v>
      </c>
      <c r="F48" s="2984">
        <v>3.04</v>
      </c>
      <c r="G48" s="2981">
        <v>16.14</v>
      </c>
      <c r="H48" s="2980" t="s">
        <v>1377</v>
      </c>
      <c r="I48" s="2978" t="s">
        <v>3131</v>
      </c>
      <c r="J48" s="2999"/>
    </row>
    <row r="49" spans="1:10" ht="24">
      <c r="A49" s="2964">
        <v>46</v>
      </c>
      <c r="B49" s="2978" t="s">
        <v>3157</v>
      </c>
      <c r="C49" s="3028" t="s">
        <v>3524</v>
      </c>
      <c r="D49" s="2984">
        <v>52.3</v>
      </c>
      <c r="E49" s="2984">
        <v>36.14</v>
      </c>
      <c r="F49" s="2984">
        <v>3.04</v>
      </c>
      <c r="G49" s="2981">
        <v>16.16</v>
      </c>
      <c r="H49" s="2980" t="s">
        <v>1377</v>
      </c>
      <c r="I49" s="2978" t="s">
        <v>3131</v>
      </c>
      <c r="J49" s="2999"/>
    </row>
    <row r="50" spans="1:10" ht="24">
      <c r="A50" s="2964">
        <v>47</v>
      </c>
      <c r="B50" s="2978" t="s">
        <v>3158</v>
      </c>
      <c r="C50" s="3028" t="s">
        <v>3525</v>
      </c>
      <c r="D50" s="2984">
        <v>52.27</v>
      </c>
      <c r="E50" s="2984">
        <v>36.119999999999997</v>
      </c>
      <c r="F50" s="2984">
        <v>3.04</v>
      </c>
      <c r="G50" s="2981">
        <v>16.149999999999999</v>
      </c>
      <c r="H50" s="2980" t="s">
        <v>1377</v>
      </c>
      <c r="I50" s="2978" t="s">
        <v>3131</v>
      </c>
      <c r="J50" s="2999"/>
    </row>
    <row r="51" spans="1:10" ht="24">
      <c r="A51" s="2964">
        <v>48</v>
      </c>
      <c r="B51" s="2978" t="s">
        <v>3159</v>
      </c>
      <c r="C51" s="3028" t="s">
        <v>3526</v>
      </c>
      <c r="D51" s="2984">
        <v>52.94</v>
      </c>
      <c r="E51" s="2984">
        <v>36.58</v>
      </c>
      <c r="F51" s="2984">
        <v>3.5</v>
      </c>
      <c r="G51" s="2981">
        <v>16.36</v>
      </c>
      <c r="H51" s="2980" t="s">
        <v>1377</v>
      </c>
      <c r="I51" s="2978" t="s">
        <v>3131</v>
      </c>
      <c r="J51" s="2999"/>
    </row>
    <row r="52" spans="1:10" ht="24">
      <c r="A52" s="2964">
        <v>49</v>
      </c>
      <c r="B52" s="2978" t="s">
        <v>3160</v>
      </c>
      <c r="C52" s="3028" t="s">
        <v>3527</v>
      </c>
      <c r="D52" s="2984">
        <v>61.19</v>
      </c>
      <c r="E52" s="2984">
        <v>42.28</v>
      </c>
      <c r="F52" s="2984">
        <v>3.73</v>
      </c>
      <c r="G52" s="2981">
        <v>18.91</v>
      </c>
      <c r="H52" s="2980" t="s">
        <v>1377</v>
      </c>
      <c r="I52" s="2978" t="s">
        <v>3131</v>
      </c>
      <c r="J52" s="2999"/>
    </row>
    <row r="53" spans="1:10" ht="24">
      <c r="A53" s="2964">
        <v>50</v>
      </c>
      <c r="B53" s="2978" t="s">
        <v>3161</v>
      </c>
      <c r="C53" s="3028" t="s">
        <v>3528</v>
      </c>
      <c r="D53" s="2984">
        <v>65.760000000000005</v>
      </c>
      <c r="E53" s="2984">
        <v>45.44</v>
      </c>
      <c r="F53" s="2984">
        <v>3</v>
      </c>
      <c r="G53" s="2981">
        <v>20.32</v>
      </c>
      <c r="H53" s="2980" t="s">
        <v>1377</v>
      </c>
      <c r="I53" s="2978" t="s">
        <v>3131</v>
      </c>
      <c r="J53" s="2999"/>
    </row>
    <row r="54" spans="1:10" ht="24">
      <c r="A54" s="2964">
        <v>51</v>
      </c>
      <c r="B54" s="2978" t="s">
        <v>3162</v>
      </c>
      <c r="C54" s="3028" t="s">
        <v>3529</v>
      </c>
      <c r="D54" s="2984">
        <v>60.59</v>
      </c>
      <c r="E54" s="2984">
        <v>41.87</v>
      </c>
      <c r="F54" s="2984">
        <v>3.77</v>
      </c>
      <c r="G54" s="2981">
        <v>18.72</v>
      </c>
      <c r="H54" s="2980" t="s">
        <v>1377</v>
      </c>
      <c r="I54" s="2978" t="s">
        <v>3131</v>
      </c>
      <c r="J54" s="2999"/>
    </row>
    <row r="55" spans="1:10" ht="24">
      <c r="A55" s="2964">
        <v>52</v>
      </c>
      <c r="B55" s="2978" t="s">
        <v>3163</v>
      </c>
      <c r="C55" s="3028" t="s">
        <v>3530</v>
      </c>
      <c r="D55" s="2984">
        <v>53.01</v>
      </c>
      <c r="E55" s="2984">
        <v>36.630000000000003</v>
      </c>
      <c r="F55" s="2984">
        <v>3.58</v>
      </c>
      <c r="G55" s="2981">
        <v>16.38</v>
      </c>
      <c r="H55" s="2980" t="s">
        <v>1377</v>
      </c>
      <c r="I55" s="2978" t="s">
        <v>3131</v>
      </c>
      <c r="J55" s="2999"/>
    </row>
    <row r="56" spans="1:10" ht="24">
      <c r="A56" s="2964">
        <v>53</v>
      </c>
      <c r="B56" s="2978" t="s">
        <v>3164</v>
      </c>
      <c r="C56" s="3028" t="s">
        <v>3531</v>
      </c>
      <c r="D56" s="2984">
        <v>52.95</v>
      </c>
      <c r="E56" s="2984">
        <v>36.590000000000003</v>
      </c>
      <c r="F56" s="2984">
        <v>3.49</v>
      </c>
      <c r="G56" s="2981">
        <v>16.36</v>
      </c>
      <c r="H56" s="2980" t="s">
        <v>1377</v>
      </c>
      <c r="I56" s="2978" t="s">
        <v>3131</v>
      </c>
      <c r="J56" s="2999"/>
    </row>
    <row r="57" spans="1:10" ht="24">
      <c r="A57" s="2964">
        <v>54</v>
      </c>
      <c r="B57" s="2978" t="s">
        <v>3165</v>
      </c>
      <c r="C57" s="3028" t="s">
        <v>3532</v>
      </c>
      <c r="D57" s="2984">
        <v>52.95</v>
      </c>
      <c r="E57" s="2984">
        <v>36.590000000000003</v>
      </c>
      <c r="F57" s="2984">
        <v>3.49</v>
      </c>
      <c r="G57" s="2981">
        <v>16.36</v>
      </c>
      <c r="H57" s="2980" t="s">
        <v>1377</v>
      </c>
      <c r="I57" s="2978" t="s">
        <v>3131</v>
      </c>
      <c r="J57" s="2999"/>
    </row>
    <row r="58" spans="1:10" ht="24">
      <c r="A58" s="2964">
        <v>55</v>
      </c>
      <c r="B58" s="2978" t="s">
        <v>3166</v>
      </c>
      <c r="C58" s="3028" t="s">
        <v>3533</v>
      </c>
      <c r="D58" s="2984">
        <v>52.92</v>
      </c>
      <c r="E58" s="2984">
        <v>36.57</v>
      </c>
      <c r="F58" s="2984">
        <v>3.49</v>
      </c>
      <c r="G58" s="2981">
        <v>16.350000000000001</v>
      </c>
      <c r="H58" s="2980" t="s">
        <v>1377</v>
      </c>
      <c r="I58" s="2978" t="s">
        <v>3131</v>
      </c>
      <c r="J58" s="2999"/>
    </row>
    <row r="59" spans="1:10" ht="24">
      <c r="A59" s="2964">
        <v>56</v>
      </c>
      <c r="B59" s="2978" t="s">
        <v>3167</v>
      </c>
      <c r="C59" s="3028" t="s">
        <v>3534</v>
      </c>
      <c r="D59" s="2984">
        <v>72.87</v>
      </c>
      <c r="E59" s="2984">
        <v>50.35</v>
      </c>
      <c r="F59" s="2984">
        <v>6.44</v>
      </c>
      <c r="G59" s="2981">
        <v>22.52</v>
      </c>
      <c r="H59" s="2980" t="s">
        <v>1377</v>
      </c>
      <c r="I59" s="2978" t="s">
        <v>3131</v>
      </c>
      <c r="J59" s="2999"/>
    </row>
    <row r="60" spans="1:10" ht="24">
      <c r="A60" s="2964">
        <v>57</v>
      </c>
      <c r="B60" s="2978" t="s">
        <v>3168</v>
      </c>
      <c r="C60" s="3028" t="s">
        <v>3535</v>
      </c>
      <c r="D60" s="2984">
        <v>72.239999999999995</v>
      </c>
      <c r="E60" s="2984">
        <v>49.92</v>
      </c>
      <c r="F60" s="2984">
        <v>6.65</v>
      </c>
      <c r="G60" s="2981">
        <v>22.32</v>
      </c>
      <c r="H60" s="2980" t="s">
        <v>1377</v>
      </c>
      <c r="I60" s="2978" t="s">
        <v>3131</v>
      </c>
      <c r="J60" s="2999"/>
    </row>
    <row r="61" spans="1:10" ht="24">
      <c r="A61" s="2964">
        <v>58</v>
      </c>
      <c r="B61" s="2978" t="s">
        <v>3169</v>
      </c>
      <c r="C61" s="3028" t="s">
        <v>3536</v>
      </c>
      <c r="D61" s="2984">
        <v>52.92</v>
      </c>
      <c r="E61" s="2984">
        <v>36.57</v>
      </c>
      <c r="F61" s="2984">
        <v>3.49</v>
      </c>
      <c r="G61" s="2981">
        <v>16.350000000000001</v>
      </c>
      <c r="H61" s="2980" t="s">
        <v>1377</v>
      </c>
      <c r="I61" s="2978" t="s">
        <v>3131</v>
      </c>
      <c r="J61" s="2999"/>
    </row>
    <row r="62" spans="1:10" ht="24">
      <c r="A62" s="2964">
        <v>59</v>
      </c>
      <c r="B62" s="2978" t="s">
        <v>3170</v>
      </c>
      <c r="C62" s="3028" t="s">
        <v>3537</v>
      </c>
      <c r="D62" s="2984">
        <v>52.95</v>
      </c>
      <c r="E62" s="2984">
        <v>36.590000000000003</v>
      </c>
      <c r="F62" s="2984">
        <v>3.49</v>
      </c>
      <c r="G62" s="2981">
        <v>16.36</v>
      </c>
      <c r="H62" s="2980" t="s">
        <v>1377</v>
      </c>
      <c r="I62" s="2978" t="s">
        <v>3131</v>
      </c>
      <c r="J62" s="2999"/>
    </row>
    <row r="63" spans="1:10" ht="24">
      <c r="A63" s="2964">
        <v>60</v>
      </c>
      <c r="B63" s="2978" t="s">
        <v>3171</v>
      </c>
      <c r="C63" s="3028" t="s">
        <v>3538</v>
      </c>
      <c r="D63" s="2984">
        <v>52.29</v>
      </c>
      <c r="E63" s="2984">
        <v>36.130000000000003</v>
      </c>
      <c r="F63" s="2984">
        <v>3.44</v>
      </c>
      <c r="G63" s="2981">
        <v>16.16</v>
      </c>
      <c r="H63" s="2980" t="s">
        <v>1377</v>
      </c>
      <c r="I63" s="2978" t="s">
        <v>3131</v>
      </c>
      <c r="J63" s="2999"/>
    </row>
    <row r="64" spans="1:10" ht="24">
      <c r="A64" s="2964">
        <v>61</v>
      </c>
      <c r="B64" s="2978" t="s">
        <v>3172</v>
      </c>
      <c r="C64" s="3028" t="s">
        <v>3539</v>
      </c>
      <c r="D64" s="2984">
        <v>64.63</v>
      </c>
      <c r="E64" s="2984">
        <v>44.66</v>
      </c>
      <c r="F64" s="2984">
        <v>3.62</v>
      </c>
      <c r="G64" s="2981">
        <v>19.97</v>
      </c>
      <c r="H64" s="2980" t="s">
        <v>1377</v>
      </c>
      <c r="I64" s="2978" t="s">
        <v>3131</v>
      </c>
      <c r="J64" s="2999"/>
    </row>
    <row r="65" spans="1:10" ht="24">
      <c r="A65" s="2964">
        <v>62</v>
      </c>
      <c r="B65" s="2978" t="s">
        <v>3063</v>
      </c>
      <c r="C65" s="3028" t="s">
        <v>3540</v>
      </c>
      <c r="D65" s="2984">
        <v>50.87</v>
      </c>
      <c r="E65" s="2984">
        <v>35.15</v>
      </c>
      <c r="F65" s="2984">
        <v>3.04</v>
      </c>
      <c r="G65" s="2981">
        <v>15.72</v>
      </c>
      <c r="H65" s="2980" t="s">
        <v>1377</v>
      </c>
      <c r="I65" s="2978" t="s">
        <v>3131</v>
      </c>
      <c r="J65" s="2999"/>
    </row>
    <row r="66" spans="1:10" ht="24">
      <c r="A66" s="2964">
        <v>63</v>
      </c>
      <c r="B66" s="2978" t="s">
        <v>3064</v>
      </c>
      <c r="C66" s="3028" t="s">
        <v>3541</v>
      </c>
      <c r="D66" s="2984">
        <v>54.01</v>
      </c>
      <c r="E66" s="2984">
        <v>37.32</v>
      </c>
      <c r="F66" s="2984">
        <v>3.58</v>
      </c>
      <c r="G66" s="2981">
        <v>16.690000000000001</v>
      </c>
      <c r="H66" s="2980" t="s">
        <v>1377</v>
      </c>
      <c r="I66" s="2978" t="s">
        <v>3131</v>
      </c>
      <c r="J66" s="2999"/>
    </row>
    <row r="67" spans="1:10" ht="24">
      <c r="A67" s="2964">
        <v>64</v>
      </c>
      <c r="B67" s="2978" t="s">
        <v>3065</v>
      </c>
      <c r="C67" s="3028" t="s">
        <v>3542</v>
      </c>
      <c r="D67" s="2984">
        <v>52.04</v>
      </c>
      <c r="E67" s="2984">
        <v>35.96</v>
      </c>
      <c r="F67" s="2984">
        <v>2.72</v>
      </c>
      <c r="G67" s="2981">
        <v>16.079999999999998</v>
      </c>
      <c r="H67" s="2980" t="s">
        <v>1377</v>
      </c>
      <c r="I67" s="2978" t="s">
        <v>3131</v>
      </c>
      <c r="J67" s="2999"/>
    </row>
    <row r="68" spans="1:10" ht="24">
      <c r="A68" s="2964">
        <v>65</v>
      </c>
      <c r="B68" s="2978" t="s">
        <v>3066</v>
      </c>
      <c r="C68" s="3028" t="s">
        <v>3543</v>
      </c>
      <c r="D68" s="2984">
        <v>71.069999999999993</v>
      </c>
      <c r="E68" s="2984">
        <v>49.11</v>
      </c>
      <c r="F68" s="2984">
        <v>3.07</v>
      </c>
      <c r="G68" s="2981">
        <v>21.96</v>
      </c>
      <c r="H68" s="2980" t="s">
        <v>1377</v>
      </c>
      <c r="I68" s="2978" t="s">
        <v>3131</v>
      </c>
      <c r="J68" s="2999"/>
    </row>
    <row r="69" spans="1:10" ht="24">
      <c r="A69" s="2964">
        <v>66</v>
      </c>
      <c r="B69" s="2978" t="s">
        <v>3067</v>
      </c>
      <c r="C69" s="3028" t="s">
        <v>3544</v>
      </c>
      <c r="D69" s="2984">
        <v>71.489999999999995</v>
      </c>
      <c r="E69" s="2984">
        <v>49.4</v>
      </c>
      <c r="F69" s="2984">
        <v>3.36</v>
      </c>
      <c r="G69" s="2981">
        <v>22.09</v>
      </c>
      <c r="H69" s="2980" t="s">
        <v>1377</v>
      </c>
      <c r="I69" s="2978" t="s">
        <v>3131</v>
      </c>
      <c r="J69" s="2999"/>
    </row>
    <row r="70" spans="1:10" ht="24">
      <c r="A70" s="2964">
        <v>67</v>
      </c>
      <c r="B70" s="2978" t="s">
        <v>3068</v>
      </c>
      <c r="C70" s="3028" t="s">
        <v>3545</v>
      </c>
      <c r="D70" s="2984">
        <v>52.23</v>
      </c>
      <c r="E70" s="2984">
        <v>36.090000000000003</v>
      </c>
      <c r="F70" s="2984">
        <v>3.04</v>
      </c>
      <c r="G70" s="2981">
        <v>16.14</v>
      </c>
      <c r="H70" s="2980" t="s">
        <v>1377</v>
      </c>
      <c r="I70" s="2978" t="s">
        <v>3131</v>
      </c>
      <c r="J70" s="2999"/>
    </row>
    <row r="71" spans="1:10" ht="24">
      <c r="A71" s="2964">
        <v>68</v>
      </c>
      <c r="B71" s="2978" t="s">
        <v>3069</v>
      </c>
      <c r="C71" s="3028" t="s">
        <v>3546</v>
      </c>
      <c r="D71" s="2984">
        <v>52.3</v>
      </c>
      <c r="E71" s="2984">
        <v>36.14</v>
      </c>
      <c r="F71" s="2984">
        <v>3.04</v>
      </c>
      <c r="G71" s="2981">
        <v>16.16</v>
      </c>
      <c r="H71" s="2980" t="s">
        <v>1377</v>
      </c>
      <c r="I71" s="2978" t="s">
        <v>3131</v>
      </c>
      <c r="J71" s="2999"/>
    </row>
    <row r="72" spans="1:10" ht="24">
      <c r="A72" s="2964">
        <v>69</v>
      </c>
      <c r="B72" s="2978" t="s">
        <v>3070</v>
      </c>
      <c r="C72" s="3028" t="s">
        <v>3547</v>
      </c>
      <c r="D72" s="2984">
        <v>52.27</v>
      </c>
      <c r="E72" s="2984">
        <v>36.119999999999997</v>
      </c>
      <c r="F72" s="2984">
        <v>3.04</v>
      </c>
      <c r="G72" s="2981">
        <v>16.149999999999999</v>
      </c>
      <c r="H72" s="2980" t="s">
        <v>1377</v>
      </c>
      <c r="I72" s="2978" t="s">
        <v>3131</v>
      </c>
      <c r="J72" s="2999"/>
    </row>
    <row r="73" spans="1:10" ht="24">
      <c r="A73" s="2964">
        <v>70</v>
      </c>
      <c r="B73" s="2978" t="s">
        <v>3071</v>
      </c>
      <c r="C73" s="3028" t="s">
        <v>3548</v>
      </c>
      <c r="D73" s="2984">
        <v>52.94</v>
      </c>
      <c r="E73" s="2984">
        <v>36.58</v>
      </c>
      <c r="F73" s="2984">
        <v>3.5</v>
      </c>
      <c r="G73" s="2981">
        <v>16.36</v>
      </c>
      <c r="H73" s="2980" t="s">
        <v>1377</v>
      </c>
      <c r="I73" s="2978" t="s">
        <v>3131</v>
      </c>
      <c r="J73" s="2999"/>
    </row>
    <row r="74" spans="1:10" ht="24">
      <c r="A74" s="2964">
        <v>71</v>
      </c>
      <c r="B74" s="2978" t="s">
        <v>3072</v>
      </c>
      <c r="C74" s="3028" t="s">
        <v>3549</v>
      </c>
      <c r="D74" s="2984">
        <v>61.19</v>
      </c>
      <c r="E74" s="2984">
        <v>42.28</v>
      </c>
      <c r="F74" s="2984">
        <v>3.73</v>
      </c>
      <c r="G74" s="2981">
        <v>18.91</v>
      </c>
      <c r="H74" s="2980" t="s">
        <v>1377</v>
      </c>
      <c r="I74" s="2978" t="s">
        <v>3131</v>
      </c>
      <c r="J74" s="2999"/>
    </row>
    <row r="75" spans="1:10" ht="24">
      <c r="A75" s="2964">
        <v>72</v>
      </c>
      <c r="B75" s="2978" t="s">
        <v>3073</v>
      </c>
      <c r="C75" s="3028" t="s">
        <v>3550</v>
      </c>
      <c r="D75" s="2984">
        <v>65.760000000000005</v>
      </c>
      <c r="E75" s="2984">
        <v>45.44</v>
      </c>
      <c r="F75" s="2984">
        <v>3</v>
      </c>
      <c r="G75" s="2981">
        <v>20.32</v>
      </c>
      <c r="H75" s="2980" t="s">
        <v>1377</v>
      </c>
      <c r="I75" s="2978" t="s">
        <v>3131</v>
      </c>
      <c r="J75" s="2999"/>
    </row>
    <row r="76" spans="1:10" ht="24">
      <c r="A76" s="2964">
        <v>73</v>
      </c>
      <c r="B76" s="2978" t="s">
        <v>3074</v>
      </c>
      <c r="C76" s="3028" t="s">
        <v>3551</v>
      </c>
      <c r="D76" s="2984">
        <v>60.59</v>
      </c>
      <c r="E76" s="2984">
        <v>41.87</v>
      </c>
      <c r="F76" s="2984">
        <v>3.77</v>
      </c>
      <c r="G76" s="2981">
        <v>18.72</v>
      </c>
      <c r="H76" s="2980" t="s">
        <v>1377</v>
      </c>
      <c r="I76" s="2978" t="s">
        <v>3131</v>
      </c>
      <c r="J76" s="2999"/>
    </row>
    <row r="77" spans="1:10" ht="24">
      <c r="A77" s="2964">
        <v>74</v>
      </c>
      <c r="B77" s="2978" t="s">
        <v>3075</v>
      </c>
      <c r="C77" s="3028" t="s">
        <v>3552</v>
      </c>
      <c r="D77" s="2984">
        <v>53.01</v>
      </c>
      <c r="E77" s="2984">
        <v>36.630000000000003</v>
      </c>
      <c r="F77" s="2984">
        <v>3.58</v>
      </c>
      <c r="G77" s="2981">
        <v>16.38</v>
      </c>
      <c r="H77" s="2980" t="s">
        <v>1377</v>
      </c>
      <c r="I77" s="2978" t="s">
        <v>3131</v>
      </c>
      <c r="J77" s="2999"/>
    </row>
    <row r="78" spans="1:10" ht="24">
      <c r="A78" s="2964">
        <v>75</v>
      </c>
      <c r="B78" s="2978" t="s">
        <v>3076</v>
      </c>
      <c r="C78" s="3028" t="s">
        <v>3553</v>
      </c>
      <c r="D78" s="2984">
        <v>52.95</v>
      </c>
      <c r="E78" s="2984">
        <v>36.590000000000003</v>
      </c>
      <c r="F78" s="2984">
        <v>3.49</v>
      </c>
      <c r="G78" s="2981">
        <v>16.36</v>
      </c>
      <c r="H78" s="2980" t="s">
        <v>1377</v>
      </c>
      <c r="I78" s="2978" t="s">
        <v>3131</v>
      </c>
      <c r="J78" s="2999"/>
    </row>
    <row r="79" spans="1:10" ht="24">
      <c r="A79" s="2964">
        <v>76</v>
      </c>
      <c r="B79" s="2978" t="s">
        <v>3077</v>
      </c>
      <c r="C79" s="3028" t="s">
        <v>3554</v>
      </c>
      <c r="D79" s="2984">
        <v>52.95</v>
      </c>
      <c r="E79" s="2984">
        <v>36.590000000000003</v>
      </c>
      <c r="F79" s="2984">
        <v>3.49</v>
      </c>
      <c r="G79" s="2981">
        <v>16.36</v>
      </c>
      <c r="H79" s="2980" t="s">
        <v>1377</v>
      </c>
      <c r="I79" s="2978" t="s">
        <v>3131</v>
      </c>
      <c r="J79" s="2999"/>
    </row>
    <row r="80" spans="1:10" ht="24">
      <c r="A80" s="2964">
        <v>77</v>
      </c>
      <c r="B80" s="2978" t="s">
        <v>3078</v>
      </c>
      <c r="C80" s="3028" t="s">
        <v>3555</v>
      </c>
      <c r="D80" s="2984">
        <v>52.92</v>
      </c>
      <c r="E80" s="2984">
        <v>36.57</v>
      </c>
      <c r="F80" s="2984">
        <v>3.49</v>
      </c>
      <c r="G80" s="2981">
        <v>16.350000000000001</v>
      </c>
      <c r="H80" s="2980" t="s">
        <v>1377</v>
      </c>
      <c r="I80" s="2978" t="s">
        <v>3131</v>
      </c>
      <c r="J80" s="2999"/>
    </row>
    <row r="81" spans="1:10" ht="24">
      <c r="A81" s="2964">
        <v>78</v>
      </c>
      <c r="B81" s="2978" t="s">
        <v>3079</v>
      </c>
      <c r="C81" s="3028" t="s">
        <v>3556</v>
      </c>
      <c r="D81" s="2984">
        <v>72.87</v>
      </c>
      <c r="E81" s="2984">
        <v>50.35</v>
      </c>
      <c r="F81" s="2984">
        <v>6.44</v>
      </c>
      <c r="G81" s="2981">
        <v>22.52</v>
      </c>
      <c r="H81" s="2980" t="s">
        <v>1377</v>
      </c>
      <c r="I81" s="2978" t="s">
        <v>3131</v>
      </c>
      <c r="J81" s="2999"/>
    </row>
    <row r="82" spans="1:10" ht="24">
      <c r="A82" s="2964">
        <v>79</v>
      </c>
      <c r="B82" s="2978" t="s">
        <v>3080</v>
      </c>
      <c r="C82" s="3028" t="s">
        <v>3557</v>
      </c>
      <c r="D82" s="2984">
        <v>72.239999999999995</v>
      </c>
      <c r="E82" s="2984">
        <v>49.92</v>
      </c>
      <c r="F82" s="2984">
        <v>6.65</v>
      </c>
      <c r="G82" s="2981">
        <v>22.32</v>
      </c>
      <c r="H82" s="2980" t="s">
        <v>1377</v>
      </c>
      <c r="I82" s="2978" t="s">
        <v>3131</v>
      </c>
      <c r="J82" s="2999"/>
    </row>
    <row r="83" spans="1:10" ht="24">
      <c r="A83" s="2964">
        <v>80</v>
      </c>
      <c r="B83" s="2978" t="s">
        <v>3081</v>
      </c>
      <c r="C83" s="3028" t="s">
        <v>3558</v>
      </c>
      <c r="D83" s="2984">
        <v>52.92</v>
      </c>
      <c r="E83" s="2984">
        <v>36.57</v>
      </c>
      <c r="F83" s="2984">
        <v>3.49</v>
      </c>
      <c r="G83" s="2981">
        <v>16.350000000000001</v>
      </c>
      <c r="H83" s="2980" t="s">
        <v>1377</v>
      </c>
      <c r="I83" s="2978" t="s">
        <v>3131</v>
      </c>
      <c r="J83" s="2999"/>
    </row>
    <row r="84" spans="1:10" ht="24">
      <c r="A84" s="2964">
        <v>81</v>
      </c>
      <c r="B84" s="2978" t="s">
        <v>3082</v>
      </c>
      <c r="C84" s="3028" t="s">
        <v>3559</v>
      </c>
      <c r="D84" s="2984">
        <v>52.95</v>
      </c>
      <c r="E84" s="2984">
        <v>36.590000000000003</v>
      </c>
      <c r="F84" s="2984">
        <v>3.49</v>
      </c>
      <c r="G84" s="2981">
        <v>16.36</v>
      </c>
      <c r="H84" s="2980" t="s">
        <v>1377</v>
      </c>
      <c r="I84" s="2978" t="s">
        <v>3131</v>
      </c>
      <c r="J84" s="2999"/>
    </row>
    <row r="85" spans="1:10" ht="24">
      <c r="A85" s="2964">
        <v>82</v>
      </c>
      <c r="B85" s="2978" t="s">
        <v>3083</v>
      </c>
      <c r="C85" s="3028" t="s">
        <v>3560</v>
      </c>
      <c r="D85" s="2984">
        <v>52.29</v>
      </c>
      <c r="E85" s="2984">
        <v>36.130000000000003</v>
      </c>
      <c r="F85" s="2984">
        <v>3.44</v>
      </c>
      <c r="G85" s="2981">
        <v>16.16</v>
      </c>
      <c r="H85" s="2980" t="s">
        <v>1377</v>
      </c>
      <c r="I85" s="2978" t="s">
        <v>3131</v>
      </c>
      <c r="J85" s="2999"/>
    </row>
    <row r="86" spans="1:10" ht="24">
      <c r="A86" s="2964">
        <v>83</v>
      </c>
      <c r="B86" s="2978" t="s">
        <v>3084</v>
      </c>
      <c r="C86" s="3028" t="s">
        <v>3561</v>
      </c>
      <c r="D86" s="2984">
        <v>64.63</v>
      </c>
      <c r="E86" s="2984">
        <v>44.66</v>
      </c>
      <c r="F86" s="2984">
        <v>3.62</v>
      </c>
      <c r="G86" s="2981">
        <v>19.97</v>
      </c>
      <c r="H86" s="2980" t="s">
        <v>1377</v>
      </c>
      <c r="I86" s="2978" t="s">
        <v>3131</v>
      </c>
      <c r="J86" s="2999"/>
    </row>
    <row r="87" spans="1:10" ht="24">
      <c r="A87" s="2964">
        <v>84</v>
      </c>
      <c r="B87" s="2978" t="s">
        <v>3085</v>
      </c>
      <c r="C87" s="3028" t="s">
        <v>3562</v>
      </c>
      <c r="D87" s="2984">
        <v>51.1</v>
      </c>
      <c r="E87" s="2984">
        <v>35.15</v>
      </c>
      <c r="F87" s="2984">
        <v>3.04</v>
      </c>
      <c r="G87" s="2981">
        <v>15.95</v>
      </c>
      <c r="H87" s="2980" t="s">
        <v>1377</v>
      </c>
      <c r="I87" s="2978" t="s">
        <v>3131</v>
      </c>
      <c r="J87" s="2999"/>
    </row>
    <row r="88" spans="1:10" ht="24">
      <c r="A88" s="2964">
        <v>85</v>
      </c>
      <c r="B88" s="2978" t="s">
        <v>3086</v>
      </c>
      <c r="C88" s="3028" t="s">
        <v>3563</v>
      </c>
      <c r="D88" s="2984">
        <v>52.87</v>
      </c>
      <c r="E88" s="2984">
        <v>36.369999999999997</v>
      </c>
      <c r="F88" s="2984">
        <v>3.04</v>
      </c>
      <c r="G88" s="2981">
        <v>16.5</v>
      </c>
      <c r="H88" s="2980" t="s">
        <v>1377</v>
      </c>
      <c r="I88" s="2978" t="s">
        <v>3131</v>
      </c>
      <c r="J88" s="2999"/>
    </row>
    <row r="89" spans="1:10" ht="24">
      <c r="A89" s="2964">
        <v>86</v>
      </c>
      <c r="B89" s="2978" t="s">
        <v>3087</v>
      </c>
      <c r="C89" s="3029" t="s">
        <v>3564</v>
      </c>
      <c r="D89" s="2984">
        <v>52.86</v>
      </c>
      <c r="E89" s="2984">
        <v>36.36</v>
      </c>
      <c r="F89" s="2984">
        <v>3.04</v>
      </c>
      <c r="G89" s="2981">
        <v>16.5</v>
      </c>
      <c r="H89" s="2980" t="s">
        <v>1377</v>
      </c>
      <c r="I89" s="2978" t="s">
        <v>3131</v>
      </c>
      <c r="J89" s="2999"/>
    </row>
    <row r="90" spans="1:10" ht="24">
      <c r="A90" s="2964">
        <v>87</v>
      </c>
      <c r="B90" s="2978" t="s">
        <v>3088</v>
      </c>
      <c r="C90" s="3028" t="s">
        <v>3565</v>
      </c>
      <c r="D90" s="2984">
        <v>52.87</v>
      </c>
      <c r="E90" s="2984">
        <v>36.369999999999997</v>
      </c>
      <c r="F90" s="2984">
        <v>3.04</v>
      </c>
      <c r="G90" s="2981">
        <v>16.5</v>
      </c>
      <c r="H90" s="2980" t="s">
        <v>1377</v>
      </c>
      <c r="I90" s="2978" t="s">
        <v>3131</v>
      </c>
      <c r="J90" s="2999"/>
    </row>
    <row r="91" spans="1:10" ht="24">
      <c r="A91" s="2964">
        <v>88</v>
      </c>
      <c r="B91" s="2978" t="s">
        <v>3089</v>
      </c>
      <c r="C91" s="3028" t="s">
        <v>3566</v>
      </c>
      <c r="D91" s="2984">
        <v>71.400000000000006</v>
      </c>
      <c r="E91" s="2984">
        <v>49.11</v>
      </c>
      <c r="F91" s="2984">
        <v>3.07</v>
      </c>
      <c r="G91" s="2981">
        <v>22.29</v>
      </c>
      <c r="H91" s="2980" t="s">
        <v>1377</v>
      </c>
      <c r="I91" s="2978" t="s">
        <v>3131</v>
      </c>
      <c r="J91" s="2999"/>
    </row>
    <row r="92" spans="1:10" ht="24">
      <c r="A92" s="2964">
        <v>89</v>
      </c>
      <c r="B92" s="2978" t="s">
        <v>3090</v>
      </c>
      <c r="C92" s="3028" t="s">
        <v>3567</v>
      </c>
      <c r="D92" s="2984">
        <v>71.819999999999993</v>
      </c>
      <c r="E92" s="2984">
        <v>49.4</v>
      </c>
      <c r="F92" s="2984">
        <v>3.36</v>
      </c>
      <c r="G92" s="2981">
        <v>22.42</v>
      </c>
      <c r="H92" s="2980" t="s">
        <v>1377</v>
      </c>
      <c r="I92" s="2978" t="s">
        <v>3131</v>
      </c>
      <c r="J92" s="2999"/>
    </row>
    <row r="93" spans="1:10" ht="24">
      <c r="A93" s="2964">
        <v>90</v>
      </c>
      <c r="B93" s="2978" t="s">
        <v>3091</v>
      </c>
      <c r="C93" s="3028" t="s">
        <v>3568</v>
      </c>
      <c r="D93" s="2984">
        <v>52.47</v>
      </c>
      <c r="E93" s="2984">
        <v>36.090000000000003</v>
      </c>
      <c r="F93" s="2984">
        <v>3.04</v>
      </c>
      <c r="G93" s="2981">
        <v>16.38</v>
      </c>
      <c r="H93" s="2980" t="s">
        <v>1377</v>
      </c>
      <c r="I93" s="2978" t="s">
        <v>3131</v>
      </c>
      <c r="J93" s="2999"/>
    </row>
    <row r="94" spans="1:10" ht="24">
      <c r="A94" s="2964">
        <v>91</v>
      </c>
      <c r="B94" s="2978" t="s">
        <v>3092</v>
      </c>
      <c r="C94" s="3028" t="s">
        <v>3569</v>
      </c>
      <c r="D94" s="2984">
        <v>53.33</v>
      </c>
      <c r="E94" s="2984">
        <v>36.68</v>
      </c>
      <c r="F94" s="2984">
        <v>3.58</v>
      </c>
      <c r="G94" s="2981">
        <v>16.649999999999999</v>
      </c>
      <c r="H94" s="2980" t="s">
        <v>1377</v>
      </c>
      <c r="I94" s="2978" t="s">
        <v>3131</v>
      </c>
      <c r="J94" s="2999"/>
    </row>
    <row r="95" spans="1:10" ht="24">
      <c r="A95" s="2964">
        <v>92</v>
      </c>
      <c r="B95" s="2978" t="s">
        <v>3093</v>
      </c>
      <c r="C95" s="3028" t="s">
        <v>3570</v>
      </c>
      <c r="D95" s="2984">
        <v>61.47</v>
      </c>
      <c r="E95" s="2984">
        <v>42.28</v>
      </c>
      <c r="F95" s="2984">
        <v>3.73</v>
      </c>
      <c r="G95" s="2981">
        <v>19.190000000000001</v>
      </c>
      <c r="H95" s="2980" t="s">
        <v>1377</v>
      </c>
      <c r="I95" s="2978" t="s">
        <v>3131</v>
      </c>
      <c r="J95" s="2999"/>
    </row>
    <row r="96" spans="1:10" ht="24">
      <c r="A96" s="2964">
        <v>93</v>
      </c>
      <c r="B96" s="2978" t="s">
        <v>3094</v>
      </c>
      <c r="C96" s="3028" t="s">
        <v>3571</v>
      </c>
      <c r="D96" s="2984">
        <v>66.06</v>
      </c>
      <c r="E96" s="2984">
        <v>45.44</v>
      </c>
      <c r="F96" s="2984">
        <v>3</v>
      </c>
      <c r="G96" s="2981">
        <v>20.62</v>
      </c>
      <c r="H96" s="2980" t="s">
        <v>1377</v>
      </c>
      <c r="I96" s="2978" t="s">
        <v>3131</v>
      </c>
      <c r="J96" s="2999"/>
    </row>
    <row r="97" spans="1:10" ht="24">
      <c r="A97" s="2964">
        <v>94</v>
      </c>
      <c r="B97" s="2978" t="s">
        <v>3095</v>
      </c>
      <c r="C97" s="3028" t="s">
        <v>3572</v>
      </c>
      <c r="D97" s="2984">
        <v>60.87</v>
      </c>
      <c r="E97" s="2984">
        <v>41.87</v>
      </c>
      <c r="F97" s="2984">
        <v>3.77</v>
      </c>
      <c r="G97" s="2981">
        <v>19</v>
      </c>
      <c r="H97" s="2980" t="s">
        <v>1377</v>
      </c>
      <c r="I97" s="2978" t="s">
        <v>3131</v>
      </c>
      <c r="J97" s="2999"/>
    </row>
    <row r="98" spans="1:10" ht="24">
      <c r="A98" s="2964">
        <v>95</v>
      </c>
      <c r="B98" s="2978" t="s">
        <v>3096</v>
      </c>
      <c r="C98" s="3028" t="s">
        <v>3573</v>
      </c>
      <c r="D98" s="2984">
        <v>53.25</v>
      </c>
      <c r="E98" s="2984">
        <v>36.630000000000003</v>
      </c>
      <c r="F98" s="2984">
        <v>3.58</v>
      </c>
      <c r="G98" s="2981">
        <v>16.62</v>
      </c>
      <c r="H98" s="2980" t="s">
        <v>1377</v>
      </c>
      <c r="I98" s="2978" t="s">
        <v>3131</v>
      </c>
      <c r="J98" s="2999"/>
    </row>
    <row r="99" spans="1:10" ht="24">
      <c r="A99" s="2964">
        <v>96</v>
      </c>
      <c r="B99" s="2978" t="s">
        <v>3097</v>
      </c>
      <c r="C99" s="3028" t="s">
        <v>3574</v>
      </c>
      <c r="D99" s="2984">
        <v>53.19</v>
      </c>
      <c r="E99" s="2984">
        <v>36.590000000000003</v>
      </c>
      <c r="F99" s="2984">
        <v>3.49</v>
      </c>
      <c r="G99" s="2981">
        <v>16.600000000000001</v>
      </c>
      <c r="H99" s="2980" t="s">
        <v>1377</v>
      </c>
      <c r="I99" s="2978" t="s">
        <v>3131</v>
      </c>
      <c r="J99" s="2999"/>
    </row>
    <row r="100" spans="1:10" ht="24">
      <c r="A100" s="2964">
        <v>97</v>
      </c>
      <c r="B100" s="2978" t="s">
        <v>3098</v>
      </c>
      <c r="C100" s="3028" t="s">
        <v>3575</v>
      </c>
      <c r="D100" s="2984">
        <v>53.19</v>
      </c>
      <c r="E100" s="2984">
        <v>36.590000000000003</v>
      </c>
      <c r="F100" s="2984">
        <v>3.49</v>
      </c>
      <c r="G100" s="2981">
        <v>16.600000000000001</v>
      </c>
      <c r="H100" s="2980" t="s">
        <v>1377</v>
      </c>
      <c r="I100" s="2978" t="s">
        <v>3131</v>
      </c>
      <c r="J100" s="2999"/>
    </row>
    <row r="101" spans="1:10" ht="24">
      <c r="A101" s="2964">
        <v>98</v>
      </c>
      <c r="B101" s="2978" t="s">
        <v>3099</v>
      </c>
      <c r="C101" s="3028" t="s">
        <v>3518</v>
      </c>
      <c r="D101" s="2984">
        <v>53.17</v>
      </c>
      <c r="E101" s="2984">
        <v>36.57</v>
      </c>
      <c r="F101" s="2984">
        <v>3.49</v>
      </c>
      <c r="G101" s="2981">
        <v>16.600000000000001</v>
      </c>
      <c r="H101" s="2980" t="s">
        <v>1377</v>
      </c>
      <c r="I101" s="2978" t="s">
        <v>3131</v>
      </c>
      <c r="J101" s="2999"/>
    </row>
    <row r="102" spans="1:10" ht="24">
      <c r="A102" s="2964">
        <v>99</v>
      </c>
      <c r="B102" s="2978" t="s">
        <v>3100</v>
      </c>
      <c r="C102" s="3028" t="s">
        <v>3576</v>
      </c>
      <c r="D102" s="2984">
        <v>73.2</v>
      </c>
      <c r="E102" s="2984">
        <v>50.35</v>
      </c>
      <c r="F102" s="2984">
        <v>6.44</v>
      </c>
      <c r="G102" s="2981">
        <v>22.85</v>
      </c>
      <c r="H102" s="2980" t="s">
        <v>1377</v>
      </c>
      <c r="I102" s="2978" t="s">
        <v>3131</v>
      </c>
      <c r="J102" s="2999"/>
    </row>
    <row r="103" spans="1:10" ht="24">
      <c r="A103" s="2964">
        <v>100</v>
      </c>
      <c r="B103" s="2978" t="s">
        <v>3101</v>
      </c>
      <c r="C103" s="3028" t="s">
        <v>3577</v>
      </c>
      <c r="D103" s="2984">
        <v>72.569999999999993</v>
      </c>
      <c r="E103" s="2984">
        <v>49.92</v>
      </c>
      <c r="F103" s="2984">
        <v>6.65</v>
      </c>
      <c r="G103" s="2981">
        <v>22.65</v>
      </c>
      <c r="H103" s="2980" t="s">
        <v>1377</v>
      </c>
      <c r="I103" s="2978" t="s">
        <v>3131</v>
      </c>
      <c r="J103" s="2999"/>
    </row>
    <row r="104" spans="1:10" ht="24">
      <c r="A104" s="2964">
        <v>101</v>
      </c>
      <c r="B104" s="2978" t="s">
        <v>3102</v>
      </c>
      <c r="C104" s="3028" t="s">
        <v>3578</v>
      </c>
      <c r="D104" s="2984">
        <v>53.17</v>
      </c>
      <c r="E104" s="2984">
        <v>36.57</v>
      </c>
      <c r="F104" s="2984">
        <v>3.49</v>
      </c>
      <c r="G104" s="2981">
        <v>16.600000000000001</v>
      </c>
      <c r="H104" s="2980" t="s">
        <v>1377</v>
      </c>
      <c r="I104" s="2978" t="s">
        <v>3131</v>
      </c>
      <c r="J104" s="2999"/>
    </row>
    <row r="105" spans="1:10" ht="24">
      <c r="A105" s="2964">
        <v>102</v>
      </c>
      <c r="B105" s="2978" t="s">
        <v>3103</v>
      </c>
      <c r="C105" s="3028" t="s">
        <v>3579</v>
      </c>
      <c r="D105" s="2984">
        <v>53.19</v>
      </c>
      <c r="E105" s="2984">
        <v>36.590000000000003</v>
      </c>
      <c r="F105" s="2984">
        <v>3.49</v>
      </c>
      <c r="G105" s="2981">
        <v>16.600000000000001</v>
      </c>
      <c r="H105" s="2980" t="s">
        <v>1377</v>
      </c>
      <c r="I105" s="2978" t="s">
        <v>3131</v>
      </c>
      <c r="J105" s="2999"/>
    </row>
    <row r="106" spans="1:10" ht="24">
      <c r="A106" s="2964">
        <v>103</v>
      </c>
      <c r="B106" s="2978" t="s">
        <v>3104</v>
      </c>
      <c r="C106" s="3028" t="s">
        <v>3580</v>
      </c>
      <c r="D106" s="2984">
        <v>52.53</v>
      </c>
      <c r="E106" s="2984">
        <v>36.130000000000003</v>
      </c>
      <c r="F106" s="2984">
        <v>3.44</v>
      </c>
      <c r="G106" s="2981">
        <v>16.399999999999999</v>
      </c>
      <c r="H106" s="2980" t="s">
        <v>1377</v>
      </c>
      <c r="I106" s="2978" t="s">
        <v>3131</v>
      </c>
      <c r="J106" s="2999"/>
    </row>
    <row r="107" spans="1:10" ht="24">
      <c r="A107" s="2964">
        <v>104</v>
      </c>
      <c r="B107" s="2978" t="s">
        <v>3105</v>
      </c>
      <c r="C107" s="3028" t="s">
        <v>3581</v>
      </c>
      <c r="D107" s="2984">
        <v>64.930000000000007</v>
      </c>
      <c r="E107" s="2984">
        <v>44.66</v>
      </c>
      <c r="F107" s="2984">
        <v>3.62</v>
      </c>
      <c r="G107" s="2981">
        <v>20.27</v>
      </c>
      <c r="H107" s="2980" t="s">
        <v>1377</v>
      </c>
      <c r="I107" s="2978" t="s">
        <v>3131</v>
      </c>
      <c r="J107" s="2999"/>
    </row>
    <row r="108" spans="1:10" ht="24">
      <c r="A108" s="2964">
        <v>105</v>
      </c>
      <c r="B108" s="2978" t="s">
        <v>3173</v>
      </c>
      <c r="C108" s="3028" t="s">
        <v>3582</v>
      </c>
      <c r="D108" s="2984">
        <v>51.1</v>
      </c>
      <c r="E108" s="2984">
        <v>35.15</v>
      </c>
      <c r="F108" s="2984">
        <v>3.04</v>
      </c>
      <c r="G108" s="2981">
        <v>15.95</v>
      </c>
      <c r="H108" s="2980" t="s">
        <v>1377</v>
      </c>
      <c r="I108" s="2978" t="s">
        <v>3131</v>
      </c>
      <c r="J108" s="2999"/>
    </row>
    <row r="109" spans="1:10" ht="24">
      <c r="A109" s="2964">
        <v>106</v>
      </c>
      <c r="B109" s="2978" t="s">
        <v>3174</v>
      </c>
      <c r="C109" s="3028" t="s">
        <v>3583</v>
      </c>
      <c r="D109" s="2984">
        <v>52.87</v>
      </c>
      <c r="E109" s="2984">
        <v>36.369999999999997</v>
      </c>
      <c r="F109" s="2984">
        <v>3.04</v>
      </c>
      <c r="G109" s="2981">
        <v>16.5</v>
      </c>
      <c r="H109" s="2980" t="s">
        <v>1377</v>
      </c>
      <c r="I109" s="2978" t="s">
        <v>3131</v>
      </c>
      <c r="J109" s="2999"/>
    </row>
    <row r="110" spans="1:10" ht="24">
      <c r="A110" s="2964">
        <v>107</v>
      </c>
      <c r="B110" s="2978" t="s">
        <v>3175</v>
      </c>
      <c r="C110" s="3028" t="s">
        <v>3584</v>
      </c>
      <c r="D110" s="2984">
        <v>52.86</v>
      </c>
      <c r="E110" s="2984">
        <v>36.36</v>
      </c>
      <c r="F110" s="2984">
        <v>3.04</v>
      </c>
      <c r="G110" s="2981">
        <v>16.5</v>
      </c>
      <c r="H110" s="2980" t="s">
        <v>1377</v>
      </c>
      <c r="I110" s="2978" t="s">
        <v>3131</v>
      </c>
      <c r="J110" s="2999"/>
    </row>
    <row r="111" spans="1:10" ht="24">
      <c r="A111" s="2964">
        <v>108</v>
      </c>
      <c r="B111" s="2978" t="s">
        <v>3176</v>
      </c>
      <c r="C111" s="3028" t="s">
        <v>3585</v>
      </c>
      <c r="D111" s="2984">
        <v>52.87</v>
      </c>
      <c r="E111" s="2984">
        <v>36.369999999999997</v>
      </c>
      <c r="F111" s="2984">
        <v>3.04</v>
      </c>
      <c r="G111" s="2981">
        <v>16.5</v>
      </c>
      <c r="H111" s="2980" t="s">
        <v>1377</v>
      </c>
      <c r="I111" s="2978" t="s">
        <v>3131</v>
      </c>
      <c r="J111" s="2999"/>
    </row>
    <row r="112" spans="1:10" ht="24">
      <c r="A112" s="2964">
        <v>109</v>
      </c>
      <c r="B112" s="2978" t="s">
        <v>3177</v>
      </c>
      <c r="C112" s="3028" t="s">
        <v>3586</v>
      </c>
      <c r="D112" s="2984">
        <v>71.400000000000006</v>
      </c>
      <c r="E112" s="2984">
        <v>49.11</v>
      </c>
      <c r="F112" s="2984">
        <v>3.07</v>
      </c>
      <c r="G112" s="2981">
        <v>22.29</v>
      </c>
      <c r="H112" s="2980" t="s">
        <v>1377</v>
      </c>
      <c r="I112" s="2978" t="s">
        <v>3131</v>
      </c>
      <c r="J112" s="2999"/>
    </row>
    <row r="113" spans="1:10" ht="24">
      <c r="A113" s="2964">
        <v>110</v>
      </c>
      <c r="B113" s="2978" t="s">
        <v>3178</v>
      </c>
      <c r="C113" s="3028" t="s">
        <v>3587</v>
      </c>
      <c r="D113" s="2984">
        <v>71.819999999999993</v>
      </c>
      <c r="E113" s="2984">
        <v>49.4</v>
      </c>
      <c r="F113" s="2984">
        <v>3.36</v>
      </c>
      <c r="G113" s="2981">
        <v>22.42</v>
      </c>
      <c r="H113" s="2980" t="s">
        <v>1377</v>
      </c>
      <c r="I113" s="2978" t="s">
        <v>3131</v>
      </c>
      <c r="J113" s="2999"/>
    </row>
    <row r="114" spans="1:10" ht="24">
      <c r="A114" s="2964">
        <v>111</v>
      </c>
      <c r="B114" s="2978" t="s">
        <v>3179</v>
      </c>
      <c r="C114" s="3028" t="s">
        <v>3588</v>
      </c>
      <c r="D114" s="2984">
        <v>52.47</v>
      </c>
      <c r="E114" s="2984">
        <v>36.090000000000003</v>
      </c>
      <c r="F114" s="2984">
        <v>3.04</v>
      </c>
      <c r="G114" s="2981">
        <v>16.38</v>
      </c>
      <c r="H114" s="2980" t="s">
        <v>1377</v>
      </c>
      <c r="I114" s="2978" t="s">
        <v>3131</v>
      </c>
      <c r="J114" s="2999"/>
    </row>
    <row r="115" spans="1:10" ht="24">
      <c r="A115" s="2964">
        <v>112</v>
      </c>
      <c r="B115" s="2978" t="s">
        <v>3180</v>
      </c>
      <c r="C115" s="3028" t="s">
        <v>3589</v>
      </c>
      <c r="D115" s="2984">
        <v>53.33</v>
      </c>
      <c r="E115" s="2984">
        <v>36.68</v>
      </c>
      <c r="F115" s="2984">
        <v>3.58</v>
      </c>
      <c r="G115" s="2981">
        <v>16.649999999999999</v>
      </c>
      <c r="H115" s="2980" t="s">
        <v>1377</v>
      </c>
      <c r="I115" s="2978" t="s">
        <v>3131</v>
      </c>
      <c r="J115" s="2999"/>
    </row>
    <row r="116" spans="1:10" ht="24">
      <c r="A116" s="2964">
        <v>113</v>
      </c>
      <c r="B116" s="2978" t="s">
        <v>3181</v>
      </c>
      <c r="C116" s="3028" t="s">
        <v>3590</v>
      </c>
      <c r="D116" s="2984">
        <v>61.47</v>
      </c>
      <c r="E116" s="2984">
        <v>42.28</v>
      </c>
      <c r="F116" s="2984">
        <v>3.73</v>
      </c>
      <c r="G116" s="2981">
        <v>19.190000000000001</v>
      </c>
      <c r="H116" s="2980" t="s">
        <v>1377</v>
      </c>
      <c r="I116" s="2978" t="s">
        <v>3131</v>
      </c>
      <c r="J116" s="2999"/>
    </row>
    <row r="117" spans="1:10" ht="24">
      <c r="A117" s="2964">
        <v>114</v>
      </c>
      <c r="B117" s="2978" t="s">
        <v>3182</v>
      </c>
      <c r="C117" s="3028" t="s">
        <v>3591</v>
      </c>
      <c r="D117" s="2984">
        <v>66.06</v>
      </c>
      <c r="E117" s="2984">
        <v>45.44</v>
      </c>
      <c r="F117" s="2984">
        <v>3</v>
      </c>
      <c r="G117" s="2981">
        <v>20.62</v>
      </c>
      <c r="H117" s="2980" t="s">
        <v>1377</v>
      </c>
      <c r="I117" s="2978" t="s">
        <v>3131</v>
      </c>
      <c r="J117" s="2999"/>
    </row>
    <row r="118" spans="1:10" ht="24">
      <c r="A118" s="2964">
        <v>115</v>
      </c>
      <c r="B118" s="2978" t="s">
        <v>3183</v>
      </c>
      <c r="C118" s="3028" t="s">
        <v>3592</v>
      </c>
      <c r="D118" s="2984">
        <v>60.87</v>
      </c>
      <c r="E118" s="2984">
        <v>41.87</v>
      </c>
      <c r="F118" s="2984">
        <v>3.77</v>
      </c>
      <c r="G118" s="2981">
        <v>19</v>
      </c>
      <c r="H118" s="2980" t="s">
        <v>1377</v>
      </c>
      <c r="I118" s="2978" t="s">
        <v>3131</v>
      </c>
      <c r="J118" s="2999"/>
    </row>
    <row r="119" spans="1:10" ht="24">
      <c r="A119" s="2964">
        <v>116</v>
      </c>
      <c r="B119" s="2978" t="s">
        <v>3184</v>
      </c>
      <c r="C119" s="3028" t="s">
        <v>3593</v>
      </c>
      <c r="D119" s="2984">
        <v>53.25</v>
      </c>
      <c r="E119" s="2984">
        <v>36.630000000000003</v>
      </c>
      <c r="F119" s="2984">
        <v>3.58</v>
      </c>
      <c r="G119" s="2981">
        <v>16.62</v>
      </c>
      <c r="H119" s="2980" t="s">
        <v>1377</v>
      </c>
      <c r="I119" s="2978" t="s">
        <v>3131</v>
      </c>
      <c r="J119" s="2999"/>
    </row>
    <row r="120" spans="1:10" ht="24">
      <c r="A120" s="2964">
        <v>117</v>
      </c>
      <c r="B120" s="2978" t="s">
        <v>3185</v>
      </c>
      <c r="C120" s="3028" t="s">
        <v>3594</v>
      </c>
      <c r="D120" s="2984">
        <v>53.19</v>
      </c>
      <c r="E120" s="2984">
        <v>36.590000000000003</v>
      </c>
      <c r="F120" s="2984">
        <v>3.49</v>
      </c>
      <c r="G120" s="2981">
        <v>16.600000000000001</v>
      </c>
      <c r="H120" s="2980" t="s">
        <v>1377</v>
      </c>
      <c r="I120" s="2978" t="s">
        <v>3131</v>
      </c>
      <c r="J120" s="2999"/>
    </row>
    <row r="121" spans="1:10" ht="24">
      <c r="A121" s="2964">
        <v>118</v>
      </c>
      <c r="B121" s="2978" t="s">
        <v>3186</v>
      </c>
      <c r="C121" s="3028" t="s">
        <v>3595</v>
      </c>
      <c r="D121" s="2984">
        <v>53.19</v>
      </c>
      <c r="E121" s="2984">
        <v>36.590000000000003</v>
      </c>
      <c r="F121" s="2984">
        <v>3.49</v>
      </c>
      <c r="G121" s="2981">
        <v>16.600000000000001</v>
      </c>
      <c r="H121" s="2980" t="s">
        <v>1377</v>
      </c>
      <c r="I121" s="2978" t="s">
        <v>3131</v>
      </c>
      <c r="J121" s="2999"/>
    </row>
    <row r="122" spans="1:10" ht="24">
      <c r="A122" s="2964">
        <v>119</v>
      </c>
      <c r="B122" s="2978" t="s">
        <v>3187</v>
      </c>
      <c r="C122" s="3028" t="s">
        <v>3596</v>
      </c>
      <c r="D122" s="2984">
        <v>53.17</v>
      </c>
      <c r="E122" s="2984">
        <v>36.57</v>
      </c>
      <c r="F122" s="2984">
        <v>3.49</v>
      </c>
      <c r="G122" s="2981">
        <v>16.600000000000001</v>
      </c>
      <c r="H122" s="2980" t="s">
        <v>1377</v>
      </c>
      <c r="I122" s="2978" t="s">
        <v>3131</v>
      </c>
      <c r="J122" s="2999"/>
    </row>
    <row r="123" spans="1:10" ht="24">
      <c r="A123" s="2964">
        <v>120</v>
      </c>
      <c r="B123" s="2978" t="s">
        <v>3188</v>
      </c>
      <c r="C123" s="3028" t="s">
        <v>3597</v>
      </c>
      <c r="D123" s="2984">
        <v>73.2</v>
      </c>
      <c r="E123" s="2984">
        <v>50.35</v>
      </c>
      <c r="F123" s="2984">
        <v>6.44</v>
      </c>
      <c r="G123" s="2981">
        <v>22.85</v>
      </c>
      <c r="H123" s="2980" t="s">
        <v>1377</v>
      </c>
      <c r="I123" s="2978" t="s">
        <v>3131</v>
      </c>
      <c r="J123" s="2999"/>
    </row>
    <row r="124" spans="1:10" ht="24">
      <c r="A124" s="2964">
        <v>121</v>
      </c>
      <c r="B124" s="2978" t="s">
        <v>3189</v>
      </c>
      <c r="C124" s="3028" t="s">
        <v>3598</v>
      </c>
      <c r="D124" s="2984">
        <v>72.569999999999993</v>
      </c>
      <c r="E124" s="2984">
        <v>49.92</v>
      </c>
      <c r="F124" s="2984">
        <v>6.65</v>
      </c>
      <c r="G124" s="2981">
        <v>22.65</v>
      </c>
      <c r="H124" s="2980" t="s">
        <v>1377</v>
      </c>
      <c r="I124" s="2978" t="s">
        <v>3131</v>
      </c>
      <c r="J124" s="2999"/>
    </row>
    <row r="125" spans="1:10" ht="24">
      <c r="A125" s="2964">
        <v>122</v>
      </c>
      <c r="B125" s="2978" t="s">
        <v>3190</v>
      </c>
      <c r="C125" s="3028" t="s">
        <v>3599</v>
      </c>
      <c r="D125" s="2984">
        <v>53.17</v>
      </c>
      <c r="E125" s="2984">
        <v>36.57</v>
      </c>
      <c r="F125" s="2984">
        <v>3.49</v>
      </c>
      <c r="G125" s="2981">
        <v>16.600000000000001</v>
      </c>
      <c r="H125" s="2980" t="s">
        <v>1377</v>
      </c>
      <c r="I125" s="2978" t="s">
        <v>3131</v>
      </c>
      <c r="J125" s="2999"/>
    </row>
    <row r="126" spans="1:10" ht="24">
      <c r="A126" s="2964">
        <v>123</v>
      </c>
      <c r="B126" s="2978" t="s">
        <v>3191</v>
      </c>
      <c r="C126" s="3028" t="s">
        <v>3600</v>
      </c>
      <c r="D126" s="2984">
        <v>53.19</v>
      </c>
      <c r="E126" s="2984">
        <v>36.590000000000003</v>
      </c>
      <c r="F126" s="2984">
        <v>3.49</v>
      </c>
      <c r="G126" s="2981">
        <v>16.600000000000001</v>
      </c>
      <c r="H126" s="2980" t="s">
        <v>1377</v>
      </c>
      <c r="I126" s="2978" t="s">
        <v>3131</v>
      </c>
      <c r="J126" s="2999"/>
    </row>
    <row r="127" spans="1:10" ht="24">
      <c r="A127" s="2964">
        <v>124</v>
      </c>
      <c r="B127" s="2978" t="s">
        <v>3192</v>
      </c>
      <c r="C127" s="3028" t="s">
        <v>3601</v>
      </c>
      <c r="D127" s="2984">
        <v>52.53</v>
      </c>
      <c r="E127" s="2984">
        <v>36.130000000000003</v>
      </c>
      <c r="F127" s="2984">
        <v>3.44</v>
      </c>
      <c r="G127" s="2981">
        <v>16.399999999999999</v>
      </c>
      <c r="H127" s="2980" t="s">
        <v>1377</v>
      </c>
      <c r="I127" s="2978" t="s">
        <v>3131</v>
      </c>
      <c r="J127" s="2999"/>
    </row>
    <row r="128" spans="1:10" ht="24">
      <c r="A128" s="2964">
        <v>125</v>
      </c>
      <c r="B128" s="2978" t="s">
        <v>3193</v>
      </c>
      <c r="C128" s="3028" t="s">
        <v>3602</v>
      </c>
      <c r="D128" s="2984">
        <v>64.930000000000007</v>
      </c>
      <c r="E128" s="2984">
        <v>44.66</v>
      </c>
      <c r="F128" s="2984">
        <v>3.62</v>
      </c>
      <c r="G128" s="2981">
        <v>20.27</v>
      </c>
      <c r="H128" s="2980" t="s">
        <v>1377</v>
      </c>
      <c r="I128" s="2978" t="s">
        <v>3131</v>
      </c>
      <c r="J128" s="2999"/>
    </row>
    <row r="129" spans="1:10" ht="24">
      <c r="A129" s="2964">
        <v>126</v>
      </c>
      <c r="B129" s="2978" t="s">
        <v>3194</v>
      </c>
      <c r="C129" s="3028" t="s">
        <v>3603</v>
      </c>
      <c r="D129" s="2984">
        <v>51.1</v>
      </c>
      <c r="E129" s="2984">
        <v>35.15</v>
      </c>
      <c r="F129" s="2984">
        <v>3.04</v>
      </c>
      <c r="G129" s="2981">
        <v>15.95</v>
      </c>
      <c r="H129" s="2980" t="s">
        <v>1377</v>
      </c>
      <c r="I129" s="2978" t="s">
        <v>3131</v>
      </c>
      <c r="J129" s="2999"/>
    </row>
    <row r="130" spans="1:10" ht="24">
      <c r="A130" s="2964">
        <v>127</v>
      </c>
      <c r="B130" s="2978" t="s">
        <v>3195</v>
      </c>
      <c r="C130" s="3028" t="s">
        <v>3604</v>
      </c>
      <c r="D130" s="2984">
        <v>52.87</v>
      </c>
      <c r="E130" s="2984">
        <v>36.369999999999997</v>
      </c>
      <c r="F130" s="2984">
        <v>3.04</v>
      </c>
      <c r="G130" s="2981">
        <v>16.5</v>
      </c>
      <c r="H130" s="2980" t="s">
        <v>1377</v>
      </c>
      <c r="I130" s="2978" t="s">
        <v>3131</v>
      </c>
      <c r="J130" s="2999"/>
    </row>
    <row r="131" spans="1:10" ht="24">
      <c r="A131" s="2964">
        <v>128</v>
      </c>
      <c r="B131" s="2978" t="s">
        <v>3196</v>
      </c>
      <c r="C131" s="3028" t="s">
        <v>3605</v>
      </c>
      <c r="D131" s="2984">
        <v>52.86</v>
      </c>
      <c r="E131" s="2984">
        <v>36.36</v>
      </c>
      <c r="F131" s="2984">
        <v>3.04</v>
      </c>
      <c r="G131" s="2981">
        <v>16.5</v>
      </c>
      <c r="H131" s="2980" t="s">
        <v>1377</v>
      </c>
      <c r="I131" s="2978" t="s">
        <v>3131</v>
      </c>
      <c r="J131" s="2999"/>
    </row>
    <row r="132" spans="1:10" ht="24">
      <c r="A132" s="2964">
        <v>129</v>
      </c>
      <c r="B132" s="2978" t="s">
        <v>3197</v>
      </c>
      <c r="C132" s="3028" t="s">
        <v>3606</v>
      </c>
      <c r="D132" s="2984">
        <v>52.87</v>
      </c>
      <c r="E132" s="2984">
        <v>36.369999999999997</v>
      </c>
      <c r="F132" s="2984">
        <v>3.04</v>
      </c>
      <c r="G132" s="2981">
        <v>16.5</v>
      </c>
      <c r="H132" s="2980" t="s">
        <v>1377</v>
      </c>
      <c r="I132" s="2978" t="s">
        <v>3131</v>
      </c>
      <c r="J132" s="2999"/>
    </row>
    <row r="133" spans="1:10" ht="24">
      <c r="A133" s="2964">
        <v>130</v>
      </c>
      <c r="B133" s="2978" t="s">
        <v>3198</v>
      </c>
      <c r="C133" s="3028" t="s">
        <v>3607</v>
      </c>
      <c r="D133" s="2984">
        <v>71.400000000000006</v>
      </c>
      <c r="E133" s="2984">
        <v>49.11</v>
      </c>
      <c r="F133" s="2984">
        <v>3.07</v>
      </c>
      <c r="G133" s="2981">
        <v>22.29</v>
      </c>
      <c r="H133" s="2980" t="s">
        <v>1377</v>
      </c>
      <c r="I133" s="2978" t="s">
        <v>3131</v>
      </c>
      <c r="J133" s="2999"/>
    </row>
    <row r="134" spans="1:10" ht="24">
      <c r="A134" s="2964">
        <v>131</v>
      </c>
      <c r="B134" s="2978" t="s">
        <v>3199</v>
      </c>
      <c r="C134" s="3028" t="s">
        <v>3608</v>
      </c>
      <c r="D134" s="2984">
        <v>71.819999999999993</v>
      </c>
      <c r="E134" s="2984">
        <v>49.4</v>
      </c>
      <c r="F134" s="2984">
        <v>3.36</v>
      </c>
      <c r="G134" s="2981">
        <v>22.42</v>
      </c>
      <c r="H134" s="2980" t="s">
        <v>1377</v>
      </c>
      <c r="I134" s="2978" t="s">
        <v>3131</v>
      </c>
      <c r="J134" s="2999"/>
    </row>
    <row r="135" spans="1:10" ht="24">
      <c r="A135" s="2964">
        <v>132</v>
      </c>
      <c r="B135" s="2978" t="s">
        <v>3200</v>
      </c>
      <c r="C135" s="3028" t="s">
        <v>3609</v>
      </c>
      <c r="D135" s="2984">
        <v>52.47</v>
      </c>
      <c r="E135" s="2984">
        <v>36.090000000000003</v>
      </c>
      <c r="F135" s="2984">
        <v>3.04</v>
      </c>
      <c r="G135" s="2981">
        <v>16.38</v>
      </c>
      <c r="H135" s="2980" t="s">
        <v>1377</v>
      </c>
      <c r="I135" s="2978" t="s">
        <v>3131</v>
      </c>
      <c r="J135" s="2999"/>
    </row>
    <row r="136" spans="1:10" ht="24">
      <c r="A136" s="2964">
        <v>133</v>
      </c>
      <c r="B136" s="2978" t="s">
        <v>3201</v>
      </c>
      <c r="C136" s="3028" t="s">
        <v>3610</v>
      </c>
      <c r="D136" s="2984">
        <v>53.33</v>
      </c>
      <c r="E136" s="2984">
        <v>36.68</v>
      </c>
      <c r="F136" s="2984">
        <v>3.58</v>
      </c>
      <c r="G136" s="2981">
        <v>16.649999999999999</v>
      </c>
      <c r="H136" s="2980" t="s">
        <v>1377</v>
      </c>
      <c r="I136" s="2978" t="s">
        <v>3131</v>
      </c>
      <c r="J136" s="2999"/>
    </row>
    <row r="137" spans="1:10" ht="24">
      <c r="A137" s="2964">
        <v>134</v>
      </c>
      <c r="B137" s="2978" t="s">
        <v>3202</v>
      </c>
      <c r="C137" s="3028" t="s">
        <v>3611</v>
      </c>
      <c r="D137" s="2984">
        <v>61.47</v>
      </c>
      <c r="E137" s="2984">
        <v>42.28</v>
      </c>
      <c r="F137" s="2984">
        <v>3.73</v>
      </c>
      <c r="G137" s="2981">
        <v>19.190000000000001</v>
      </c>
      <c r="H137" s="2980" t="s">
        <v>1377</v>
      </c>
      <c r="I137" s="2978" t="s">
        <v>3131</v>
      </c>
      <c r="J137" s="2999"/>
    </row>
    <row r="138" spans="1:10" ht="24">
      <c r="A138" s="2964">
        <v>135</v>
      </c>
      <c r="B138" s="2978" t="s">
        <v>3203</v>
      </c>
      <c r="C138" s="3028" t="s">
        <v>3612</v>
      </c>
      <c r="D138" s="2984">
        <v>66.06</v>
      </c>
      <c r="E138" s="2984">
        <v>45.44</v>
      </c>
      <c r="F138" s="2984">
        <v>3</v>
      </c>
      <c r="G138" s="2981">
        <v>20.62</v>
      </c>
      <c r="H138" s="2980" t="s">
        <v>1377</v>
      </c>
      <c r="I138" s="2978" t="s">
        <v>3131</v>
      </c>
      <c r="J138" s="2999"/>
    </row>
    <row r="139" spans="1:10" ht="24">
      <c r="A139" s="2964">
        <v>136</v>
      </c>
      <c r="B139" s="2978" t="s">
        <v>3204</v>
      </c>
      <c r="C139" s="3028" t="s">
        <v>3613</v>
      </c>
      <c r="D139" s="2984">
        <v>60.87</v>
      </c>
      <c r="E139" s="2984">
        <v>41.87</v>
      </c>
      <c r="F139" s="2984">
        <v>3.77</v>
      </c>
      <c r="G139" s="2981">
        <v>19</v>
      </c>
      <c r="H139" s="2980" t="s">
        <v>1377</v>
      </c>
      <c r="I139" s="2978" t="s">
        <v>3131</v>
      </c>
      <c r="J139" s="2999"/>
    </row>
    <row r="140" spans="1:10" ht="24">
      <c r="A140" s="2964">
        <v>137</v>
      </c>
      <c r="B140" s="2978" t="s">
        <v>3205</v>
      </c>
      <c r="C140" s="3028" t="s">
        <v>3614</v>
      </c>
      <c r="D140" s="2984">
        <v>53.25</v>
      </c>
      <c r="E140" s="2984">
        <v>36.630000000000003</v>
      </c>
      <c r="F140" s="2984">
        <v>3.58</v>
      </c>
      <c r="G140" s="2981">
        <v>16.62</v>
      </c>
      <c r="H140" s="2980" t="s">
        <v>1377</v>
      </c>
      <c r="I140" s="2978" t="s">
        <v>3131</v>
      </c>
      <c r="J140" s="2999"/>
    </row>
    <row r="141" spans="1:10" ht="24">
      <c r="A141" s="2964">
        <v>138</v>
      </c>
      <c r="B141" s="2978" t="s">
        <v>3206</v>
      </c>
      <c r="C141" s="3028" t="s">
        <v>3615</v>
      </c>
      <c r="D141" s="2984">
        <v>53.19</v>
      </c>
      <c r="E141" s="2984">
        <v>36.590000000000003</v>
      </c>
      <c r="F141" s="2984">
        <v>3.49</v>
      </c>
      <c r="G141" s="2981">
        <v>16.600000000000001</v>
      </c>
      <c r="H141" s="2980" t="s">
        <v>1377</v>
      </c>
      <c r="I141" s="2978" t="s">
        <v>3131</v>
      </c>
      <c r="J141" s="2999"/>
    </row>
    <row r="142" spans="1:10" ht="24">
      <c r="A142" s="2964">
        <v>139</v>
      </c>
      <c r="B142" s="2978" t="s">
        <v>3207</v>
      </c>
      <c r="C142" s="3028" t="s">
        <v>3616</v>
      </c>
      <c r="D142" s="2984">
        <v>53.19</v>
      </c>
      <c r="E142" s="2984">
        <v>36.590000000000003</v>
      </c>
      <c r="F142" s="2984">
        <v>3.49</v>
      </c>
      <c r="G142" s="2981">
        <v>16.600000000000001</v>
      </c>
      <c r="H142" s="2980" t="s">
        <v>1377</v>
      </c>
      <c r="I142" s="2978" t="s">
        <v>3131</v>
      </c>
      <c r="J142" s="2999"/>
    </row>
    <row r="143" spans="1:10" ht="24">
      <c r="A143" s="2964">
        <v>140</v>
      </c>
      <c r="B143" s="2978" t="s">
        <v>3208</v>
      </c>
      <c r="C143" s="3028" t="s">
        <v>3617</v>
      </c>
      <c r="D143" s="2984">
        <v>53.17</v>
      </c>
      <c r="E143" s="2984">
        <v>36.57</v>
      </c>
      <c r="F143" s="2984">
        <v>3.49</v>
      </c>
      <c r="G143" s="2981">
        <v>16.600000000000001</v>
      </c>
      <c r="H143" s="2980" t="s">
        <v>1377</v>
      </c>
      <c r="I143" s="2978" t="s">
        <v>3131</v>
      </c>
      <c r="J143" s="2999"/>
    </row>
    <row r="144" spans="1:10" ht="24">
      <c r="A144" s="2964">
        <v>141</v>
      </c>
      <c r="B144" s="2978" t="s">
        <v>3209</v>
      </c>
      <c r="C144" s="3028" t="s">
        <v>3618</v>
      </c>
      <c r="D144" s="2984">
        <v>73.2</v>
      </c>
      <c r="E144" s="2984">
        <v>50.35</v>
      </c>
      <c r="F144" s="2984">
        <v>6.44</v>
      </c>
      <c r="G144" s="2981">
        <v>22.85</v>
      </c>
      <c r="H144" s="2980" t="s">
        <v>1377</v>
      </c>
      <c r="I144" s="2978" t="s">
        <v>3131</v>
      </c>
      <c r="J144" s="2999"/>
    </row>
    <row r="145" spans="1:10" ht="24">
      <c r="A145" s="2964">
        <v>142</v>
      </c>
      <c r="B145" s="2978" t="s">
        <v>3210</v>
      </c>
      <c r="C145" s="3028" t="s">
        <v>3619</v>
      </c>
      <c r="D145" s="2984">
        <v>72.569999999999993</v>
      </c>
      <c r="E145" s="2984">
        <v>49.92</v>
      </c>
      <c r="F145" s="2984">
        <v>6.65</v>
      </c>
      <c r="G145" s="2981">
        <v>22.65</v>
      </c>
      <c r="H145" s="2980" t="s">
        <v>1377</v>
      </c>
      <c r="I145" s="2978" t="s">
        <v>3131</v>
      </c>
      <c r="J145" s="2999"/>
    </row>
    <row r="146" spans="1:10" ht="24">
      <c r="A146" s="2964">
        <v>143</v>
      </c>
      <c r="B146" s="2978" t="s">
        <v>3211</v>
      </c>
      <c r="C146" s="3028" t="s">
        <v>3620</v>
      </c>
      <c r="D146" s="2984">
        <v>53.17</v>
      </c>
      <c r="E146" s="2984">
        <v>36.57</v>
      </c>
      <c r="F146" s="2984">
        <v>3.49</v>
      </c>
      <c r="G146" s="2981">
        <v>16.600000000000001</v>
      </c>
      <c r="H146" s="2980" t="s">
        <v>1377</v>
      </c>
      <c r="I146" s="2978" t="s">
        <v>3131</v>
      </c>
      <c r="J146" s="2999"/>
    </row>
    <row r="147" spans="1:10" ht="24">
      <c r="A147" s="2964">
        <v>144</v>
      </c>
      <c r="B147" s="2978" t="s">
        <v>3212</v>
      </c>
      <c r="C147" s="3028" t="s">
        <v>3621</v>
      </c>
      <c r="D147" s="2984">
        <v>53.19</v>
      </c>
      <c r="E147" s="2984">
        <v>36.590000000000003</v>
      </c>
      <c r="F147" s="2984">
        <v>3.49</v>
      </c>
      <c r="G147" s="2981">
        <v>16.600000000000001</v>
      </c>
      <c r="H147" s="2980" t="s">
        <v>1377</v>
      </c>
      <c r="I147" s="2978" t="s">
        <v>3131</v>
      </c>
      <c r="J147" s="2999"/>
    </row>
    <row r="148" spans="1:10" ht="24">
      <c r="A148" s="2964">
        <v>145</v>
      </c>
      <c r="B148" s="2978" t="s">
        <v>3213</v>
      </c>
      <c r="C148" s="3028" t="s">
        <v>3622</v>
      </c>
      <c r="D148" s="2984">
        <v>52.53</v>
      </c>
      <c r="E148" s="2984">
        <v>36.130000000000003</v>
      </c>
      <c r="F148" s="2984">
        <v>3.44</v>
      </c>
      <c r="G148" s="2981">
        <v>16.399999999999999</v>
      </c>
      <c r="H148" s="2980" t="s">
        <v>1377</v>
      </c>
      <c r="I148" s="2978" t="s">
        <v>3131</v>
      </c>
      <c r="J148" s="2999"/>
    </row>
    <row r="149" spans="1:10" ht="24">
      <c r="A149" s="2964">
        <v>146</v>
      </c>
      <c r="B149" s="2978" t="s">
        <v>3214</v>
      </c>
      <c r="C149" s="3028" t="s">
        <v>3623</v>
      </c>
      <c r="D149" s="2984">
        <v>64.930000000000007</v>
      </c>
      <c r="E149" s="2984">
        <v>44.66</v>
      </c>
      <c r="F149" s="2984">
        <v>3.62</v>
      </c>
      <c r="G149" s="2981">
        <v>20.27</v>
      </c>
      <c r="H149" s="2980" t="s">
        <v>1377</v>
      </c>
      <c r="I149" s="2978" t="s">
        <v>3131</v>
      </c>
      <c r="J149" s="2999"/>
    </row>
    <row r="150" spans="1:10" ht="24">
      <c r="A150" s="2964">
        <v>147</v>
      </c>
      <c r="B150" s="2978" t="s">
        <v>3215</v>
      </c>
      <c r="C150" s="3028" t="s">
        <v>3624</v>
      </c>
      <c r="D150" s="2984">
        <v>51.1</v>
      </c>
      <c r="E150" s="2984">
        <v>35.15</v>
      </c>
      <c r="F150" s="2984">
        <v>3.04</v>
      </c>
      <c r="G150" s="2981">
        <v>15.95</v>
      </c>
      <c r="H150" s="2980" t="s">
        <v>1377</v>
      </c>
      <c r="I150" s="2978" t="s">
        <v>3131</v>
      </c>
      <c r="J150" s="2999"/>
    </row>
    <row r="151" spans="1:10" ht="24">
      <c r="A151" s="2964">
        <v>148</v>
      </c>
      <c r="B151" s="2978" t="s">
        <v>3216</v>
      </c>
      <c r="C151" s="3028" t="s">
        <v>3625</v>
      </c>
      <c r="D151" s="2984">
        <v>52.87</v>
      </c>
      <c r="E151" s="2984">
        <v>36.369999999999997</v>
      </c>
      <c r="F151" s="2984">
        <v>3.04</v>
      </c>
      <c r="G151" s="2981">
        <v>16.5</v>
      </c>
      <c r="H151" s="2980" t="s">
        <v>1377</v>
      </c>
      <c r="I151" s="2978" t="s">
        <v>3131</v>
      </c>
      <c r="J151" s="2999"/>
    </row>
    <row r="152" spans="1:10" ht="24">
      <c r="A152" s="2964">
        <v>149</v>
      </c>
      <c r="B152" s="2978" t="s">
        <v>3217</v>
      </c>
      <c r="C152" s="3028" t="s">
        <v>3626</v>
      </c>
      <c r="D152" s="2984">
        <v>52.86</v>
      </c>
      <c r="E152" s="2984">
        <v>36.36</v>
      </c>
      <c r="F152" s="2984">
        <v>3.04</v>
      </c>
      <c r="G152" s="2981">
        <v>16.5</v>
      </c>
      <c r="H152" s="2980" t="s">
        <v>1377</v>
      </c>
      <c r="I152" s="2978" t="s">
        <v>3131</v>
      </c>
      <c r="J152" s="2999"/>
    </row>
    <row r="153" spans="1:10" ht="24">
      <c r="A153" s="2964">
        <v>150</v>
      </c>
      <c r="B153" s="2978" t="s">
        <v>3218</v>
      </c>
      <c r="C153" s="3028" t="s">
        <v>3627</v>
      </c>
      <c r="D153" s="2984">
        <v>52.87</v>
      </c>
      <c r="E153" s="2984">
        <v>36.369999999999997</v>
      </c>
      <c r="F153" s="2984">
        <v>3.04</v>
      </c>
      <c r="G153" s="2981">
        <v>16.5</v>
      </c>
      <c r="H153" s="2980" t="s">
        <v>1377</v>
      </c>
      <c r="I153" s="2978" t="s">
        <v>3131</v>
      </c>
      <c r="J153" s="2999"/>
    </row>
    <row r="154" spans="1:10" ht="24">
      <c r="A154" s="2964">
        <v>151</v>
      </c>
      <c r="B154" s="2978" t="s">
        <v>3219</v>
      </c>
      <c r="C154" s="3028" t="s">
        <v>3628</v>
      </c>
      <c r="D154" s="2984">
        <v>71.400000000000006</v>
      </c>
      <c r="E154" s="2984">
        <v>49.11</v>
      </c>
      <c r="F154" s="2984">
        <v>3.07</v>
      </c>
      <c r="G154" s="2981">
        <v>22.29</v>
      </c>
      <c r="H154" s="2980" t="s">
        <v>1377</v>
      </c>
      <c r="I154" s="2978" t="s">
        <v>3131</v>
      </c>
      <c r="J154" s="2999"/>
    </row>
    <row r="155" spans="1:10" ht="24">
      <c r="A155" s="2964">
        <v>152</v>
      </c>
      <c r="B155" s="2978" t="s">
        <v>3220</v>
      </c>
      <c r="C155" s="3028" t="s">
        <v>3629</v>
      </c>
      <c r="D155" s="2984">
        <v>71.819999999999993</v>
      </c>
      <c r="E155" s="2984">
        <v>49.4</v>
      </c>
      <c r="F155" s="2984">
        <v>3.36</v>
      </c>
      <c r="G155" s="2981">
        <v>22.42</v>
      </c>
      <c r="H155" s="2980" t="s">
        <v>1377</v>
      </c>
      <c r="I155" s="2978" t="s">
        <v>3131</v>
      </c>
      <c r="J155" s="2999"/>
    </row>
    <row r="156" spans="1:10" ht="24">
      <c r="A156" s="2964">
        <v>153</v>
      </c>
      <c r="B156" s="2978" t="s">
        <v>3221</v>
      </c>
      <c r="C156" s="3028" t="s">
        <v>3630</v>
      </c>
      <c r="D156" s="2984">
        <v>52.47</v>
      </c>
      <c r="E156" s="2984">
        <v>36.090000000000003</v>
      </c>
      <c r="F156" s="2984">
        <v>3.04</v>
      </c>
      <c r="G156" s="2981">
        <v>16.38</v>
      </c>
      <c r="H156" s="2980" t="s">
        <v>1377</v>
      </c>
      <c r="I156" s="2978" t="s">
        <v>3131</v>
      </c>
      <c r="J156" s="2999"/>
    </row>
    <row r="157" spans="1:10" ht="24">
      <c r="A157" s="2964">
        <v>154</v>
      </c>
      <c r="B157" s="2978" t="s">
        <v>3222</v>
      </c>
      <c r="C157" s="3028" t="s">
        <v>3631</v>
      </c>
      <c r="D157" s="2984">
        <v>53.33</v>
      </c>
      <c r="E157" s="2984">
        <v>36.68</v>
      </c>
      <c r="F157" s="2984">
        <v>3.58</v>
      </c>
      <c r="G157" s="2981">
        <v>16.649999999999999</v>
      </c>
      <c r="H157" s="2980" t="s">
        <v>1377</v>
      </c>
      <c r="I157" s="2978" t="s">
        <v>3131</v>
      </c>
      <c r="J157" s="2999"/>
    </row>
    <row r="158" spans="1:10" ht="24">
      <c r="A158" s="2964">
        <v>155</v>
      </c>
      <c r="B158" s="2978" t="s">
        <v>3223</v>
      </c>
      <c r="C158" s="3028" t="s">
        <v>3632</v>
      </c>
      <c r="D158" s="2984">
        <v>61.47</v>
      </c>
      <c r="E158" s="2984">
        <v>42.28</v>
      </c>
      <c r="F158" s="2984">
        <v>3.73</v>
      </c>
      <c r="G158" s="2981">
        <v>19.190000000000001</v>
      </c>
      <c r="H158" s="2980" t="s">
        <v>1377</v>
      </c>
      <c r="I158" s="2978" t="s">
        <v>3131</v>
      </c>
      <c r="J158" s="2999"/>
    </row>
    <row r="159" spans="1:10" ht="24">
      <c r="A159" s="2964">
        <v>156</v>
      </c>
      <c r="B159" s="2978" t="s">
        <v>3224</v>
      </c>
      <c r="C159" s="3028" t="s">
        <v>3633</v>
      </c>
      <c r="D159" s="2984">
        <v>66.06</v>
      </c>
      <c r="E159" s="2984">
        <v>45.44</v>
      </c>
      <c r="F159" s="2984">
        <v>3</v>
      </c>
      <c r="G159" s="2981">
        <v>20.62</v>
      </c>
      <c r="H159" s="2980" t="s">
        <v>1377</v>
      </c>
      <c r="I159" s="2978" t="s">
        <v>3131</v>
      </c>
      <c r="J159" s="2999"/>
    </row>
    <row r="160" spans="1:10" ht="24">
      <c r="A160" s="2964">
        <v>157</v>
      </c>
      <c r="B160" s="2978" t="s">
        <v>3225</v>
      </c>
      <c r="C160" s="3028" t="s">
        <v>3634</v>
      </c>
      <c r="D160" s="2984">
        <v>60.87</v>
      </c>
      <c r="E160" s="2984">
        <v>41.87</v>
      </c>
      <c r="F160" s="2984">
        <v>3.77</v>
      </c>
      <c r="G160" s="2981">
        <v>19</v>
      </c>
      <c r="H160" s="2980" t="s">
        <v>1377</v>
      </c>
      <c r="I160" s="2978" t="s">
        <v>3131</v>
      </c>
      <c r="J160" s="2999"/>
    </row>
    <row r="161" spans="1:10" ht="24">
      <c r="A161" s="2964">
        <v>158</v>
      </c>
      <c r="B161" s="2978" t="s">
        <v>3226</v>
      </c>
      <c r="C161" s="3028" t="s">
        <v>3635</v>
      </c>
      <c r="D161" s="2984">
        <v>53.25</v>
      </c>
      <c r="E161" s="2984">
        <v>36.630000000000003</v>
      </c>
      <c r="F161" s="2984">
        <v>3.58</v>
      </c>
      <c r="G161" s="2981">
        <v>16.62</v>
      </c>
      <c r="H161" s="2980" t="s">
        <v>1377</v>
      </c>
      <c r="I161" s="2978" t="s">
        <v>3131</v>
      </c>
      <c r="J161" s="2999"/>
    </row>
    <row r="162" spans="1:10" ht="24">
      <c r="A162" s="2964">
        <v>159</v>
      </c>
      <c r="B162" s="2978" t="s">
        <v>3227</v>
      </c>
      <c r="C162" s="3028" t="s">
        <v>3636</v>
      </c>
      <c r="D162" s="2984">
        <v>53.19</v>
      </c>
      <c r="E162" s="2984">
        <v>36.590000000000003</v>
      </c>
      <c r="F162" s="2984">
        <v>3.49</v>
      </c>
      <c r="G162" s="2981">
        <v>16.600000000000001</v>
      </c>
      <c r="H162" s="2980" t="s">
        <v>1377</v>
      </c>
      <c r="I162" s="2978" t="s">
        <v>3131</v>
      </c>
      <c r="J162" s="2999"/>
    </row>
    <row r="163" spans="1:10" ht="24">
      <c r="A163" s="2964">
        <v>160</v>
      </c>
      <c r="B163" s="2978" t="s">
        <v>3228</v>
      </c>
      <c r="C163" s="3028" t="s">
        <v>3637</v>
      </c>
      <c r="D163" s="2984">
        <v>53.19</v>
      </c>
      <c r="E163" s="2984">
        <v>36.590000000000003</v>
      </c>
      <c r="F163" s="2984">
        <v>3.49</v>
      </c>
      <c r="G163" s="2981">
        <v>16.600000000000001</v>
      </c>
      <c r="H163" s="2980" t="s">
        <v>1377</v>
      </c>
      <c r="I163" s="2978" t="s">
        <v>3131</v>
      </c>
      <c r="J163" s="2999"/>
    </row>
    <row r="164" spans="1:10" ht="24">
      <c r="A164" s="2964">
        <v>161</v>
      </c>
      <c r="B164" s="2978" t="s">
        <v>3229</v>
      </c>
      <c r="C164" s="3028" t="s">
        <v>3638</v>
      </c>
      <c r="D164" s="2984">
        <v>53.17</v>
      </c>
      <c r="E164" s="2984">
        <v>36.57</v>
      </c>
      <c r="F164" s="2984">
        <v>3.49</v>
      </c>
      <c r="G164" s="2981">
        <v>16.600000000000001</v>
      </c>
      <c r="H164" s="2980" t="s">
        <v>1377</v>
      </c>
      <c r="I164" s="2978" t="s">
        <v>3131</v>
      </c>
      <c r="J164" s="2999"/>
    </row>
    <row r="165" spans="1:10" ht="24">
      <c r="A165" s="2964">
        <v>162</v>
      </c>
      <c r="B165" s="2978" t="s">
        <v>3230</v>
      </c>
      <c r="C165" s="3028" t="s">
        <v>3639</v>
      </c>
      <c r="D165" s="2984">
        <v>73.2</v>
      </c>
      <c r="E165" s="2984">
        <v>50.35</v>
      </c>
      <c r="F165" s="2984">
        <v>6.44</v>
      </c>
      <c r="G165" s="2981">
        <v>22.85</v>
      </c>
      <c r="H165" s="2980" t="s">
        <v>1377</v>
      </c>
      <c r="I165" s="2978" t="s">
        <v>3131</v>
      </c>
      <c r="J165" s="2999"/>
    </row>
    <row r="166" spans="1:10" ht="24">
      <c r="A166" s="2964">
        <v>163</v>
      </c>
      <c r="B166" s="2978" t="s">
        <v>3231</v>
      </c>
      <c r="C166" s="3028" t="s">
        <v>3640</v>
      </c>
      <c r="D166" s="2984">
        <v>72.569999999999993</v>
      </c>
      <c r="E166" s="2984">
        <v>49.92</v>
      </c>
      <c r="F166" s="2984">
        <v>6.65</v>
      </c>
      <c r="G166" s="2981">
        <v>22.65</v>
      </c>
      <c r="H166" s="2980" t="s">
        <v>1377</v>
      </c>
      <c r="I166" s="2978" t="s">
        <v>3131</v>
      </c>
      <c r="J166" s="2999"/>
    </row>
    <row r="167" spans="1:10" ht="24">
      <c r="A167" s="2964">
        <v>164</v>
      </c>
      <c r="B167" s="2978" t="s">
        <v>3232</v>
      </c>
      <c r="C167" s="3028" t="s">
        <v>3641</v>
      </c>
      <c r="D167" s="2984">
        <v>53.17</v>
      </c>
      <c r="E167" s="2984">
        <v>36.57</v>
      </c>
      <c r="F167" s="2984">
        <v>3.49</v>
      </c>
      <c r="G167" s="2981">
        <v>16.600000000000001</v>
      </c>
      <c r="H167" s="2980" t="s">
        <v>1377</v>
      </c>
      <c r="I167" s="2978" t="s">
        <v>3131</v>
      </c>
      <c r="J167" s="2999"/>
    </row>
    <row r="168" spans="1:10" ht="24">
      <c r="A168" s="2964">
        <v>165</v>
      </c>
      <c r="B168" s="2978" t="s">
        <v>3233</v>
      </c>
      <c r="C168" s="3028" t="s">
        <v>3642</v>
      </c>
      <c r="D168" s="2984">
        <v>53.19</v>
      </c>
      <c r="E168" s="2984">
        <v>36.590000000000003</v>
      </c>
      <c r="F168" s="2984">
        <v>3.49</v>
      </c>
      <c r="G168" s="2981">
        <v>16.600000000000001</v>
      </c>
      <c r="H168" s="2980" t="s">
        <v>1377</v>
      </c>
      <c r="I168" s="2978" t="s">
        <v>3131</v>
      </c>
      <c r="J168" s="2999"/>
    </row>
    <row r="169" spans="1:10" ht="24">
      <c r="A169" s="2964">
        <v>166</v>
      </c>
      <c r="B169" s="2978" t="s">
        <v>3234</v>
      </c>
      <c r="C169" s="3028" t="s">
        <v>3643</v>
      </c>
      <c r="D169" s="2984">
        <v>52.53</v>
      </c>
      <c r="E169" s="2984">
        <v>36.130000000000003</v>
      </c>
      <c r="F169" s="2984">
        <v>3.44</v>
      </c>
      <c r="G169" s="2981">
        <v>16.399999999999999</v>
      </c>
      <c r="H169" s="2980" t="s">
        <v>1377</v>
      </c>
      <c r="I169" s="2978" t="s">
        <v>3131</v>
      </c>
      <c r="J169" s="2999"/>
    </row>
    <row r="170" spans="1:10" ht="24">
      <c r="A170" s="2964">
        <v>167</v>
      </c>
      <c r="B170" s="2978" t="s">
        <v>3235</v>
      </c>
      <c r="C170" s="3028" t="s">
        <v>3644</v>
      </c>
      <c r="D170" s="2984">
        <v>64.930000000000007</v>
      </c>
      <c r="E170" s="2984">
        <v>44.66</v>
      </c>
      <c r="F170" s="2984">
        <v>3.62</v>
      </c>
      <c r="G170" s="2981">
        <v>20.27</v>
      </c>
      <c r="H170" s="2980" t="s">
        <v>1377</v>
      </c>
      <c r="I170" s="2978" t="s">
        <v>3131</v>
      </c>
      <c r="J170" s="2999"/>
    </row>
    <row r="171" spans="1:10" ht="24">
      <c r="A171" s="2964">
        <v>168</v>
      </c>
      <c r="B171" s="2978" t="s">
        <v>3236</v>
      </c>
      <c r="C171" s="3028" t="s">
        <v>3645</v>
      </c>
      <c r="D171" s="2984">
        <v>50.65</v>
      </c>
      <c r="E171" s="2984">
        <v>35.15</v>
      </c>
      <c r="F171" s="2984">
        <v>3.04</v>
      </c>
      <c r="G171" s="2981">
        <v>15.5</v>
      </c>
      <c r="H171" s="2980" t="s">
        <v>1377</v>
      </c>
      <c r="I171" s="2978" t="s">
        <v>3131</v>
      </c>
      <c r="J171" s="2999"/>
    </row>
    <row r="172" spans="1:10" ht="24">
      <c r="A172" s="2964">
        <v>169</v>
      </c>
      <c r="B172" s="2978" t="s">
        <v>3237</v>
      </c>
      <c r="C172" s="3028" t="s">
        <v>3646</v>
      </c>
      <c r="D172" s="2984">
        <v>52.4</v>
      </c>
      <c r="E172" s="2984">
        <v>36.369999999999997</v>
      </c>
      <c r="F172" s="2984">
        <v>3.04</v>
      </c>
      <c r="G172" s="2981">
        <v>16.03</v>
      </c>
      <c r="H172" s="2980" t="s">
        <v>1377</v>
      </c>
      <c r="I172" s="2978" t="s">
        <v>3131</v>
      </c>
      <c r="J172" s="2999"/>
    </row>
    <row r="173" spans="1:10" ht="24">
      <c r="A173" s="2964">
        <v>170</v>
      </c>
      <c r="B173" s="2978" t="s">
        <v>3238</v>
      </c>
      <c r="C173" s="3028" t="s">
        <v>3647</v>
      </c>
      <c r="D173" s="2984">
        <v>52.39</v>
      </c>
      <c r="E173" s="2984">
        <v>36.36</v>
      </c>
      <c r="F173" s="2984">
        <v>3.04</v>
      </c>
      <c r="G173" s="2981">
        <v>16.03</v>
      </c>
      <c r="H173" s="2980" t="s">
        <v>1377</v>
      </c>
      <c r="I173" s="2978" t="s">
        <v>3131</v>
      </c>
      <c r="J173" s="2999"/>
    </row>
    <row r="174" spans="1:10" ht="24">
      <c r="A174" s="2964">
        <v>171</v>
      </c>
      <c r="B174" s="2978" t="s">
        <v>3239</v>
      </c>
      <c r="C174" s="3028" t="s">
        <v>3648</v>
      </c>
      <c r="D174" s="2984">
        <v>52.4</v>
      </c>
      <c r="E174" s="2984">
        <v>36.369999999999997</v>
      </c>
      <c r="F174" s="2984">
        <v>3.04</v>
      </c>
      <c r="G174" s="2981">
        <v>16.03</v>
      </c>
      <c r="H174" s="2980" t="s">
        <v>1377</v>
      </c>
      <c r="I174" s="2978" t="s">
        <v>3131</v>
      </c>
      <c r="J174" s="2999"/>
    </row>
    <row r="175" spans="1:10" ht="24">
      <c r="A175" s="2964">
        <v>172</v>
      </c>
      <c r="B175" s="2978" t="s">
        <v>3240</v>
      </c>
      <c r="C175" s="3028" t="s">
        <v>3649</v>
      </c>
      <c r="D175" s="2984">
        <v>70.760000000000005</v>
      </c>
      <c r="E175" s="2984">
        <v>49.11</v>
      </c>
      <c r="F175" s="2984">
        <v>3.07</v>
      </c>
      <c r="G175" s="2981">
        <v>21.65</v>
      </c>
      <c r="H175" s="2980" t="s">
        <v>1377</v>
      </c>
      <c r="I175" s="2978" t="s">
        <v>3131</v>
      </c>
      <c r="J175" s="2999"/>
    </row>
    <row r="176" spans="1:10" ht="24">
      <c r="A176" s="2964">
        <v>173</v>
      </c>
      <c r="B176" s="2978" t="s">
        <v>3241</v>
      </c>
      <c r="C176" s="3028" t="s">
        <v>3650</v>
      </c>
      <c r="D176" s="2984">
        <v>71.180000000000007</v>
      </c>
      <c r="E176" s="2984">
        <v>49.4</v>
      </c>
      <c r="F176" s="2984">
        <v>3.36</v>
      </c>
      <c r="G176" s="2981">
        <v>21.78</v>
      </c>
      <c r="H176" s="2980" t="s">
        <v>1377</v>
      </c>
      <c r="I176" s="2978" t="s">
        <v>3131</v>
      </c>
      <c r="J176" s="2999"/>
    </row>
    <row r="177" spans="1:10" ht="24">
      <c r="A177" s="2964">
        <v>174</v>
      </c>
      <c r="B177" s="2978" t="s">
        <v>3242</v>
      </c>
      <c r="C177" s="3028" t="s">
        <v>3651</v>
      </c>
      <c r="D177" s="2984">
        <v>52</v>
      </c>
      <c r="E177" s="2984">
        <v>36.090000000000003</v>
      </c>
      <c r="F177" s="2984">
        <v>3.04</v>
      </c>
      <c r="G177" s="2981">
        <v>15.91</v>
      </c>
      <c r="H177" s="2980" t="s">
        <v>1377</v>
      </c>
      <c r="I177" s="2978" t="s">
        <v>3131</v>
      </c>
      <c r="J177" s="2999"/>
    </row>
    <row r="178" spans="1:10" ht="24">
      <c r="A178" s="2964">
        <v>175</v>
      </c>
      <c r="B178" s="2978" t="s">
        <v>3243</v>
      </c>
      <c r="C178" s="3028" t="s">
        <v>3652</v>
      </c>
      <c r="D178" s="2984">
        <v>52.07</v>
      </c>
      <c r="E178" s="2984">
        <v>36.14</v>
      </c>
      <c r="F178" s="2984">
        <v>3.04</v>
      </c>
      <c r="G178" s="2981">
        <v>15.93</v>
      </c>
      <c r="H178" s="2980" t="s">
        <v>1377</v>
      </c>
      <c r="I178" s="2978" t="s">
        <v>3131</v>
      </c>
      <c r="J178" s="2999"/>
    </row>
    <row r="179" spans="1:10" ht="24">
      <c r="A179" s="2964">
        <v>176</v>
      </c>
      <c r="B179" s="2978" t="s">
        <v>3244</v>
      </c>
      <c r="C179" s="3028" t="s">
        <v>3653</v>
      </c>
      <c r="D179" s="2984">
        <v>52.04</v>
      </c>
      <c r="E179" s="2984">
        <v>36.119999999999997</v>
      </c>
      <c r="F179" s="2984">
        <v>3.04</v>
      </c>
      <c r="G179" s="2981">
        <v>15.92</v>
      </c>
      <c r="H179" s="2980" t="s">
        <v>1377</v>
      </c>
      <c r="I179" s="2978" t="s">
        <v>3131</v>
      </c>
      <c r="J179" s="2999"/>
    </row>
    <row r="180" spans="1:10" ht="24">
      <c r="A180" s="2964">
        <v>177</v>
      </c>
      <c r="B180" s="2978" t="s">
        <v>3245</v>
      </c>
      <c r="C180" s="3028" t="s">
        <v>3654</v>
      </c>
      <c r="D180" s="2984">
        <v>52.71</v>
      </c>
      <c r="E180" s="2984">
        <v>36.58</v>
      </c>
      <c r="F180" s="2984">
        <v>3.5</v>
      </c>
      <c r="G180" s="2981">
        <v>16.13</v>
      </c>
      <c r="H180" s="2980" t="s">
        <v>1377</v>
      </c>
      <c r="I180" s="2978" t="s">
        <v>3131</v>
      </c>
      <c r="J180" s="2999"/>
    </row>
    <row r="181" spans="1:10" ht="24">
      <c r="A181" s="2964">
        <v>178</v>
      </c>
      <c r="B181" s="2978" t="s">
        <v>3246</v>
      </c>
      <c r="C181" s="3028" t="s">
        <v>3655</v>
      </c>
      <c r="D181" s="2984">
        <v>60.92</v>
      </c>
      <c r="E181" s="2984">
        <v>42.28</v>
      </c>
      <c r="F181" s="2984">
        <v>3.73</v>
      </c>
      <c r="G181" s="2981">
        <v>18.64</v>
      </c>
      <c r="H181" s="2980" t="s">
        <v>1377</v>
      </c>
      <c r="I181" s="2978" t="s">
        <v>3131</v>
      </c>
      <c r="J181" s="2999"/>
    </row>
    <row r="182" spans="1:10" ht="24">
      <c r="A182" s="2964">
        <v>179</v>
      </c>
      <c r="B182" s="2978" t="s">
        <v>3247</v>
      </c>
      <c r="C182" s="3028" t="s">
        <v>3656</v>
      </c>
      <c r="D182" s="2984">
        <v>65.47</v>
      </c>
      <c r="E182" s="2984">
        <v>45.44</v>
      </c>
      <c r="F182" s="2984">
        <v>3</v>
      </c>
      <c r="G182" s="2981">
        <v>20.03</v>
      </c>
      <c r="H182" s="2980" t="s">
        <v>1377</v>
      </c>
      <c r="I182" s="2978" t="s">
        <v>3131</v>
      </c>
      <c r="J182" s="2999"/>
    </row>
    <row r="183" spans="1:10" ht="24">
      <c r="A183" s="2964">
        <v>180</v>
      </c>
      <c r="B183" s="2978" t="s">
        <v>3248</v>
      </c>
      <c r="C183" s="3028" t="s">
        <v>3657</v>
      </c>
      <c r="D183" s="2984">
        <v>60.33</v>
      </c>
      <c r="E183" s="2984">
        <v>41.87</v>
      </c>
      <c r="F183" s="2984">
        <v>3.77</v>
      </c>
      <c r="G183" s="2981">
        <v>18.46</v>
      </c>
      <c r="H183" s="2980" t="s">
        <v>1377</v>
      </c>
      <c r="I183" s="2978" t="s">
        <v>3131</v>
      </c>
      <c r="J183" s="2999"/>
    </row>
    <row r="184" spans="1:10" ht="24">
      <c r="A184" s="2964">
        <v>181</v>
      </c>
      <c r="B184" s="2978" t="s">
        <v>3249</v>
      </c>
      <c r="C184" s="3028" t="s">
        <v>3658</v>
      </c>
      <c r="D184" s="2984">
        <v>52.78</v>
      </c>
      <c r="E184" s="2984">
        <v>36.630000000000003</v>
      </c>
      <c r="F184" s="2984">
        <v>3.58</v>
      </c>
      <c r="G184" s="2981">
        <v>16.149999999999999</v>
      </c>
      <c r="H184" s="2980" t="s">
        <v>1377</v>
      </c>
      <c r="I184" s="2978" t="s">
        <v>3131</v>
      </c>
      <c r="J184" s="2999"/>
    </row>
    <row r="185" spans="1:10" ht="24">
      <c r="A185" s="2964">
        <v>182</v>
      </c>
      <c r="B185" s="2978" t="s">
        <v>3250</v>
      </c>
      <c r="C185" s="3028" t="s">
        <v>3659</v>
      </c>
      <c r="D185" s="2984">
        <v>52.72</v>
      </c>
      <c r="E185" s="2984">
        <v>36.590000000000003</v>
      </c>
      <c r="F185" s="2984">
        <v>3.49</v>
      </c>
      <c r="G185" s="2981">
        <v>16.13</v>
      </c>
      <c r="H185" s="2980" t="s">
        <v>1377</v>
      </c>
      <c r="I185" s="2978" t="s">
        <v>3131</v>
      </c>
      <c r="J185" s="2999"/>
    </row>
    <row r="186" spans="1:10" ht="24">
      <c r="A186" s="2964">
        <v>183</v>
      </c>
      <c r="B186" s="2978" t="s">
        <v>3251</v>
      </c>
      <c r="C186" s="3028" t="s">
        <v>3660</v>
      </c>
      <c r="D186" s="2984">
        <v>52.72</v>
      </c>
      <c r="E186" s="2984">
        <v>36.590000000000003</v>
      </c>
      <c r="F186" s="2984">
        <v>3.49</v>
      </c>
      <c r="G186" s="2981">
        <v>16.13</v>
      </c>
      <c r="H186" s="2980" t="s">
        <v>1377</v>
      </c>
      <c r="I186" s="2978" t="s">
        <v>3131</v>
      </c>
      <c r="J186" s="2999"/>
    </row>
    <row r="187" spans="1:10" ht="24">
      <c r="A187" s="2964">
        <v>184</v>
      </c>
      <c r="B187" s="2978" t="s">
        <v>3252</v>
      </c>
      <c r="C187" s="3028" t="s">
        <v>3661</v>
      </c>
      <c r="D187" s="2984">
        <v>52.69</v>
      </c>
      <c r="E187" s="2984">
        <v>36.57</v>
      </c>
      <c r="F187" s="2984">
        <v>3.49</v>
      </c>
      <c r="G187" s="2981">
        <v>16.12</v>
      </c>
      <c r="H187" s="2980" t="s">
        <v>1377</v>
      </c>
      <c r="I187" s="2978" t="s">
        <v>3131</v>
      </c>
      <c r="J187" s="2999"/>
    </row>
    <row r="188" spans="1:10" ht="24">
      <c r="A188" s="2964">
        <v>185</v>
      </c>
      <c r="B188" s="2978" t="s">
        <v>3253</v>
      </c>
      <c r="C188" s="3028" t="s">
        <v>3662</v>
      </c>
      <c r="D188" s="2984">
        <v>72.55</v>
      </c>
      <c r="E188" s="2984">
        <v>50.35</v>
      </c>
      <c r="F188" s="2984">
        <v>6.44</v>
      </c>
      <c r="G188" s="2981">
        <v>22.2</v>
      </c>
      <c r="H188" s="2980" t="s">
        <v>1377</v>
      </c>
      <c r="I188" s="2978" t="s">
        <v>3131</v>
      </c>
      <c r="J188" s="2999"/>
    </row>
    <row r="189" spans="1:10" ht="24">
      <c r="A189" s="2964">
        <v>186</v>
      </c>
      <c r="B189" s="2978" t="s">
        <v>3254</v>
      </c>
      <c r="C189" s="3028" t="s">
        <v>3663</v>
      </c>
      <c r="D189" s="2984">
        <v>71.930000000000007</v>
      </c>
      <c r="E189" s="2984">
        <v>49.92</v>
      </c>
      <c r="F189" s="2984">
        <v>6.65</v>
      </c>
      <c r="G189" s="2981">
        <v>22.01</v>
      </c>
      <c r="H189" s="2980" t="s">
        <v>1377</v>
      </c>
      <c r="I189" s="2978" t="s">
        <v>3131</v>
      </c>
      <c r="J189" s="2999"/>
    </row>
    <row r="190" spans="1:10" ht="24">
      <c r="A190" s="2964">
        <v>187</v>
      </c>
      <c r="B190" s="2978" t="s">
        <v>3255</v>
      </c>
      <c r="C190" s="3028" t="s">
        <v>3664</v>
      </c>
      <c r="D190" s="2984">
        <v>52.69</v>
      </c>
      <c r="E190" s="2984">
        <v>36.57</v>
      </c>
      <c r="F190" s="2984">
        <v>3.49</v>
      </c>
      <c r="G190" s="2981">
        <v>16.12</v>
      </c>
      <c r="H190" s="2980" t="s">
        <v>1377</v>
      </c>
      <c r="I190" s="2978" t="s">
        <v>3131</v>
      </c>
      <c r="J190" s="2999"/>
    </row>
    <row r="191" spans="1:10" ht="24">
      <c r="A191" s="2964">
        <v>188</v>
      </c>
      <c r="B191" s="2978" t="s">
        <v>3256</v>
      </c>
      <c r="C191" s="3028" t="s">
        <v>3665</v>
      </c>
      <c r="D191" s="2984">
        <v>52.72</v>
      </c>
      <c r="E191" s="2984">
        <v>36.590000000000003</v>
      </c>
      <c r="F191" s="2984">
        <v>3.49</v>
      </c>
      <c r="G191" s="2981">
        <v>16.13</v>
      </c>
      <c r="H191" s="2980" t="s">
        <v>1377</v>
      </c>
      <c r="I191" s="2978" t="s">
        <v>3131</v>
      </c>
      <c r="J191" s="2999"/>
    </row>
    <row r="192" spans="1:10" ht="24">
      <c r="A192" s="2964">
        <v>189</v>
      </c>
      <c r="B192" s="2978" t="s">
        <v>3257</v>
      </c>
      <c r="C192" s="3028" t="s">
        <v>3666</v>
      </c>
      <c r="D192" s="2984">
        <v>52.06</v>
      </c>
      <c r="E192" s="2984">
        <v>36.130000000000003</v>
      </c>
      <c r="F192" s="2984">
        <v>3.44</v>
      </c>
      <c r="G192" s="2981">
        <v>15.93</v>
      </c>
      <c r="H192" s="2980" t="s">
        <v>1377</v>
      </c>
      <c r="I192" s="2978" t="s">
        <v>3131</v>
      </c>
      <c r="J192" s="2999"/>
    </row>
    <row r="193" spans="1:10" ht="24">
      <c r="A193" s="2964">
        <v>190</v>
      </c>
      <c r="B193" s="2978" t="s">
        <v>3258</v>
      </c>
      <c r="C193" s="3028" t="s">
        <v>3667</v>
      </c>
      <c r="D193" s="2984">
        <v>64.349999999999994</v>
      </c>
      <c r="E193" s="2984">
        <v>44.66</v>
      </c>
      <c r="F193" s="2984">
        <v>3.62</v>
      </c>
      <c r="G193" s="2981">
        <v>19.690000000000001</v>
      </c>
      <c r="H193" s="2980" t="s">
        <v>1377</v>
      </c>
      <c r="I193" s="2978" t="s">
        <v>3131</v>
      </c>
      <c r="J193" s="2999"/>
    </row>
    <row r="194" spans="1:10" ht="24">
      <c r="A194" s="2964">
        <v>191</v>
      </c>
      <c r="B194" s="2978" t="s">
        <v>3259</v>
      </c>
      <c r="C194" s="3028" t="s">
        <v>3668</v>
      </c>
      <c r="D194" s="2984">
        <v>50.65</v>
      </c>
      <c r="E194" s="2984">
        <v>35.15</v>
      </c>
      <c r="F194" s="2984">
        <v>3.04</v>
      </c>
      <c r="G194" s="2981">
        <v>15.5</v>
      </c>
      <c r="H194" s="2980" t="s">
        <v>1377</v>
      </c>
      <c r="I194" s="2978" t="s">
        <v>3131</v>
      </c>
      <c r="J194" s="2999"/>
    </row>
    <row r="195" spans="1:10" ht="24">
      <c r="A195" s="2964">
        <v>192</v>
      </c>
      <c r="B195" s="2978" t="s">
        <v>3260</v>
      </c>
      <c r="C195" s="3028" t="s">
        <v>3669</v>
      </c>
      <c r="D195" s="2984">
        <v>52.4</v>
      </c>
      <c r="E195" s="2984">
        <v>36.369999999999997</v>
      </c>
      <c r="F195" s="2984">
        <v>3.04</v>
      </c>
      <c r="G195" s="2981">
        <v>16.03</v>
      </c>
      <c r="H195" s="2980" t="s">
        <v>1377</v>
      </c>
      <c r="I195" s="2978" t="s">
        <v>3131</v>
      </c>
      <c r="J195" s="2999"/>
    </row>
    <row r="196" spans="1:10" ht="24">
      <c r="A196" s="2964">
        <v>193</v>
      </c>
      <c r="B196" s="2978" t="s">
        <v>3261</v>
      </c>
      <c r="C196" s="3028" t="s">
        <v>3670</v>
      </c>
      <c r="D196" s="2984">
        <v>52.39</v>
      </c>
      <c r="E196" s="2984">
        <v>36.36</v>
      </c>
      <c r="F196" s="2984">
        <v>3.04</v>
      </c>
      <c r="G196" s="2981">
        <v>16.03</v>
      </c>
      <c r="H196" s="2980" t="s">
        <v>1377</v>
      </c>
      <c r="I196" s="2978" t="s">
        <v>3131</v>
      </c>
      <c r="J196" s="2999"/>
    </row>
    <row r="197" spans="1:10" ht="24">
      <c r="A197" s="2964">
        <v>194</v>
      </c>
      <c r="B197" s="2978" t="s">
        <v>3262</v>
      </c>
      <c r="C197" s="3028" t="s">
        <v>3671</v>
      </c>
      <c r="D197" s="2984">
        <v>52.4</v>
      </c>
      <c r="E197" s="2984">
        <v>36.369999999999997</v>
      </c>
      <c r="F197" s="2984">
        <v>3.04</v>
      </c>
      <c r="G197" s="2981">
        <v>16.03</v>
      </c>
      <c r="H197" s="2980" t="s">
        <v>1377</v>
      </c>
      <c r="I197" s="2978" t="s">
        <v>3131</v>
      </c>
      <c r="J197" s="2999"/>
    </row>
    <row r="198" spans="1:10" ht="24">
      <c r="A198" s="2964">
        <v>195</v>
      </c>
      <c r="B198" s="2978" t="s">
        <v>3263</v>
      </c>
      <c r="C198" s="3028" t="s">
        <v>3672</v>
      </c>
      <c r="D198" s="2984">
        <v>70.760000000000005</v>
      </c>
      <c r="E198" s="2984">
        <v>49.11</v>
      </c>
      <c r="F198" s="2984">
        <v>3.07</v>
      </c>
      <c r="G198" s="2981">
        <v>21.65</v>
      </c>
      <c r="H198" s="2980" t="s">
        <v>1377</v>
      </c>
      <c r="I198" s="2978" t="s">
        <v>3131</v>
      </c>
      <c r="J198" s="2999"/>
    </row>
    <row r="199" spans="1:10" ht="24">
      <c r="A199" s="2964">
        <v>196</v>
      </c>
      <c r="B199" s="2978" t="s">
        <v>3264</v>
      </c>
      <c r="C199" s="3028" t="s">
        <v>3673</v>
      </c>
      <c r="D199" s="2984">
        <v>71.180000000000007</v>
      </c>
      <c r="E199" s="2984">
        <v>49.4</v>
      </c>
      <c r="F199" s="2984">
        <v>3.36</v>
      </c>
      <c r="G199" s="2981">
        <v>21.78</v>
      </c>
      <c r="H199" s="2980" t="s">
        <v>1377</v>
      </c>
      <c r="I199" s="2978" t="s">
        <v>3131</v>
      </c>
      <c r="J199" s="2999"/>
    </row>
    <row r="200" spans="1:10" ht="24">
      <c r="A200" s="2964">
        <v>197</v>
      </c>
      <c r="B200" s="2978" t="s">
        <v>3265</v>
      </c>
      <c r="C200" s="3028" t="s">
        <v>3674</v>
      </c>
      <c r="D200" s="2984">
        <v>52</v>
      </c>
      <c r="E200" s="2984">
        <v>36.090000000000003</v>
      </c>
      <c r="F200" s="2984">
        <v>3.04</v>
      </c>
      <c r="G200" s="2981">
        <v>15.91</v>
      </c>
      <c r="H200" s="2980" t="s">
        <v>1377</v>
      </c>
      <c r="I200" s="2978" t="s">
        <v>3131</v>
      </c>
      <c r="J200" s="2999"/>
    </row>
    <row r="201" spans="1:10" ht="24">
      <c r="A201" s="2964">
        <v>198</v>
      </c>
      <c r="B201" s="2978" t="s">
        <v>3266</v>
      </c>
      <c r="C201" s="3028" t="s">
        <v>3675</v>
      </c>
      <c r="D201" s="2984">
        <v>52.07</v>
      </c>
      <c r="E201" s="2984">
        <v>36.14</v>
      </c>
      <c r="F201" s="2984">
        <v>3.04</v>
      </c>
      <c r="G201" s="2981">
        <v>15.93</v>
      </c>
      <c r="H201" s="2980" t="s">
        <v>1377</v>
      </c>
      <c r="I201" s="2978" t="s">
        <v>3131</v>
      </c>
      <c r="J201" s="2999"/>
    </row>
    <row r="202" spans="1:10" ht="24">
      <c r="A202" s="2964">
        <v>199</v>
      </c>
      <c r="B202" s="2978" t="s">
        <v>3267</v>
      </c>
      <c r="C202" s="3028" t="s">
        <v>3676</v>
      </c>
      <c r="D202" s="2984">
        <v>52.04</v>
      </c>
      <c r="E202" s="2984">
        <v>36.119999999999997</v>
      </c>
      <c r="F202" s="2984">
        <v>3.04</v>
      </c>
      <c r="G202" s="2981">
        <v>15.92</v>
      </c>
      <c r="H202" s="2980" t="s">
        <v>1377</v>
      </c>
      <c r="I202" s="2978" t="s">
        <v>3131</v>
      </c>
      <c r="J202" s="2999"/>
    </row>
    <row r="203" spans="1:10" ht="24">
      <c r="A203" s="2964">
        <v>200</v>
      </c>
      <c r="B203" s="2978" t="s">
        <v>3268</v>
      </c>
      <c r="C203" s="3028" t="s">
        <v>3677</v>
      </c>
      <c r="D203" s="2984">
        <v>52.71</v>
      </c>
      <c r="E203" s="2984">
        <v>36.58</v>
      </c>
      <c r="F203" s="2984">
        <v>3.5</v>
      </c>
      <c r="G203" s="2981">
        <v>16.13</v>
      </c>
      <c r="H203" s="2980" t="s">
        <v>1377</v>
      </c>
      <c r="I203" s="2978" t="s">
        <v>3131</v>
      </c>
      <c r="J203" s="2999"/>
    </row>
    <row r="204" spans="1:10" ht="24">
      <c r="A204" s="2964">
        <v>201</v>
      </c>
      <c r="B204" s="2978" t="s">
        <v>3269</v>
      </c>
      <c r="C204" s="3028" t="s">
        <v>3678</v>
      </c>
      <c r="D204" s="2984">
        <v>60.92</v>
      </c>
      <c r="E204" s="2984">
        <v>42.28</v>
      </c>
      <c r="F204" s="2984">
        <v>3.73</v>
      </c>
      <c r="G204" s="2981">
        <v>18.64</v>
      </c>
      <c r="H204" s="2980" t="s">
        <v>1377</v>
      </c>
      <c r="I204" s="2978" t="s">
        <v>3131</v>
      </c>
      <c r="J204" s="2999"/>
    </row>
    <row r="205" spans="1:10" ht="24">
      <c r="A205" s="2964">
        <v>202</v>
      </c>
      <c r="B205" s="2978" t="s">
        <v>3270</v>
      </c>
      <c r="C205" s="3028" t="s">
        <v>3679</v>
      </c>
      <c r="D205" s="2984">
        <v>65.47</v>
      </c>
      <c r="E205" s="2984">
        <v>45.44</v>
      </c>
      <c r="F205" s="2984">
        <v>3</v>
      </c>
      <c r="G205" s="2981">
        <v>20.03</v>
      </c>
      <c r="H205" s="2980" t="s">
        <v>1377</v>
      </c>
      <c r="I205" s="2978" t="s">
        <v>3131</v>
      </c>
      <c r="J205" s="2999"/>
    </row>
    <row r="206" spans="1:10" ht="24">
      <c r="A206" s="2964">
        <v>203</v>
      </c>
      <c r="B206" s="2978" t="s">
        <v>3271</v>
      </c>
      <c r="C206" s="3028" t="s">
        <v>3680</v>
      </c>
      <c r="D206" s="2984">
        <v>60.33</v>
      </c>
      <c r="E206" s="2984">
        <v>41.87</v>
      </c>
      <c r="F206" s="2984">
        <v>3.77</v>
      </c>
      <c r="G206" s="2981">
        <v>18.46</v>
      </c>
      <c r="H206" s="2980" t="s">
        <v>1377</v>
      </c>
      <c r="I206" s="2978" t="s">
        <v>3131</v>
      </c>
      <c r="J206" s="2999"/>
    </row>
    <row r="207" spans="1:10" ht="24">
      <c r="A207" s="2964">
        <v>204</v>
      </c>
      <c r="B207" s="2978" t="s">
        <v>3272</v>
      </c>
      <c r="C207" s="3028" t="s">
        <v>3681</v>
      </c>
      <c r="D207" s="2984">
        <v>52.78</v>
      </c>
      <c r="E207" s="2984">
        <v>36.630000000000003</v>
      </c>
      <c r="F207" s="2984">
        <v>3.58</v>
      </c>
      <c r="G207" s="2981">
        <v>16.149999999999999</v>
      </c>
      <c r="H207" s="2980" t="s">
        <v>1377</v>
      </c>
      <c r="I207" s="2978" t="s">
        <v>3131</v>
      </c>
      <c r="J207" s="2999"/>
    </row>
    <row r="208" spans="1:10" ht="24">
      <c r="A208" s="2964">
        <v>205</v>
      </c>
      <c r="B208" s="2978" t="s">
        <v>3273</v>
      </c>
      <c r="C208" s="3028" t="s">
        <v>3682</v>
      </c>
      <c r="D208" s="2984">
        <v>52.72</v>
      </c>
      <c r="E208" s="2984">
        <v>36.590000000000003</v>
      </c>
      <c r="F208" s="2984">
        <v>3.49</v>
      </c>
      <c r="G208" s="2981">
        <v>16.13</v>
      </c>
      <c r="H208" s="2980" t="s">
        <v>1377</v>
      </c>
      <c r="I208" s="2978" t="s">
        <v>3131</v>
      </c>
      <c r="J208" s="2999"/>
    </row>
    <row r="209" spans="1:10" ht="24">
      <c r="A209" s="2964">
        <v>206</v>
      </c>
      <c r="B209" s="2978" t="s">
        <v>3274</v>
      </c>
      <c r="C209" s="3028" t="s">
        <v>3683</v>
      </c>
      <c r="D209" s="2984">
        <v>52.72</v>
      </c>
      <c r="E209" s="2984">
        <v>36.590000000000003</v>
      </c>
      <c r="F209" s="2984">
        <v>3.49</v>
      </c>
      <c r="G209" s="2981">
        <v>16.13</v>
      </c>
      <c r="H209" s="2980" t="s">
        <v>1377</v>
      </c>
      <c r="I209" s="2978" t="s">
        <v>3131</v>
      </c>
      <c r="J209" s="2999"/>
    </row>
    <row r="210" spans="1:10" ht="24">
      <c r="A210" s="2964">
        <v>207</v>
      </c>
      <c r="B210" s="2978" t="s">
        <v>3275</v>
      </c>
      <c r="C210" s="3028" t="s">
        <v>3684</v>
      </c>
      <c r="D210" s="2984">
        <v>52.69</v>
      </c>
      <c r="E210" s="2984">
        <v>36.57</v>
      </c>
      <c r="F210" s="2984">
        <v>3.49</v>
      </c>
      <c r="G210" s="2981">
        <v>16.12</v>
      </c>
      <c r="H210" s="2980" t="s">
        <v>1377</v>
      </c>
      <c r="I210" s="2978" t="s">
        <v>3131</v>
      </c>
      <c r="J210" s="2999"/>
    </row>
    <row r="211" spans="1:10" ht="24">
      <c r="A211" s="2964">
        <v>208</v>
      </c>
      <c r="B211" s="2978" t="s">
        <v>3276</v>
      </c>
      <c r="C211" s="3028" t="s">
        <v>3685</v>
      </c>
      <c r="D211" s="2984">
        <v>72.55</v>
      </c>
      <c r="E211" s="2984">
        <v>50.35</v>
      </c>
      <c r="F211" s="2984">
        <v>6.44</v>
      </c>
      <c r="G211" s="2981">
        <v>22.2</v>
      </c>
      <c r="H211" s="2980" t="s">
        <v>1377</v>
      </c>
      <c r="I211" s="2978" t="s">
        <v>3131</v>
      </c>
      <c r="J211" s="2999"/>
    </row>
    <row r="212" spans="1:10" ht="24">
      <c r="A212" s="2964">
        <v>209</v>
      </c>
      <c r="B212" s="2978" t="s">
        <v>3277</v>
      </c>
      <c r="C212" s="3028" t="s">
        <v>3686</v>
      </c>
      <c r="D212" s="2984">
        <v>71.930000000000007</v>
      </c>
      <c r="E212" s="2984">
        <v>49.92</v>
      </c>
      <c r="F212" s="2984">
        <v>6.65</v>
      </c>
      <c r="G212" s="2981">
        <v>22.01</v>
      </c>
      <c r="H212" s="2980" t="s">
        <v>1377</v>
      </c>
      <c r="I212" s="2978" t="s">
        <v>3131</v>
      </c>
      <c r="J212" s="2999"/>
    </row>
    <row r="213" spans="1:10" ht="24">
      <c r="A213" s="2964">
        <v>210</v>
      </c>
      <c r="B213" s="2978" t="s">
        <v>3278</v>
      </c>
      <c r="C213" s="3028" t="s">
        <v>3687</v>
      </c>
      <c r="D213" s="2984">
        <v>52.69</v>
      </c>
      <c r="E213" s="2984">
        <v>36.57</v>
      </c>
      <c r="F213" s="2984">
        <v>3.49</v>
      </c>
      <c r="G213" s="2981">
        <v>16.12</v>
      </c>
      <c r="H213" s="2980" t="s">
        <v>1377</v>
      </c>
      <c r="I213" s="2978" t="s">
        <v>3131</v>
      </c>
      <c r="J213" s="2999"/>
    </row>
    <row r="214" spans="1:10" ht="24">
      <c r="A214" s="2964">
        <v>211</v>
      </c>
      <c r="B214" s="2978" t="s">
        <v>3279</v>
      </c>
      <c r="C214" s="3028" t="s">
        <v>3688</v>
      </c>
      <c r="D214" s="2984">
        <v>52.72</v>
      </c>
      <c r="E214" s="2984">
        <v>36.590000000000003</v>
      </c>
      <c r="F214" s="2984">
        <v>3.49</v>
      </c>
      <c r="G214" s="2981">
        <v>16.13</v>
      </c>
      <c r="H214" s="2980" t="s">
        <v>1377</v>
      </c>
      <c r="I214" s="2978" t="s">
        <v>3131</v>
      </c>
      <c r="J214" s="2999"/>
    </row>
    <row r="215" spans="1:10" ht="24">
      <c r="A215" s="2964">
        <v>212</v>
      </c>
      <c r="B215" s="2978" t="s">
        <v>3280</v>
      </c>
      <c r="C215" s="3028" t="s">
        <v>3689</v>
      </c>
      <c r="D215" s="2984">
        <v>52.06</v>
      </c>
      <c r="E215" s="2984">
        <v>36.130000000000003</v>
      </c>
      <c r="F215" s="2984">
        <v>3.44</v>
      </c>
      <c r="G215" s="2981">
        <v>15.93</v>
      </c>
      <c r="H215" s="2980" t="s">
        <v>1377</v>
      </c>
      <c r="I215" s="2978" t="s">
        <v>3131</v>
      </c>
      <c r="J215" s="2999"/>
    </row>
    <row r="216" spans="1:10" ht="24">
      <c r="A216" s="2964">
        <v>213</v>
      </c>
      <c r="B216" s="2978" t="s">
        <v>3281</v>
      </c>
      <c r="C216" s="3028" t="s">
        <v>3690</v>
      </c>
      <c r="D216" s="2984">
        <v>64.349999999999994</v>
      </c>
      <c r="E216" s="2984">
        <v>44.66</v>
      </c>
      <c r="F216" s="2984">
        <v>3.62</v>
      </c>
      <c r="G216" s="2981">
        <v>19.690000000000001</v>
      </c>
      <c r="H216" s="2980" t="s">
        <v>1377</v>
      </c>
      <c r="I216" s="2978" t="s">
        <v>3131</v>
      </c>
      <c r="J216" s="2999"/>
    </row>
    <row r="217" spans="1:10" ht="24">
      <c r="A217" s="2964">
        <v>214</v>
      </c>
      <c r="B217" s="2978" t="s">
        <v>3282</v>
      </c>
      <c r="C217" s="3028" t="s">
        <v>3691</v>
      </c>
      <c r="D217" s="2984">
        <v>51.51</v>
      </c>
      <c r="E217" s="2984">
        <v>35.15</v>
      </c>
      <c r="F217" s="2984">
        <v>3.04</v>
      </c>
      <c r="G217" s="2981">
        <v>16.36</v>
      </c>
      <c r="H217" s="2980" t="s">
        <v>1377</v>
      </c>
      <c r="I217" s="2978" t="s">
        <v>3131</v>
      </c>
      <c r="J217" s="2999"/>
    </row>
    <row r="218" spans="1:10" ht="24">
      <c r="A218" s="2964">
        <v>215</v>
      </c>
      <c r="B218" s="2978" t="s">
        <v>3283</v>
      </c>
      <c r="C218" s="3028" t="s">
        <v>3692</v>
      </c>
      <c r="D218" s="2984">
        <v>53.3</v>
      </c>
      <c r="E218" s="2984">
        <v>36.369999999999997</v>
      </c>
      <c r="F218" s="2984">
        <v>3.04</v>
      </c>
      <c r="G218" s="2981">
        <v>16.93</v>
      </c>
      <c r="H218" s="2980" t="s">
        <v>1377</v>
      </c>
      <c r="I218" s="2978" t="s">
        <v>3131</v>
      </c>
      <c r="J218" s="2999"/>
    </row>
    <row r="219" spans="1:10" ht="24">
      <c r="A219" s="2964">
        <v>216</v>
      </c>
      <c r="B219" s="2978" t="s">
        <v>3284</v>
      </c>
      <c r="C219" s="3028" t="s">
        <v>3693</v>
      </c>
      <c r="D219" s="2984">
        <v>53.28</v>
      </c>
      <c r="E219" s="2984">
        <v>36.36</v>
      </c>
      <c r="F219" s="2984">
        <v>3.04</v>
      </c>
      <c r="G219" s="2981">
        <v>16.920000000000002</v>
      </c>
      <c r="H219" s="2980" t="s">
        <v>1377</v>
      </c>
      <c r="I219" s="2978" t="s">
        <v>3131</v>
      </c>
      <c r="J219" s="2999"/>
    </row>
    <row r="220" spans="1:10" ht="24">
      <c r="A220" s="2964">
        <v>217</v>
      </c>
      <c r="B220" s="2978" t="s">
        <v>3285</v>
      </c>
      <c r="C220" s="3028" t="s">
        <v>3694</v>
      </c>
      <c r="D220" s="2984">
        <v>53.3</v>
      </c>
      <c r="E220" s="2984">
        <v>36.369999999999997</v>
      </c>
      <c r="F220" s="2984">
        <v>3.04</v>
      </c>
      <c r="G220" s="2981">
        <v>16.93</v>
      </c>
      <c r="H220" s="2980" t="s">
        <v>1377</v>
      </c>
      <c r="I220" s="2978" t="s">
        <v>3131</v>
      </c>
      <c r="J220" s="2999"/>
    </row>
    <row r="221" spans="1:10" ht="24">
      <c r="A221" s="2964">
        <v>218</v>
      </c>
      <c r="B221" s="2978" t="s">
        <v>3286</v>
      </c>
      <c r="C221" s="3028" t="s">
        <v>3695</v>
      </c>
      <c r="D221" s="2984">
        <v>71.97</v>
      </c>
      <c r="E221" s="2984">
        <v>49.11</v>
      </c>
      <c r="F221" s="2984">
        <v>3.07</v>
      </c>
      <c r="G221" s="2981">
        <v>22.86</v>
      </c>
      <c r="H221" s="2980" t="s">
        <v>1377</v>
      </c>
      <c r="I221" s="2978" t="s">
        <v>3131</v>
      </c>
      <c r="J221" s="2999"/>
    </row>
    <row r="222" spans="1:10" ht="24">
      <c r="A222" s="2964">
        <v>219</v>
      </c>
      <c r="B222" s="2978" t="s">
        <v>3287</v>
      </c>
      <c r="C222" s="3028" t="s">
        <v>3696</v>
      </c>
      <c r="D222" s="2984">
        <v>72.39</v>
      </c>
      <c r="E222" s="2984">
        <v>49.4</v>
      </c>
      <c r="F222" s="2984">
        <v>3.36</v>
      </c>
      <c r="G222" s="2981">
        <v>22.99</v>
      </c>
      <c r="H222" s="2980" t="s">
        <v>1377</v>
      </c>
      <c r="I222" s="2978" t="s">
        <v>3131</v>
      </c>
      <c r="J222" s="2999"/>
    </row>
    <row r="223" spans="1:10" ht="24">
      <c r="A223" s="2964">
        <v>220</v>
      </c>
      <c r="B223" s="2978" t="s">
        <v>3288</v>
      </c>
      <c r="C223" s="3028" t="s">
        <v>3697</v>
      </c>
      <c r="D223" s="2984">
        <v>52.89</v>
      </c>
      <c r="E223" s="2984">
        <v>36.090000000000003</v>
      </c>
      <c r="F223" s="2984">
        <v>3.04</v>
      </c>
      <c r="G223" s="2981">
        <v>16.8</v>
      </c>
      <c r="H223" s="2980" t="s">
        <v>1377</v>
      </c>
      <c r="I223" s="2978" t="s">
        <v>3131</v>
      </c>
      <c r="J223" s="2999"/>
    </row>
    <row r="224" spans="1:10" ht="24">
      <c r="A224" s="2964">
        <v>221</v>
      </c>
      <c r="B224" s="2978" t="s">
        <v>3289</v>
      </c>
      <c r="C224" s="3028" t="s">
        <v>3698</v>
      </c>
      <c r="D224" s="2984">
        <v>52.96</v>
      </c>
      <c r="E224" s="2984">
        <v>36.14</v>
      </c>
      <c r="F224" s="2984">
        <v>3.04</v>
      </c>
      <c r="G224" s="2981">
        <v>16.82</v>
      </c>
      <c r="H224" s="2980" t="s">
        <v>1377</v>
      </c>
      <c r="I224" s="2978" t="s">
        <v>3131</v>
      </c>
      <c r="J224" s="2999"/>
    </row>
    <row r="225" spans="1:12" ht="24">
      <c r="A225" s="2964">
        <v>222</v>
      </c>
      <c r="B225" s="2978" t="s">
        <v>3290</v>
      </c>
      <c r="C225" s="3028" t="s">
        <v>3699</v>
      </c>
      <c r="D225" s="2984">
        <v>52.93</v>
      </c>
      <c r="E225" s="2984">
        <v>36.119999999999997</v>
      </c>
      <c r="F225" s="2984">
        <v>3.04</v>
      </c>
      <c r="G225" s="2981">
        <v>16.809999999999999</v>
      </c>
      <c r="H225" s="2980" t="s">
        <v>1377</v>
      </c>
      <c r="I225" s="2978" t="s">
        <v>3131</v>
      </c>
      <c r="J225" s="2999"/>
    </row>
    <row r="226" spans="1:12" ht="24">
      <c r="A226" s="2964">
        <v>223</v>
      </c>
      <c r="B226" s="2978" t="s">
        <v>3291</v>
      </c>
      <c r="C226" s="3028" t="s">
        <v>3700</v>
      </c>
      <c r="D226" s="2984">
        <v>53.61</v>
      </c>
      <c r="E226" s="2984">
        <v>36.58</v>
      </c>
      <c r="F226" s="2984">
        <v>3.5</v>
      </c>
      <c r="G226" s="2981">
        <v>17.03</v>
      </c>
      <c r="H226" s="2980" t="s">
        <v>1377</v>
      </c>
      <c r="I226" s="2978" t="s">
        <v>3131</v>
      </c>
      <c r="J226" s="2999"/>
    </row>
    <row r="227" spans="1:12" ht="24">
      <c r="A227" s="2964">
        <v>224</v>
      </c>
      <c r="B227" s="2978" t="s">
        <v>3292</v>
      </c>
      <c r="C227" s="3028" t="s">
        <v>3701</v>
      </c>
      <c r="D227" s="2984">
        <v>61.96</v>
      </c>
      <c r="E227" s="2984">
        <v>42.28</v>
      </c>
      <c r="F227" s="2984">
        <v>3.73</v>
      </c>
      <c r="G227" s="2981">
        <v>19.68</v>
      </c>
      <c r="H227" s="2980" t="s">
        <v>1377</v>
      </c>
      <c r="I227" s="2978" t="s">
        <v>3131</v>
      </c>
      <c r="J227" s="2999"/>
    </row>
    <row r="228" spans="1:12" ht="24">
      <c r="A228" s="2964">
        <v>225</v>
      </c>
      <c r="B228" s="2978" t="s">
        <v>3293</v>
      </c>
      <c r="C228" s="3028" t="s">
        <v>3702</v>
      </c>
      <c r="D228" s="2984">
        <v>66.66</v>
      </c>
      <c r="E228" s="2984">
        <v>45.49</v>
      </c>
      <c r="F228" s="2984">
        <v>3.05</v>
      </c>
      <c r="G228" s="2981">
        <v>21.17</v>
      </c>
      <c r="H228" s="2980" t="s">
        <v>1377</v>
      </c>
      <c r="I228" s="2978" t="s">
        <v>3131</v>
      </c>
      <c r="J228" s="2999"/>
    </row>
    <row r="229" spans="1:12">
      <c r="A229" s="2985" t="s">
        <v>3295</v>
      </c>
      <c r="B229" s="2994" t="s">
        <v>3478</v>
      </c>
      <c r="C229" s="3030" t="s">
        <v>3703</v>
      </c>
      <c r="D229" s="2986">
        <f>SUM(D4:D228)</f>
        <v>13106.659999999993</v>
      </c>
      <c r="E229" s="2964"/>
      <c r="F229" s="2964"/>
      <c r="G229" s="2964"/>
      <c r="H229" s="2964"/>
      <c r="I229" s="2964"/>
      <c r="J229" s="3000"/>
      <c r="L229">
        <v>1468.71</v>
      </c>
    </row>
    <row r="234" spans="1:12">
      <c r="D234" s="3000"/>
    </row>
  </sheetData>
  <mergeCells count="2">
    <mergeCell ref="B1:I1"/>
    <mergeCell ref="A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topLeftCell="A107" workbookViewId="0">
      <selection activeCell="A3" sqref="A3:I127"/>
    </sheetView>
  </sheetViews>
  <sheetFormatPr defaultRowHeight="12"/>
  <cols>
    <col min="1" max="1" width="6.125" style="3041" customWidth="1"/>
    <col min="2" max="2" width="7.375" style="3041" customWidth="1"/>
    <col min="3" max="3" width="18.125" style="3049" customWidth="1"/>
    <col min="4" max="4" width="10.625" style="3041" customWidth="1"/>
    <col min="5" max="5" width="10.625" style="3048" hidden="1" customWidth="1"/>
    <col min="6" max="7" width="12.625" style="3048" hidden="1" customWidth="1"/>
    <col min="8" max="8" width="9.5" style="3048" customWidth="1"/>
    <col min="9" max="9" width="10.625" style="3041" customWidth="1"/>
    <col min="10" max="258" width="9" style="3041"/>
    <col min="259" max="260" width="10.625" style="3041" customWidth="1"/>
    <col min="261" max="263" width="12.625" style="3041" customWidth="1"/>
    <col min="264" max="264" width="10.625" style="3041" customWidth="1"/>
    <col min="265" max="265" width="10.5" style="3041" customWidth="1"/>
    <col min="266" max="514" width="9" style="3041"/>
    <col min="515" max="516" width="10.625" style="3041" customWidth="1"/>
    <col min="517" max="519" width="12.625" style="3041" customWidth="1"/>
    <col min="520" max="520" width="10.625" style="3041" customWidth="1"/>
    <col min="521" max="521" width="10.5" style="3041" customWidth="1"/>
    <col min="522" max="770" width="9" style="3041"/>
    <col min="771" max="772" width="10.625" style="3041" customWidth="1"/>
    <col min="773" max="775" width="12.625" style="3041" customWidth="1"/>
    <col min="776" max="776" width="10.625" style="3041" customWidth="1"/>
    <col min="777" max="777" width="10.5" style="3041" customWidth="1"/>
    <col min="778" max="1026" width="9" style="3041"/>
    <col min="1027" max="1028" width="10.625" style="3041" customWidth="1"/>
    <col min="1029" max="1031" width="12.625" style="3041" customWidth="1"/>
    <col min="1032" max="1032" width="10.625" style="3041" customWidth="1"/>
    <col min="1033" max="1033" width="10.5" style="3041" customWidth="1"/>
    <col min="1034" max="1282" width="9" style="3041"/>
    <col min="1283" max="1284" width="10.625" style="3041" customWidth="1"/>
    <col min="1285" max="1287" width="12.625" style="3041" customWidth="1"/>
    <col min="1288" max="1288" width="10.625" style="3041" customWidth="1"/>
    <col min="1289" max="1289" width="10.5" style="3041" customWidth="1"/>
    <col min="1290" max="1538" width="9" style="3041"/>
    <col min="1539" max="1540" width="10.625" style="3041" customWidth="1"/>
    <col min="1541" max="1543" width="12.625" style="3041" customWidth="1"/>
    <col min="1544" max="1544" width="10.625" style="3041" customWidth="1"/>
    <col min="1545" max="1545" width="10.5" style="3041" customWidth="1"/>
    <col min="1546" max="1794" width="9" style="3041"/>
    <col min="1795" max="1796" width="10.625" style="3041" customWidth="1"/>
    <col min="1797" max="1799" width="12.625" style="3041" customWidth="1"/>
    <col min="1800" max="1800" width="10.625" style="3041" customWidth="1"/>
    <col min="1801" max="1801" width="10.5" style="3041" customWidth="1"/>
    <col min="1802" max="2050" width="9" style="3041"/>
    <col min="2051" max="2052" width="10.625" style="3041" customWidth="1"/>
    <col min="2053" max="2055" width="12.625" style="3041" customWidth="1"/>
    <col min="2056" max="2056" width="10.625" style="3041" customWidth="1"/>
    <col min="2057" max="2057" width="10.5" style="3041" customWidth="1"/>
    <col min="2058" max="2306" width="9" style="3041"/>
    <col min="2307" max="2308" width="10.625" style="3041" customWidth="1"/>
    <col min="2309" max="2311" width="12.625" style="3041" customWidth="1"/>
    <col min="2312" max="2312" width="10.625" style="3041" customWidth="1"/>
    <col min="2313" max="2313" width="10.5" style="3041" customWidth="1"/>
    <col min="2314" max="2562" width="9" style="3041"/>
    <col min="2563" max="2564" width="10.625" style="3041" customWidth="1"/>
    <col min="2565" max="2567" width="12.625" style="3041" customWidth="1"/>
    <col min="2568" max="2568" width="10.625" style="3041" customWidth="1"/>
    <col min="2569" max="2569" width="10.5" style="3041" customWidth="1"/>
    <col min="2570" max="2818" width="9" style="3041"/>
    <col min="2819" max="2820" width="10.625" style="3041" customWidth="1"/>
    <col min="2821" max="2823" width="12.625" style="3041" customWidth="1"/>
    <col min="2824" max="2824" width="10.625" style="3041" customWidth="1"/>
    <col min="2825" max="2825" width="10.5" style="3041" customWidth="1"/>
    <col min="2826" max="3074" width="9" style="3041"/>
    <col min="3075" max="3076" width="10.625" style="3041" customWidth="1"/>
    <col min="3077" max="3079" width="12.625" style="3041" customWidth="1"/>
    <col min="3080" max="3080" width="10.625" style="3041" customWidth="1"/>
    <col min="3081" max="3081" width="10.5" style="3041" customWidth="1"/>
    <col min="3082" max="3330" width="9" style="3041"/>
    <col min="3331" max="3332" width="10.625" style="3041" customWidth="1"/>
    <col min="3333" max="3335" width="12.625" style="3041" customWidth="1"/>
    <col min="3336" max="3336" width="10.625" style="3041" customWidth="1"/>
    <col min="3337" max="3337" width="10.5" style="3041" customWidth="1"/>
    <col min="3338" max="3586" width="9" style="3041"/>
    <col min="3587" max="3588" width="10.625" style="3041" customWidth="1"/>
    <col min="3589" max="3591" width="12.625" style="3041" customWidth="1"/>
    <col min="3592" max="3592" width="10.625" style="3041" customWidth="1"/>
    <col min="3593" max="3593" width="10.5" style="3041" customWidth="1"/>
    <col min="3594" max="3842" width="9" style="3041"/>
    <col min="3843" max="3844" width="10.625" style="3041" customWidth="1"/>
    <col min="3845" max="3847" width="12.625" style="3041" customWidth="1"/>
    <col min="3848" max="3848" width="10.625" style="3041" customWidth="1"/>
    <col min="3849" max="3849" width="10.5" style="3041" customWidth="1"/>
    <col min="3850" max="4098" width="9" style="3041"/>
    <col min="4099" max="4100" width="10.625" style="3041" customWidth="1"/>
    <col min="4101" max="4103" width="12.625" style="3041" customWidth="1"/>
    <col min="4104" max="4104" width="10.625" style="3041" customWidth="1"/>
    <col min="4105" max="4105" width="10.5" style="3041" customWidth="1"/>
    <col min="4106" max="4354" width="9" style="3041"/>
    <col min="4355" max="4356" width="10.625" style="3041" customWidth="1"/>
    <col min="4357" max="4359" width="12.625" style="3041" customWidth="1"/>
    <col min="4360" max="4360" width="10.625" style="3041" customWidth="1"/>
    <col min="4361" max="4361" width="10.5" style="3041" customWidth="1"/>
    <col min="4362" max="4610" width="9" style="3041"/>
    <col min="4611" max="4612" width="10.625" style="3041" customWidth="1"/>
    <col min="4613" max="4615" width="12.625" style="3041" customWidth="1"/>
    <col min="4616" max="4616" width="10.625" style="3041" customWidth="1"/>
    <col min="4617" max="4617" width="10.5" style="3041" customWidth="1"/>
    <col min="4618" max="4866" width="9" style="3041"/>
    <col min="4867" max="4868" width="10.625" style="3041" customWidth="1"/>
    <col min="4869" max="4871" width="12.625" style="3041" customWidth="1"/>
    <col min="4872" max="4872" width="10.625" style="3041" customWidth="1"/>
    <col min="4873" max="4873" width="10.5" style="3041" customWidth="1"/>
    <col min="4874" max="5122" width="9" style="3041"/>
    <col min="5123" max="5124" width="10.625" style="3041" customWidth="1"/>
    <col min="5125" max="5127" width="12.625" style="3041" customWidth="1"/>
    <col min="5128" max="5128" width="10.625" style="3041" customWidth="1"/>
    <col min="5129" max="5129" width="10.5" style="3041" customWidth="1"/>
    <col min="5130" max="5378" width="9" style="3041"/>
    <col min="5379" max="5380" width="10.625" style="3041" customWidth="1"/>
    <col min="5381" max="5383" width="12.625" style="3041" customWidth="1"/>
    <col min="5384" max="5384" width="10.625" style="3041" customWidth="1"/>
    <col min="5385" max="5385" width="10.5" style="3041" customWidth="1"/>
    <col min="5386" max="5634" width="9" style="3041"/>
    <col min="5635" max="5636" width="10.625" style="3041" customWidth="1"/>
    <col min="5637" max="5639" width="12.625" style="3041" customWidth="1"/>
    <col min="5640" max="5640" width="10.625" style="3041" customWidth="1"/>
    <col min="5641" max="5641" width="10.5" style="3041" customWidth="1"/>
    <col min="5642" max="5890" width="9" style="3041"/>
    <col min="5891" max="5892" width="10.625" style="3041" customWidth="1"/>
    <col min="5893" max="5895" width="12.625" style="3041" customWidth="1"/>
    <col min="5896" max="5896" width="10.625" style="3041" customWidth="1"/>
    <col min="5897" max="5897" width="10.5" style="3041" customWidth="1"/>
    <col min="5898" max="6146" width="9" style="3041"/>
    <col min="6147" max="6148" width="10.625" style="3041" customWidth="1"/>
    <col min="6149" max="6151" width="12.625" style="3041" customWidth="1"/>
    <col min="6152" max="6152" width="10.625" style="3041" customWidth="1"/>
    <col min="6153" max="6153" width="10.5" style="3041" customWidth="1"/>
    <col min="6154" max="6402" width="9" style="3041"/>
    <col min="6403" max="6404" width="10.625" style="3041" customWidth="1"/>
    <col min="6405" max="6407" width="12.625" style="3041" customWidth="1"/>
    <col min="6408" max="6408" width="10.625" style="3041" customWidth="1"/>
    <col min="6409" max="6409" width="10.5" style="3041" customWidth="1"/>
    <col min="6410" max="6658" width="9" style="3041"/>
    <col min="6659" max="6660" width="10.625" style="3041" customWidth="1"/>
    <col min="6661" max="6663" width="12.625" style="3041" customWidth="1"/>
    <col min="6664" max="6664" width="10.625" style="3041" customWidth="1"/>
    <col min="6665" max="6665" width="10.5" style="3041" customWidth="1"/>
    <col min="6666" max="6914" width="9" style="3041"/>
    <col min="6915" max="6916" width="10.625" style="3041" customWidth="1"/>
    <col min="6917" max="6919" width="12.625" style="3041" customWidth="1"/>
    <col min="6920" max="6920" width="10.625" style="3041" customWidth="1"/>
    <col min="6921" max="6921" width="10.5" style="3041" customWidth="1"/>
    <col min="6922" max="7170" width="9" style="3041"/>
    <col min="7171" max="7172" width="10.625" style="3041" customWidth="1"/>
    <col min="7173" max="7175" width="12.625" style="3041" customWidth="1"/>
    <col min="7176" max="7176" width="10.625" style="3041" customWidth="1"/>
    <col min="7177" max="7177" width="10.5" style="3041" customWidth="1"/>
    <col min="7178" max="7426" width="9" style="3041"/>
    <col min="7427" max="7428" width="10.625" style="3041" customWidth="1"/>
    <col min="7429" max="7431" width="12.625" style="3041" customWidth="1"/>
    <col min="7432" max="7432" width="10.625" style="3041" customWidth="1"/>
    <col min="7433" max="7433" width="10.5" style="3041" customWidth="1"/>
    <col min="7434" max="7682" width="9" style="3041"/>
    <col min="7683" max="7684" width="10.625" style="3041" customWidth="1"/>
    <col min="7685" max="7687" width="12.625" style="3041" customWidth="1"/>
    <col min="7688" max="7688" width="10.625" style="3041" customWidth="1"/>
    <col min="7689" max="7689" width="10.5" style="3041" customWidth="1"/>
    <col min="7690" max="7938" width="9" style="3041"/>
    <col min="7939" max="7940" width="10.625" style="3041" customWidth="1"/>
    <col min="7941" max="7943" width="12.625" style="3041" customWidth="1"/>
    <col min="7944" max="7944" width="10.625" style="3041" customWidth="1"/>
    <col min="7945" max="7945" width="10.5" style="3041" customWidth="1"/>
    <col min="7946" max="8194" width="9" style="3041"/>
    <col min="8195" max="8196" width="10.625" style="3041" customWidth="1"/>
    <col min="8197" max="8199" width="12.625" style="3041" customWidth="1"/>
    <col min="8200" max="8200" width="10.625" style="3041" customWidth="1"/>
    <col min="8201" max="8201" width="10.5" style="3041" customWidth="1"/>
    <col min="8202" max="8450" width="9" style="3041"/>
    <col min="8451" max="8452" width="10.625" style="3041" customWidth="1"/>
    <col min="8453" max="8455" width="12.625" style="3041" customWidth="1"/>
    <col min="8456" max="8456" width="10.625" style="3041" customWidth="1"/>
    <col min="8457" max="8457" width="10.5" style="3041" customWidth="1"/>
    <col min="8458" max="8706" width="9" style="3041"/>
    <col min="8707" max="8708" width="10.625" style="3041" customWidth="1"/>
    <col min="8709" max="8711" width="12.625" style="3041" customWidth="1"/>
    <col min="8712" max="8712" width="10.625" style="3041" customWidth="1"/>
    <col min="8713" max="8713" width="10.5" style="3041" customWidth="1"/>
    <col min="8714" max="8962" width="9" style="3041"/>
    <col min="8963" max="8964" width="10.625" style="3041" customWidth="1"/>
    <col min="8965" max="8967" width="12.625" style="3041" customWidth="1"/>
    <col min="8968" max="8968" width="10.625" style="3041" customWidth="1"/>
    <col min="8969" max="8969" width="10.5" style="3041" customWidth="1"/>
    <col min="8970" max="9218" width="9" style="3041"/>
    <col min="9219" max="9220" width="10.625" style="3041" customWidth="1"/>
    <col min="9221" max="9223" width="12.625" style="3041" customWidth="1"/>
    <col min="9224" max="9224" width="10.625" style="3041" customWidth="1"/>
    <col min="9225" max="9225" width="10.5" style="3041" customWidth="1"/>
    <col min="9226" max="9474" width="9" style="3041"/>
    <col min="9475" max="9476" width="10.625" style="3041" customWidth="1"/>
    <col min="9477" max="9479" width="12.625" style="3041" customWidth="1"/>
    <col min="9480" max="9480" width="10.625" style="3041" customWidth="1"/>
    <col min="9481" max="9481" width="10.5" style="3041" customWidth="1"/>
    <col min="9482" max="9730" width="9" style="3041"/>
    <col min="9731" max="9732" width="10.625" style="3041" customWidth="1"/>
    <col min="9733" max="9735" width="12.625" style="3041" customWidth="1"/>
    <col min="9736" max="9736" width="10.625" style="3041" customWidth="1"/>
    <col min="9737" max="9737" width="10.5" style="3041" customWidth="1"/>
    <col min="9738" max="9986" width="9" style="3041"/>
    <col min="9987" max="9988" width="10.625" style="3041" customWidth="1"/>
    <col min="9989" max="9991" width="12.625" style="3041" customWidth="1"/>
    <col min="9992" max="9992" width="10.625" style="3041" customWidth="1"/>
    <col min="9993" max="9993" width="10.5" style="3041" customWidth="1"/>
    <col min="9994" max="10242" width="9" style="3041"/>
    <col min="10243" max="10244" width="10.625" style="3041" customWidth="1"/>
    <col min="10245" max="10247" width="12.625" style="3041" customWidth="1"/>
    <col min="10248" max="10248" width="10.625" style="3041" customWidth="1"/>
    <col min="10249" max="10249" width="10.5" style="3041" customWidth="1"/>
    <col min="10250" max="10498" width="9" style="3041"/>
    <col min="10499" max="10500" width="10.625" style="3041" customWidth="1"/>
    <col min="10501" max="10503" width="12.625" style="3041" customWidth="1"/>
    <col min="10504" max="10504" width="10.625" style="3041" customWidth="1"/>
    <col min="10505" max="10505" width="10.5" style="3041" customWidth="1"/>
    <col min="10506" max="10754" width="9" style="3041"/>
    <col min="10755" max="10756" width="10.625" style="3041" customWidth="1"/>
    <col min="10757" max="10759" width="12.625" style="3041" customWidth="1"/>
    <col min="10760" max="10760" width="10.625" style="3041" customWidth="1"/>
    <col min="10761" max="10761" width="10.5" style="3041" customWidth="1"/>
    <col min="10762" max="11010" width="9" style="3041"/>
    <col min="11011" max="11012" width="10.625" style="3041" customWidth="1"/>
    <col min="11013" max="11015" width="12.625" style="3041" customWidth="1"/>
    <col min="11016" max="11016" width="10.625" style="3041" customWidth="1"/>
    <col min="11017" max="11017" width="10.5" style="3041" customWidth="1"/>
    <col min="11018" max="11266" width="9" style="3041"/>
    <col min="11267" max="11268" width="10.625" style="3041" customWidth="1"/>
    <col min="11269" max="11271" width="12.625" style="3041" customWidth="1"/>
    <col min="11272" max="11272" width="10.625" style="3041" customWidth="1"/>
    <col min="11273" max="11273" width="10.5" style="3041" customWidth="1"/>
    <col min="11274" max="11522" width="9" style="3041"/>
    <col min="11523" max="11524" width="10.625" style="3041" customWidth="1"/>
    <col min="11525" max="11527" width="12.625" style="3041" customWidth="1"/>
    <col min="11528" max="11528" width="10.625" style="3041" customWidth="1"/>
    <col min="11529" max="11529" width="10.5" style="3041" customWidth="1"/>
    <col min="11530" max="11778" width="9" style="3041"/>
    <col min="11779" max="11780" width="10.625" style="3041" customWidth="1"/>
    <col min="11781" max="11783" width="12.625" style="3041" customWidth="1"/>
    <col min="11784" max="11784" width="10.625" style="3041" customWidth="1"/>
    <col min="11785" max="11785" width="10.5" style="3041" customWidth="1"/>
    <col min="11786" max="12034" width="9" style="3041"/>
    <col min="12035" max="12036" width="10.625" style="3041" customWidth="1"/>
    <col min="12037" max="12039" width="12.625" style="3041" customWidth="1"/>
    <col min="12040" max="12040" width="10.625" style="3041" customWidth="1"/>
    <col min="12041" max="12041" width="10.5" style="3041" customWidth="1"/>
    <col min="12042" max="12290" width="9" style="3041"/>
    <col min="12291" max="12292" width="10.625" style="3041" customWidth="1"/>
    <col min="12293" max="12295" width="12.625" style="3041" customWidth="1"/>
    <col min="12296" max="12296" width="10.625" style="3041" customWidth="1"/>
    <col min="12297" max="12297" width="10.5" style="3041" customWidth="1"/>
    <col min="12298" max="12546" width="9" style="3041"/>
    <col min="12547" max="12548" width="10.625" style="3041" customWidth="1"/>
    <col min="12549" max="12551" width="12.625" style="3041" customWidth="1"/>
    <col min="12552" max="12552" width="10.625" style="3041" customWidth="1"/>
    <col min="12553" max="12553" width="10.5" style="3041" customWidth="1"/>
    <col min="12554" max="12802" width="9" style="3041"/>
    <col min="12803" max="12804" width="10.625" style="3041" customWidth="1"/>
    <col min="12805" max="12807" width="12.625" style="3041" customWidth="1"/>
    <col min="12808" max="12808" width="10.625" style="3041" customWidth="1"/>
    <col min="12809" max="12809" width="10.5" style="3041" customWidth="1"/>
    <col min="12810" max="13058" width="9" style="3041"/>
    <col min="13059" max="13060" width="10.625" style="3041" customWidth="1"/>
    <col min="13061" max="13063" width="12.625" style="3041" customWidth="1"/>
    <col min="13064" max="13064" width="10.625" style="3041" customWidth="1"/>
    <col min="13065" max="13065" width="10.5" style="3041" customWidth="1"/>
    <col min="13066" max="13314" width="9" style="3041"/>
    <col min="13315" max="13316" width="10.625" style="3041" customWidth="1"/>
    <col min="13317" max="13319" width="12.625" style="3041" customWidth="1"/>
    <col min="13320" max="13320" width="10.625" style="3041" customWidth="1"/>
    <col min="13321" max="13321" width="10.5" style="3041" customWidth="1"/>
    <col min="13322" max="13570" width="9" style="3041"/>
    <col min="13571" max="13572" width="10.625" style="3041" customWidth="1"/>
    <col min="13573" max="13575" width="12.625" style="3041" customWidth="1"/>
    <col min="13576" max="13576" width="10.625" style="3041" customWidth="1"/>
    <col min="13577" max="13577" width="10.5" style="3041" customWidth="1"/>
    <col min="13578" max="13826" width="9" style="3041"/>
    <col min="13827" max="13828" width="10.625" style="3041" customWidth="1"/>
    <col min="13829" max="13831" width="12.625" style="3041" customWidth="1"/>
    <col min="13832" max="13832" width="10.625" style="3041" customWidth="1"/>
    <col min="13833" max="13833" width="10.5" style="3041" customWidth="1"/>
    <col min="13834" max="14082" width="9" style="3041"/>
    <col min="14083" max="14084" width="10.625" style="3041" customWidth="1"/>
    <col min="14085" max="14087" width="12.625" style="3041" customWidth="1"/>
    <col min="14088" max="14088" width="10.625" style="3041" customWidth="1"/>
    <col min="14089" max="14089" width="10.5" style="3041" customWidth="1"/>
    <col min="14090" max="14338" width="9" style="3041"/>
    <col min="14339" max="14340" width="10.625" style="3041" customWidth="1"/>
    <col min="14341" max="14343" width="12.625" style="3041" customWidth="1"/>
    <col min="14344" max="14344" width="10.625" style="3041" customWidth="1"/>
    <col min="14345" max="14345" width="10.5" style="3041" customWidth="1"/>
    <col min="14346" max="14594" width="9" style="3041"/>
    <col min="14595" max="14596" width="10.625" style="3041" customWidth="1"/>
    <col min="14597" max="14599" width="12.625" style="3041" customWidth="1"/>
    <col min="14600" max="14600" width="10.625" style="3041" customWidth="1"/>
    <col min="14601" max="14601" width="10.5" style="3041" customWidth="1"/>
    <col min="14602" max="14850" width="9" style="3041"/>
    <col min="14851" max="14852" width="10.625" style="3041" customWidth="1"/>
    <col min="14853" max="14855" width="12.625" style="3041" customWidth="1"/>
    <col min="14856" max="14856" width="10.625" style="3041" customWidth="1"/>
    <col min="14857" max="14857" width="10.5" style="3041" customWidth="1"/>
    <col min="14858" max="15106" width="9" style="3041"/>
    <col min="15107" max="15108" width="10.625" style="3041" customWidth="1"/>
    <col min="15109" max="15111" width="12.625" style="3041" customWidth="1"/>
    <col min="15112" max="15112" width="10.625" style="3041" customWidth="1"/>
    <col min="15113" max="15113" width="10.5" style="3041" customWidth="1"/>
    <col min="15114" max="15362" width="9" style="3041"/>
    <col min="15363" max="15364" width="10.625" style="3041" customWidth="1"/>
    <col min="15365" max="15367" width="12.625" style="3041" customWidth="1"/>
    <col min="15368" max="15368" width="10.625" style="3041" customWidth="1"/>
    <col min="15369" max="15369" width="10.5" style="3041" customWidth="1"/>
    <col min="15370" max="15618" width="9" style="3041"/>
    <col min="15619" max="15620" width="10.625" style="3041" customWidth="1"/>
    <col min="15621" max="15623" width="12.625" style="3041" customWidth="1"/>
    <col min="15624" max="15624" width="10.625" style="3041" customWidth="1"/>
    <col min="15625" max="15625" width="10.5" style="3041" customWidth="1"/>
    <col min="15626" max="15874" width="9" style="3041"/>
    <col min="15875" max="15876" width="10.625" style="3041" customWidth="1"/>
    <col min="15877" max="15879" width="12.625" style="3041" customWidth="1"/>
    <col min="15880" max="15880" width="10.625" style="3041" customWidth="1"/>
    <col min="15881" max="15881" width="10.5" style="3041" customWidth="1"/>
    <col min="15882" max="16130" width="9" style="3041"/>
    <col min="16131" max="16132" width="10.625" style="3041" customWidth="1"/>
    <col min="16133" max="16135" width="12.625" style="3041" customWidth="1"/>
    <col min="16136" max="16136" width="10.625" style="3041" customWidth="1"/>
    <col min="16137" max="16137" width="10.5" style="3041" customWidth="1"/>
    <col min="16138" max="16384" width="9" style="3041"/>
  </cols>
  <sheetData>
    <row r="1" spans="1:10" ht="23.25" customHeight="1">
      <c r="A1" s="3026"/>
      <c r="B1" s="3145" t="s">
        <v>3296</v>
      </c>
      <c r="C1" s="3145"/>
      <c r="D1" s="3145"/>
      <c r="E1" s="3145"/>
      <c r="F1" s="3145"/>
      <c r="G1" s="3145"/>
      <c r="H1" s="3145"/>
      <c r="I1" s="3145"/>
    </row>
    <row r="2" spans="1:10" ht="30" customHeight="1">
      <c r="A2" s="3026"/>
      <c r="B2" s="3146" t="s">
        <v>3129</v>
      </c>
      <c r="C2" s="3146"/>
      <c r="D2" s="3146"/>
      <c r="E2" s="3146"/>
      <c r="F2" s="3146"/>
      <c r="G2" s="3146"/>
      <c r="H2" s="3146"/>
      <c r="I2" s="3042" t="s">
        <v>3054</v>
      </c>
    </row>
    <row r="3" spans="1:10" ht="35.25" customHeight="1">
      <c r="A3" s="3026" t="s">
        <v>3294</v>
      </c>
      <c r="B3" s="3025" t="s">
        <v>3055</v>
      </c>
      <c r="C3" s="3027" t="s">
        <v>3477</v>
      </c>
      <c r="D3" s="3033" t="s">
        <v>3056</v>
      </c>
      <c r="E3" s="3033" t="s">
        <v>3057</v>
      </c>
      <c r="F3" s="3033" t="s">
        <v>3058</v>
      </c>
      <c r="G3" s="3033" t="s">
        <v>3130</v>
      </c>
      <c r="H3" s="3025" t="s">
        <v>3060</v>
      </c>
      <c r="I3" s="3043" t="s">
        <v>3061</v>
      </c>
    </row>
    <row r="4" spans="1:10" ht="24" customHeight="1">
      <c r="A4" s="3026">
        <v>1</v>
      </c>
      <c r="B4" s="3025" t="s">
        <v>3106</v>
      </c>
      <c r="C4" s="3028" t="s">
        <v>3705</v>
      </c>
      <c r="D4" s="3044">
        <f>E4+G4</f>
        <v>70.040000000000006</v>
      </c>
      <c r="E4" s="3044">
        <v>49.03</v>
      </c>
      <c r="F4" s="3044">
        <v>3.66</v>
      </c>
      <c r="G4" s="3044">
        <v>21.01</v>
      </c>
      <c r="H4" s="3025" t="s">
        <v>1377</v>
      </c>
      <c r="I4" s="3026" t="s">
        <v>3131</v>
      </c>
      <c r="J4" s="3045"/>
    </row>
    <row r="5" spans="1:10" ht="24" customHeight="1">
      <c r="A5" s="3026">
        <v>2</v>
      </c>
      <c r="B5" s="3025" t="s">
        <v>3107</v>
      </c>
      <c r="C5" s="3028" t="s">
        <v>3706</v>
      </c>
      <c r="D5" s="3044">
        <v>54.12</v>
      </c>
      <c r="E5" s="3044">
        <v>37.880000000000003</v>
      </c>
      <c r="F5" s="3044">
        <v>3.21</v>
      </c>
      <c r="G5" s="3044">
        <v>16.239999999999998</v>
      </c>
      <c r="H5" s="3025" t="s">
        <v>1377</v>
      </c>
      <c r="I5" s="3026" t="s">
        <v>3131</v>
      </c>
      <c r="J5" s="3045"/>
    </row>
    <row r="6" spans="1:10" ht="24" customHeight="1">
      <c r="A6" s="3026">
        <v>3</v>
      </c>
      <c r="B6" s="3025" t="s">
        <v>3108</v>
      </c>
      <c r="C6" s="3028" t="s">
        <v>3707</v>
      </c>
      <c r="D6" s="3044">
        <v>54</v>
      </c>
      <c r="E6" s="3044">
        <v>37.799999999999997</v>
      </c>
      <c r="F6" s="3044">
        <v>3.21</v>
      </c>
      <c r="G6" s="3044">
        <v>16.2</v>
      </c>
      <c r="H6" s="3025" t="s">
        <v>1377</v>
      </c>
      <c r="I6" s="3026" t="s">
        <v>3131</v>
      </c>
      <c r="J6" s="3045"/>
    </row>
    <row r="7" spans="1:10" ht="24" customHeight="1">
      <c r="A7" s="3026">
        <v>4</v>
      </c>
      <c r="B7" s="3025" t="s">
        <v>3109</v>
      </c>
      <c r="C7" s="3028" t="s">
        <v>3708</v>
      </c>
      <c r="D7" s="3033">
        <v>54.37</v>
      </c>
      <c r="E7" s="3033">
        <v>38.06</v>
      </c>
      <c r="F7" s="3033">
        <v>3.39</v>
      </c>
      <c r="G7" s="3033">
        <v>16.309999999999999</v>
      </c>
      <c r="H7" s="3025" t="s">
        <v>1377</v>
      </c>
      <c r="I7" s="3026" t="s">
        <v>3131</v>
      </c>
      <c r="J7" s="3045"/>
    </row>
    <row r="8" spans="1:10" ht="24" customHeight="1">
      <c r="A8" s="3026">
        <v>5</v>
      </c>
      <c r="B8" s="3026" t="s">
        <v>3110</v>
      </c>
      <c r="C8" s="3028" t="s">
        <v>3709</v>
      </c>
      <c r="D8" s="3046">
        <v>67.239999999999995</v>
      </c>
      <c r="E8" s="3046">
        <v>47.07</v>
      </c>
      <c r="F8" s="3046">
        <v>3.98</v>
      </c>
      <c r="G8" s="3046">
        <v>20.170000000000002</v>
      </c>
      <c r="H8" s="3025" t="s">
        <v>1377</v>
      </c>
      <c r="I8" s="3026" t="s">
        <v>3131</v>
      </c>
      <c r="J8" s="3045"/>
    </row>
    <row r="9" spans="1:10" ht="24" customHeight="1">
      <c r="A9" s="3026">
        <v>6</v>
      </c>
      <c r="B9" s="3026" t="s">
        <v>3111</v>
      </c>
      <c r="C9" s="3028" t="s">
        <v>3710</v>
      </c>
      <c r="D9" s="3046">
        <v>57.33</v>
      </c>
      <c r="E9" s="3046">
        <v>40.130000000000003</v>
      </c>
      <c r="F9" s="3046">
        <v>2.91</v>
      </c>
      <c r="G9" s="3046">
        <v>17.2</v>
      </c>
      <c r="H9" s="3025" t="s">
        <v>1377</v>
      </c>
      <c r="I9" s="3026" t="s">
        <v>3131</v>
      </c>
      <c r="J9" s="3045"/>
    </row>
    <row r="10" spans="1:10" ht="24" customHeight="1">
      <c r="A10" s="3026">
        <v>7</v>
      </c>
      <c r="B10" s="3026" t="s">
        <v>3112</v>
      </c>
      <c r="C10" s="3028" t="s">
        <v>3711</v>
      </c>
      <c r="D10" s="3046">
        <v>96.95</v>
      </c>
      <c r="E10" s="3046">
        <v>67.86</v>
      </c>
      <c r="F10" s="3046">
        <v>8.69</v>
      </c>
      <c r="G10" s="3046">
        <v>29.09</v>
      </c>
      <c r="H10" s="3025" t="s">
        <v>1377</v>
      </c>
      <c r="I10" s="3026" t="s">
        <v>3131</v>
      </c>
      <c r="J10" s="3045"/>
    </row>
    <row r="11" spans="1:10" ht="24" customHeight="1">
      <c r="A11" s="3026">
        <v>8</v>
      </c>
      <c r="B11" s="3026" t="s">
        <v>3113</v>
      </c>
      <c r="C11" s="3028" t="s">
        <v>3712</v>
      </c>
      <c r="D11" s="3046">
        <v>96.95</v>
      </c>
      <c r="E11" s="3046">
        <v>67.86</v>
      </c>
      <c r="F11" s="3046">
        <v>8.69</v>
      </c>
      <c r="G11" s="3046">
        <v>29.09</v>
      </c>
      <c r="H11" s="3025" t="s">
        <v>1377</v>
      </c>
      <c r="I11" s="3026" t="s">
        <v>3131</v>
      </c>
      <c r="J11" s="3045"/>
    </row>
    <row r="12" spans="1:10" ht="24" customHeight="1">
      <c r="A12" s="3026">
        <v>9</v>
      </c>
      <c r="B12" s="3026" t="s">
        <v>3114</v>
      </c>
      <c r="C12" s="3028" t="s">
        <v>3713</v>
      </c>
      <c r="D12" s="3046">
        <v>57.33</v>
      </c>
      <c r="E12" s="3046">
        <v>40.130000000000003</v>
      </c>
      <c r="F12" s="3046">
        <v>2.91</v>
      </c>
      <c r="G12" s="3046">
        <v>17.2</v>
      </c>
      <c r="H12" s="3025" t="s">
        <v>1377</v>
      </c>
      <c r="I12" s="3026" t="s">
        <v>3131</v>
      </c>
      <c r="J12" s="3045"/>
    </row>
    <row r="13" spans="1:10" ht="24" customHeight="1">
      <c r="A13" s="3026">
        <v>10</v>
      </c>
      <c r="B13" s="3026" t="s">
        <v>3115</v>
      </c>
      <c r="C13" s="3028" t="s">
        <v>3714</v>
      </c>
      <c r="D13" s="3046">
        <v>67.290000000000006</v>
      </c>
      <c r="E13" s="3046">
        <v>47.1</v>
      </c>
      <c r="F13" s="3046">
        <v>4.01</v>
      </c>
      <c r="G13" s="3046">
        <v>20.190000000000001</v>
      </c>
      <c r="H13" s="3025" t="s">
        <v>1377</v>
      </c>
      <c r="I13" s="3026" t="s">
        <v>3131</v>
      </c>
      <c r="J13" s="3045"/>
    </row>
    <row r="14" spans="1:10" ht="24" customHeight="1">
      <c r="A14" s="3026">
        <v>11</v>
      </c>
      <c r="B14" s="3026" t="s">
        <v>3116</v>
      </c>
      <c r="C14" s="3028" t="s">
        <v>3715</v>
      </c>
      <c r="D14" s="3046">
        <v>54.12</v>
      </c>
      <c r="E14" s="3046">
        <v>37.880000000000003</v>
      </c>
      <c r="F14" s="3046">
        <v>3.21</v>
      </c>
      <c r="G14" s="3046">
        <v>16.239999999999998</v>
      </c>
      <c r="H14" s="3025" t="s">
        <v>1377</v>
      </c>
      <c r="I14" s="3026" t="s">
        <v>3131</v>
      </c>
      <c r="J14" s="3045"/>
    </row>
    <row r="15" spans="1:10" ht="24" customHeight="1">
      <c r="A15" s="3026">
        <v>12</v>
      </c>
      <c r="B15" s="3026" t="s">
        <v>3117</v>
      </c>
      <c r="C15" s="3028" t="s">
        <v>3716</v>
      </c>
      <c r="D15" s="3046">
        <v>74.06</v>
      </c>
      <c r="E15" s="3046">
        <v>51.84</v>
      </c>
      <c r="F15" s="3046">
        <v>6.48</v>
      </c>
      <c r="G15" s="3046">
        <v>22.22</v>
      </c>
      <c r="H15" s="3025" t="s">
        <v>1377</v>
      </c>
      <c r="I15" s="3026" t="s">
        <v>3131</v>
      </c>
      <c r="J15" s="3045"/>
    </row>
    <row r="16" spans="1:10" ht="24" customHeight="1">
      <c r="A16" s="3026">
        <v>13</v>
      </c>
      <c r="B16" s="3026" t="s">
        <v>3124</v>
      </c>
      <c r="C16" s="3028" t="s">
        <v>3717</v>
      </c>
      <c r="D16" s="3046">
        <v>68.27</v>
      </c>
      <c r="E16" s="3046">
        <v>49.03</v>
      </c>
      <c r="F16" s="3046">
        <v>3.66</v>
      </c>
      <c r="G16" s="3046">
        <v>19.239999999999998</v>
      </c>
      <c r="H16" s="3025" t="s">
        <v>1377</v>
      </c>
      <c r="I16" s="3026" t="s">
        <v>3131</v>
      </c>
      <c r="J16" s="3045"/>
    </row>
    <row r="17" spans="1:10" ht="24" customHeight="1">
      <c r="A17" s="3026">
        <v>14</v>
      </c>
      <c r="B17" s="3026" t="s">
        <v>3125</v>
      </c>
      <c r="C17" s="3028" t="s">
        <v>3718</v>
      </c>
      <c r="D17" s="3046">
        <v>52.74</v>
      </c>
      <c r="E17" s="3046">
        <v>37.880000000000003</v>
      </c>
      <c r="F17" s="3046">
        <v>3.21</v>
      </c>
      <c r="G17" s="3046">
        <v>14.86</v>
      </c>
      <c r="H17" s="3025" t="s">
        <v>1377</v>
      </c>
      <c r="I17" s="3026" t="s">
        <v>3131</v>
      </c>
      <c r="J17" s="3045"/>
    </row>
    <row r="18" spans="1:10" ht="24" customHeight="1">
      <c r="A18" s="3026">
        <v>15</v>
      </c>
      <c r="B18" s="3026" t="s">
        <v>3126</v>
      </c>
      <c r="C18" s="3028" t="s">
        <v>3719</v>
      </c>
      <c r="D18" s="3046">
        <v>52.63</v>
      </c>
      <c r="E18" s="3046">
        <v>37.799999999999997</v>
      </c>
      <c r="F18" s="3046">
        <v>3.21</v>
      </c>
      <c r="G18" s="3046">
        <v>14.83</v>
      </c>
      <c r="H18" s="3025" t="s">
        <v>1377</v>
      </c>
      <c r="I18" s="3026" t="s">
        <v>3131</v>
      </c>
      <c r="J18" s="3045"/>
    </row>
    <row r="19" spans="1:10" ht="24" customHeight="1">
      <c r="A19" s="3026">
        <v>16</v>
      </c>
      <c r="B19" s="3026" t="s">
        <v>3132</v>
      </c>
      <c r="C19" s="3028" t="s">
        <v>3720</v>
      </c>
      <c r="D19" s="3046">
        <v>53</v>
      </c>
      <c r="E19" s="3046">
        <v>38.06</v>
      </c>
      <c r="F19" s="3046">
        <v>3.39</v>
      </c>
      <c r="G19" s="3046">
        <v>14.94</v>
      </c>
      <c r="H19" s="3025" t="s">
        <v>1377</v>
      </c>
      <c r="I19" s="3026" t="s">
        <v>3131</v>
      </c>
      <c r="J19" s="3045"/>
    </row>
    <row r="20" spans="1:10" ht="24" customHeight="1">
      <c r="A20" s="3026">
        <v>17</v>
      </c>
      <c r="B20" s="3026" t="s">
        <v>3133</v>
      </c>
      <c r="C20" s="3028" t="s">
        <v>3721</v>
      </c>
      <c r="D20" s="3046">
        <v>65.540000000000006</v>
      </c>
      <c r="E20" s="3046">
        <v>47.07</v>
      </c>
      <c r="F20" s="3046">
        <v>3.98</v>
      </c>
      <c r="G20" s="3046">
        <v>18.47</v>
      </c>
      <c r="H20" s="3025" t="s">
        <v>1377</v>
      </c>
      <c r="I20" s="3026" t="s">
        <v>3131</v>
      </c>
      <c r="J20" s="3045"/>
    </row>
    <row r="21" spans="1:10" ht="24" customHeight="1">
      <c r="A21" s="3026">
        <v>18</v>
      </c>
      <c r="B21" s="3026" t="s">
        <v>3134</v>
      </c>
      <c r="C21" s="3028" t="s">
        <v>3722</v>
      </c>
      <c r="D21" s="3046">
        <v>55.88</v>
      </c>
      <c r="E21" s="3046">
        <v>40.130000000000003</v>
      </c>
      <c r="F21" s="3046">
        <v>2.91</v>
      </c>
      <c r="G21" s="3046">
        <v>15.75</v>
      </c>
      <c r="H21" s="3025" t="s">
        <v>1377</v>
      </c>
      <c r="I21" s="3026" t="s">
        <v>3131</v>
      </c>
      <c r="J21" s="3045"/>
    </row>
    <row r="22" spans="1:10" ht="24" customHeight="1">
      <c r="A22" s="3026">
        <v>19</v>
      </c>
      <c r="B22" s="3026" t="s">
        <v>3135</v>
      </c>
      <c r="C22" s="3028" t="s">
        <v>3723</v>
      </c>
      <c r="D22" s="3046">
        <v>94.49</v>
      </c>
      <c r="E22" s="3046">
        <v>67.86</v>
      </c>
      <c r="F22" s="3046">
        <v>8.69</v>
      </c>
      <c r="G22" s="3046">
        <v>26.63</v>
      </c>
      <c r="H22" s="3025" t="s">
        <v>1377</v>
      </c>
      <c r="I22" s="3026" t="s">
        <v>3131</v>
      </c>
      <c r="J22" s="3045"/>
    </row>
    <row r="23" spans="1:10" ht="24" customHeight="1">
      <c r="A23" s="3026">
        <v>20</v>
      </c>
      <c r="B23" s="3026" t="s">
        <v>3136</v>
      </c>
      <c r="C23" s="3028" t="s">
        <v>3724</v>
      </c>
      <c r="D23" s="3046">
        <v>94.49</v>
      </c>
      <c r="E23" s="3046">
        <v>67.86</v>
      </c>
      <c r="F23" s="3046">
        <v>8.69</v>
      </c>
      <c r="G23" s="3046">
        <v>26.63</v>
      </c>
      <c r="H23" s="3025" t="s">
        <v>1377</v>
      </c>
      <c r="I23" s="3026" t="s">
        <v>3131</v>
      </c>
      <c r="J23" s="3045"/>
    </row>
    <row r="24" spans="1:10" ht="24" customHeight="1">
      <c r="A24" s="3026">
        <v>21</v>
      </c>
      <c r="B24" s="3026" t="s">
        <v>3137</v>
      </c>
      <c r="C24" s="3028" t="s">
        <v>3725</v>
      </c>
      <c r="D24" s="3046">
        <v>55.88</v>
      </c>
      <c r="E24" s="3046">
        <v>40.130000000000003</v>
      </c>
      <c r="F24" s="3046">
        <v>2.91</v>
      </c>
      <c r="G24" s="3046">
        <v>15.75</v>
      </c>
      <c r="H24" s="3025" t="s">
        <v>1377</v>
      </c>
      <c r="I24" s="3026" t="s">
        <v>3131</v>
      </c>
      <c r="J24" s="3045"/>
    </row>
    <row r="25" spans="1:10" ht="24" customHeight="1">
      <c r="A25" s="3026">
        <v>22</v>
      </c>
      <c r="B25" s="3026" t="s">
        <v>3138</v>
      </c>
      <c r="C25" s="3028" t="s">
        <v>3726</v>
      </c>
      <c r="D25" s="3046">
        <v>65.540000000000006</v>
      </c>
      <c r="E25" s="3046">
        <v>47.07</v>
      </c>
      <c r="F25" s="3046">
        <v>3.98</v>
      </c>
      <c r="G25" s="3046">
        <v>18.47</v>
      </c>
      <c r="H25" s="3025" t="s">
        <v>1377</v>
      </c>
      <c r="I25" s="3026" t="s">
        <v>3131</v>
      </c>
      <c r="J25" s="3045"/>
    </row>
    <row r="26" spans="1:10" ht="24" customHeight="1">
      <c r="A26" s="3026">
        <v>23</v>
      </c>
      <c r="B26" s="3026" t="s">
        <v>3139</v>
      </c>
      <c r="C26" s="3028" t="s">
        <v>3727</v>
      </c>
      <c r="D26" s="3046">
        <v>53</v>
      </c>
      <c r="E26" s="3046">
        <v>38.06</v>
      </c>
      <c r="F26" s="3046">
        <v>3.39</v>
      </c>
      <c r="G26" s="3046">
        <v>14.94</v>
      </c>
      <c r="H26" s="3025" t="s">
        <v>1377</v>
      </c>
      <c r="I26" s="3026" t="s">
        <v>3131</v>
      </c>
      <c r="J26" s="3045"/>
    </row>
    <row r="27" spans="1:10" ht="24" customHeight="1">
      <c r="A27" s="3026">
        <v>24</v>
      </c>
      <c r="B27" s="3026" t="s">
        <v>3140</v>
      </c>
      <c r="C27" s="3028" t="s">
        <v>3728</v>
      </c>
      <c r="D27" s="3046">
        <v>52.63</v>
      </c>
      <c r="E27" s="3046">
        <v>37.799999999999997</v>
      </c>
      <c r="F27" s="3046">
        <v>3.21</v>
      </c>
      <c r="G27" s="3046">
        <v>14.83</v>
      </c>
      <c r="H27" s="3025" t="s">
        <v>1377</v>
      </c>
      <c r="I27" s="3026" t="s">
        <v>3131</v>
      </c>
      <c r="J27" s="3045"/>
    </row>
    <row r="28" spans="1:10" ht="24" customHeight="1">
      <c r="A28" s="3026">
        <v>25</v>
      </c>
      <c r="B28" s="3026" t="s">
        <v>3141</v>
      </c>
      <c r="C28" s="3028" t="s">
        <v>3729</v>
      </c>
      <c r="D28" s="3046">
        <v>52.74</v>
      </c>
      <c r="E28" s="3046">
        <v>37.880000000000003</v>
      </c>
      <c r="F28" s="3046">
        <v>3.21</v>
      </c>
      <c r="G28" s="3046">
        <v>14.86</v>
      </c>
      <c r="H28" s="3025" t="s">
        <v>1377</v>
      </c>
      <c r="I28" s="3026" t="s">
        <v>3131</v>
      </c>
      <c r="J28" s="3045"/>
    </row>
    <row r="29" spans="1:10" ht="24" customHeight="1">
      <c r="A29" s="3026">
        <v>26</v>
      </c>
      <c r="B29" s="3026" t="s">
        <v>3142</v>
      </c>
      <c r="C29" s="3028" t="s">
        <v>3730</v>
      </c>
      <c r="D29" s="3046">
        <v>72.180000000000007</v>
      </c>
      <c r="E29" s="3046">
        <v>51.84</v>
      </c>
      <c r="F29" s="3046">
        <v>6.48</v>
      </c>
      <c r="G29" s="3046">
        <v>20.34</v>
      </c>
      <c r="H29" s="3025" t="s">
        <v>1377</v>
      </c>
      <c r="I29" s="3026" t="s">
        <v>3131</v>
      </c>
      <c r="J29" s="3045"/>
    </row>
    <row r="30" spans="1:10" ht="24" customHeight="1">
      <c r="A30" s="3026">
        <v>27</v>
      </c>
      <c r="B30" s="3026" t="s">
        <v>3151</v>
      </c>
      <c r="C30" s="3028" t="s">
        <v>3731</v>
      </c>
      <c r="D30" s="3046">
        <v>68.27</v>
      </c>
      <c r="E30" s="3046">
        <v>49.03</v>
      </c>
      <c r="F30" s="3046">
        <v>3.66</v>
      </c>
      <c r="G30" s="3046">
        <v>19.239999999999998</v>
      </c>
      <c r="H30" s="3025" t="s">
        <v>1377</v>
      </c>
      <c r="I30" s="3026" t="s">
        <v>3131</v>
      </c>
      <c r="J30" s="3045"/>
    </row>
    <row r="31" spans="1:10" ht="24" customHeight="1">
      <c r="A31" s="3026">
        <v>28</v>
      </c>
      <c r="B31" s="3026" t="s">
        <v>3152</v>
      </c>
      <c r="C31" s="3028" t="s">
        <v>3732</v>
      </c>
      <c r="D31" s="3046">
        <v>52.74</v>
      </c>
      <c r="E31" s="3046">
        <v>37.880000000000003</v>
      </c>
      <c r="F31" s="3046">
        <v>3.21</v>
      </c>
      <c r="G31" s="3046">
        <v>14.86</v>
      </c>
      <c r="H31" s="3025" t="s">
        <v>1377</v>
      </c>
      <c r="I31" s="3026" t="s">
        <v>3131</v>
      </c>
      <c r="J31" s="3045"/>
    </row>
    <row r="32" spans="1:10" ht="24" customHeight="1">
      <c r="A32" s="3026">
        <v>29</v>
      </c>
      <c r="B32" s="3026" t="s">
        <v>3153</v>
      </c>
      <c r="C32" s="3028" t="s">
        <v>3733</v>
      </c>
      <c r="D32" s="3046">
        <v>52.63</v>
      </c>
      <c r="E32" s="3046">
        <v>37.799999999999997</v>
      </c>
      <c r="F32" s="3046">
        <v>3.21</v>
      </c>
      <c r="G32" s="3046">
        <v>14.83</v>
      </c>
      <c r="H32" s="3025" t="s">
        <v>1377</v>
      </c>
      <c r="I32" s="3026" t="s">
        <v>3131</v>
      </c>
      <c r="J32" s="3045"/>
    </row>
    <row r="33" spans="1:10" ht="24" customHeight="1">
      <c r="A33" s="3026">
        <v>30</v>
      </c>
      <c r="B33" s="3026" t="s">
        <v>3154</v>
      </c>
      <c r="C33" s="3028" t="s">
        <v>3734</v>
      </c>
      <c r="D33" s="3046">
        <v>53</v>
      </c>
      <c r="E33" s="3046">
        <v>38.06</v>
      </c>
      <c r="F33" s="3046">
        <v>3.39</v>
      </c>
      <c r="G33" s="3046">
        <v>14.94</v>
      </c>
      <c r="H33" s="3025" t="s">
        <v>1377</v>
      </c>
      <c r="I33" s="3026" t="s">
        <v>3131</v>
      </c>
      <c r="J33" s="3045"/>
    </row>
    <row r="34" spans="1:10" ht="24" customHeight="1">
      <c r="A34" s="3026">
        <v>31</v>
      </c>
      <c r="B34" s="3026" t="s">
        <v>3155</v>
      </c>
      <c r="C34" s="3028" t="s">
        <v>3735</v>
      </c>
      <c r="D34" s="3046">
        <v>65.540000000000006</v>
      </c>
      <c r="E34" s="3046">
        <v>47.07</v>
      </c>
      <c r="F34" s="3046">
        <v>3.98</v>
      </c>
      <c r="G34" s="3046">
        <v>18.47</v>
      </c>
      <c r="H34" s="3025" t="s">
        <v>1377</v>
      </c>
      <c r="I34" s="3026" t="s">
        <v>3131</v>
      </c>
      <c r="J34" s="3045"/>
    </row>
    <row r="35" spans="1:10" ht="24" customHeight="1">
      <c r="A35" s="3026">
        <v>32</v>
      </c>
      <c r="B35" s="3026" t="s">
        <v>3156</v>
      </c>
      <c r="C35" s="3028" t="s">
        <v>3736</v>
      </c>
      <c r="D35" s="3046">
        <v>55.88</v>
      </c>
      <c r="E35" s="3046">
        <v>40.130000000000003</v>
      </c>
      <c r="F35" s="3046">
        <v>2.91</v>
      </c>
      <c r="G35" s="3046">
        <v>15.75</v>
      </c>
      <c r="H35" s="3025" t="s">
        <v>1377</v>
      </c>
      <c r="I35" s="3026" t="s">
        <v>3131</v>
      </c>
      <c r="J35" s="3045"/>
    </row>
    <row r="36" spans="1:10" ht="24" customHeight="1">
      <c r="A36" s="3026">
        <v>33</v>
      </c>
      <c r="B36" s="3026" t="s">
        <v>3157</v>
      </c>
      <c r="C36" s="3028" t="s">
        <v>3737</v>
      </c>
      <c r="D36" s="3046">
        <v>94.49</v>
      </c>
      <c r="E36" s="3046">
        <v>67.86</v>
      </c>
      <c r="F36" s="3046">
        <v>8.69</v>
      </c>
      <c r="G36" s="3046">
        <v>26.63</v>
      </c>
      <c r="H36" s="3025" t="s">
        <v>1377</v>
      </c>
      <c r="I36" s="3026" t="s">
        <v>3131</v>
      </c>
      <c r="J36" s="3045"/>
    </row>
    <row r="37" spans="1:10" ht="24" customHeight="1">
      <c r="A37" s="3026">
        <v>34</v>
      </c>
      <c r="B37" s="3026" t="s">
        <v>3158</v>
      </c>
      <c r="C37" s="3028" t="s">
        <v>3738</v>
      </c>
      <c r="D37" s="3046">
        <v>94.49</v>
      </c>
      <c r="E37" s="3046">
        <v>67.86</v>
      </c>
      <c r="F37" s="3046">
        <v>8.69</v>
      </c>
      <c r="G37" s="3046">
        <v>26.63</v>
      </c>
      <c r="H37" s="3025" t="s">
        <v>1377</v>
      </c>
      <c r="I37" s="3026" t="s">
        <v>3131</v>
      </c>
      <c r="J37" s="3045"/>
    </row>
    <row r="38" spans="1:10" ht="24" customHeight="1">
      <c r="A38" s="3026">
        <v>35</v>
      </c>
      <c r="B38" s="3026" t="s">
        <v>3159</v>
      </c>
      <c r="C38" s="3028" t="s">
        <v>3739</v>
      </c>
      <c r="D38" s="3046">
        <v>55.88</v>
      </c>
      <c r="E38" s="3046">
        <v>40.130000000000003</v>
      </c>
      <c r="F38" s="3046">
        <v>2.91</v>
      </c>
      <c r="G38" s="3046">
        <v>15.75</v>
      </c>
      <c r="H38" s="3025" t="s">
        <v>1377</v>
      </c>
      <c r="I38" s="3026" t="s">
        <v>3131</v>
      </c>
      <c r="J38" s="3045"/>
    </row>
    <row r="39" spans="1:10" ht="24" customHeight="1">
      <c r="A39" s="3026">
        <v>36</v>
      </c>
      <c r="B39" s="3026" t="s">
        <v>3160</v>
      </c>
      <c r="C39" s="3028" t="s">
        <v>3740</v>
      </c>
      <c r="D39" s="3046">
        <v>65.540000000000006</v>
      </c>
      <c r="E39" s="3046">
        <v>47.07</v>
      </c>
      <c r="F39" s="3046">
        <v>3.98</v>
      </c>
      <c r="G39" s="3046">
        <v>18.47</v>
      </c>
      <c r="H39" s="3025" t="s">
        <v>1377</v>
      </c>
      <c r="I39" s="3026" t="s">
        <v>3131</v>
      </c>
      <c r="J39" s="3045"/>
    </row>
    <row r="40" spans="1:10" ht="24" customHeight="1">
      <c r="A40" s="3026">
        <v>37</v>
      </c>
      <c r="B40" s="3026" t="s">
        <v>3161</v>
      </c>
      <c r="C40" s="3028" t="s">
        <v>3741</v>
      </c>
      <c r="D40" s="3046">
        <v>53</v>
      </c>
      <c r="E40" s="3046">
        <v>38.06</v>
      </c>
      <c r="F40" s="3046">
        <v>3.39</v>
      </c>
      <c r="G40" s="3046">
        <v>14.94</v>
      </c>
      <c r="H40" s="3025" t="s">
        <v>1377</v>
      </c>
      <c r="I40" s="3026" t="s">
        <v>3131</v>
      </c>
      <c r="J40" s="3045"/>
    </row>
    <row r="41" spans="1:10" ht="24" customHeight="1">
      <c r="A41" s="3026">
        <v>38</v>
      </c>
      <c r="B41" s="3026" t="s">
        <v>3162</v>
      </c>
      <c r="C41" s="3028" t="s">
        <v>3742</v>
      </c>
      <c r="D41" s="3046">
        <v>52.63</v>
      </c>
      <c r="E41" s="3046">
        <v>37.799999999999997</v>
      </c>
      <c r="F41" s="3046">
        <v>3.21</v>
      </c>
      <c r="G41" s="3046">
        <v>14.83</v>
      </c>
      <c r="H41" s="3025" t="s">
        <v>1377</v>
      </c>
      <c r="I41" s="3026" t="s">
        <v>3131</v>
      </c>
      <c r="J41" s="3045"/>
    </row>
    <row r="42" spans="1:10" ht="24" customHeight="1">
      <c r="A42" s="3026">
        <v>39</v>
      </c>
      <c r="B42" s="3026" t="s">
        <v>3163</v>
      </c>
      <c r="C42" s="3028" t="s">
        <v>3743</v>
      </c>
      <c r="D42" s="3046">
        <v>52.74</v>
      </c>
      <c r="E42" s="3046">
        <v>37.880000000000003</v>
      </c>
      <c r="F42" s="3046">
        <v>3.21</v>
      </c>
      <c r="G42" s="3046">
        <v>14.86</v>
      </c>
      <c r="H42" s="3025" t="s">
        <v>1377</v>
      </c>
      <c r="I42" s="3026" t="s">
        <v>3131</v>
      </c>
      <c r="J42" s="3045"/>
    </row>
    <row r="43" spans="1:10" ht="24" customHeight="1">
      <c r="A43" s="3026">
        <v>40</v>
      </c>
      <c r="B43" s="3026" t="s">
        <v>3164</v>
      </c>
      <c r="C43" s="3028" t="s">
        <v>3744</v>
      </c>
      <c r="D43" s="3046">
        <v>72.180000000000007</v>
      </c>
      <c r="E43" s="3046">
        <v>51.84</v>
      </c>
      <c r="F43" s="3046">
        <v>6.48</v>
      </c>
      <c r="G43" s="3046">
        <v>20.34</v>
      </c>
      <c r="H43" s="3025" t="s">
        <v>1377</v>
      </c>
      <c r="I43" s="3026" t="s">
        <v>3131</v>
      </c>
      <c r="J43" s="3045"/>
    </row>
    <row r="44" spans="1:10" ht="24" customHeight="1">
      <c r="A44" s="3026">
        <v>41</v>
      </c>
      <c r="B44" s="3026" t="s">
        <v>3063</v>
      </c>
      <c r="C44" s="3028" t="s">
        <v>3745</v>
      </c>
      <c r="D44" s="3046">
        <v>68.27</v>
      </c>
      <c r="E44" s="3046">
        <v>49.03</v>
      </c>
      <c r="F44" s="3046">
        <v>3.66</v>
      </c>
      <c r="G44" s="3046">
        <v>19.239999999999998</v>
      </c>
      <c r="H44" s="3025" t="s">
        <v>1377</v>
      </c>
      <c r="I44" s="3026" t="s">
        <v>3131</v>
      </c>
      <c r="J44" s="3045"/>
    </row>
    <row r="45" spans="1:10" ht="24" customHeight="1">
      <c r="A45" s="3026">
        <v>42</v>
      </c>
      <c r="B45" s="3026" t="s">
        <v>3064</v>
      </c>
      <c r="C45" s="3028" t="s">
        <v>3746</v>
      </c>
      <c r="D45" s="3046">
        <v>52.74</v>
      </c>
      <c r="E45" s="3046">
        <v>37.880000000000003</v>
      </c>
      <c r="F45" s="3046">
        <v>3.21</v>
      </c>
      <c r="G45" s="3046">
        <v>14.86</v>
      </c>
      <c r="H45" s="3025" t="s">
        <v>1377</v>
      </c>
      <c r="I45" s="3026" t="s">
        <v>3131</v>
      </c>
      <c r="J45" s="3045"/>
    </row>
    <row r="46" spans="1:10" ht="24" customHeight="1">
      <c r="A46" s="3026">
        <v>43</v>
      </c>
      <c r="B46" s="3026" t="s">
        <v>3065</v>
      </c>
      <c r="C46" s="3028" t="s">
        <v>3747</v>
      </c>
      <c r="D46" s="3046">
        <v>52.63</v>
      </c>
      <c r="E46" s="3046">
        <v>37.799999999999997</v>
      </c>
      <c r="F46" s="3046">
        <v>3.21</v>
      </c>
      <c r="G46" s="3046">
        <v>14.83</v>
      </c>
      <c r="H46" s="3025" t="s">
        <v>1377</v>
      </c>
      <c r="I46" s="3026" t="s">
        <v>3131</v>
      </c>
      <c r="J46" s="3045"/>
    </row>
    <row r="47" spans="1:10" ht="24" customHeight="1">
      <c r="A47" s="3026">
        <v>44</v>
      </c>
      <c r="B47" s="3026" t="s">
        <v>3066</v>
      </c>
      <c r="C47" s="3028" t="s">
        <v>3748</v>
      </c>
      <c r="D47" s="3046">
        <v>53</v>
      </c>
      <c r="E47" s="3046">
        <v>38.06</v>
      </c>
      <c r="F47" s="3046">
        <v>3.39</v>
      </c>
      <c r="G47" s="3046">
        <v>14.94</v>
      </c>
      <c r="H47" s="3025" t="s">
        <v>1377</v>
      </c>
      <c r="I47" s="3026" t="s">
        <v>3131</v>
      </c>
      <c r="J47" s="3045"/>
    </row>
    <row r="48" spans="1:10" ht="24" customHeight="1">
      <c r="A48" s="3026">
        <v>45</v>
      </c>
      <c r="B48" s="3026" t="s">
        <v>3067</v>
      </c>
      <c r="C48" s="3028" t="s">
        <v>3749</v>
      </c>
      <c r="D48" s="3046">
        <v>65.540000000000006</v>
      </c>
      <c r="E48" s="3046">
        <v>47.07</v>
      </c>
      <c r="F48" s="3046">
        <v>3.98</v>
      </c>
      <c r="G48" s="3046">
        <v>18.47</v>
      </c>
      <c r="H48" s="3025" t="s">
        <v>1377</v>
      </c>
      <c r="I48" s="3026" t="s">
        <v>3131</v>
      </c>
      <c r="J48" s="3045"/>
    </row>
    <row r="49" spans="1:10" ht="24" customHeight="1">
      <c r="A49" s="3026">
        <v>46</v>
      </c>
      <c r="B49" s="3026" t="s">
        <v>3068</v>
      </c>
      <c r="C49" s="3028" t="s">
        <v>3750</v>
      </c>
      <c r="D49" s="3046">
        <v>55.88</v>
      </c>
      <c r="E49" s="3046">
        <v>40.130000000000003</v>
      </c>
      <c r="F49" s="3046">
        <v>2.91</v>
      </c>
      <c r="G49" s="3046">
        <v>15.75</v>
      </c>
      <c r="H49" s="3025" t="s">
        <v>1377</v>
      </c>
      <c r="I49" s="3026" t="s">
        <v>3131</v>
      </c>
      <c r="J49" s="3045"/>
    </row>
    <row r="50" spans="1:10" ht="24" customHeight="1">
      <c r="A50" s="3026">
        <v>47</v>
      </c>
      <c r="B50" s="3026" t="s">
        <v>3069</v>
      </c>
      <c r="C50" s="3028" t="s">
        <v>3751</v>
      </c>
      <c r="D50" s="3046">
        <v>94.49</v>
      </c>
      <c r="E50" s="3046">
        <v>67.86</v>
      </c>
      <c r="F50" s="3046">
        <v>8.69</v>
      </c>
      <c r="G50" s="3046">
        <v>26.63</v>
      </c>
      <c r="H50" s="3025" t="s">
        <v>1377</v>
      </c>
      <c r="I50" s="3026" t="s">
        <v>3131</v>
      </c>
      <c r="J50" s="3045"/>
    </row>
    <row r="51" spans="1:10" ht="24" customHeight="1">
      <c r="A51" s="3026">
        <v>48</v>
      </c>
      <c r="B51" s="3026" t="s">
        <v>3070</v>
      </c>
      <c r="C51" s="3028" t="s">
        <v>3752</v>
      </c>
      <c r="D51" s="3046">
        <v>94.49</v>
      </c>
      <c r="E51" s="3046">
        <v>67.86</v>
      </c>
      <c r="F51" s="3046">
        <v>8.69</v>
      </c>
      <c r="G51" s="3046">
        <v>26.63</v>
      </c>
      <c r="H51" s="3025" t="s">
        <v>1377</v>
      </c>
      <c r="I51" s="3026" t="s">
        <v>3131</v>
      </c>
      <c r="J51" s="3045"/>
    </row>
    <row r="52" spans="1:10" ht="24" customHeight="1">
      <c r="A52" s="3026">
        <v>49</v>
      </c>
      <c r="B52" s="3026" t="s">
        <v>3071</v>
      </c>
      <c r="C52" s="3028" t="s">
        <v>3753</v>
      </c>
      <c r="D52" s="3046">
        <v>55.88</v>
      </c>
      <c r="E52" s="3046">
        <v>40.130000000000003</v>
      </c>
      <c r="F52" s="3046">
        <v>2.91</v>
      </c>
      <c r="G52" s="3046">
        <v>15.75</v>
      </c>
      <c r="H52" s="3025" t="s">
        <v>1377</v>
      </c>
      <c r="I52" s="3026" t="s">
        <v>3131</v>
      </c>
      <c r="J52" s="3045"/>
    </row>
    <row r="53" spans="1:10" ht="24" customHeight="1">
      <c r="A53" s="3026">
        <v>50</v>
      </c>
      <c r="B53" s="3026" t="s">
        <v>3072</v>
      </c>
      <c r="C53" s="3028" t="s">
        <v>3754</v>
      </c>
      <c r="D53" s="3046">
        <v>65.540000000000006</v>
      </c>
      <c r="E53" s="3046">
        <v>47.07</v>
      </c>
      <c r="F53" s="3046">
        <v>3.98</v>
      </c>
      <c r="G53" s="3046">
        <v>18.47</v>
      </c>
      <c r="H53" s="3025" t="s">
        <v>1377</v>
      </c>
      <c r="I53" s="3026" t="s">
        <v>3131</v>
      </c>
      <c r="J53" s="3045"/>
    </row>
    <row r="54" spans="1:10" ht="24" customHeight="1">
      <c r="A54" s="3026">
        <v>51</v>
      </c>
      <c r="B54" s="3026" t="s">
        <v>3073</v>
      </c>
      <c r="C54" s="3028" t="s">
        <v>3755</v>
      </c>
      <c r="D54" s="3046">
        <v>53</v>
      </c>
      <c r="E54" s="3046">
        <v>38.06</v>
      </c>
      <c r="F54" s="3046">
        <v>3.39</v>
      </c>
      <c r="G54" s="3046">
        <v>14.94</v>
      </c>
      <c r="H54" s="3025" t="s">
        <v>1377</v>
      </c>
      <c r="I54" s="3026" t="s">
        <v>3131</v>
      </c>
      <c r="J54" s="3045"/>
    </row>
    <row r="55" spans="1:10" ht="24" customHeight="1">
      <c r="A55" s="3026">
        <v>52</v>
      </c>
      <c r="B55" s="3026" t="s">
        <v>3074</v>
      </c>
      <c r="C55" s="3028" t="s">
        <v>3756</v>
      </c>
      <c r="D55" s="3046">
        <v>52.63</v>
      </c>
      <c r="E55" s="3046">
        <v>37.799999999999997</v>
      </c>
      <c r="F55" s="3046">
        <v>3.21</v>
      </c>
      <c r="G55" s="3046">
        <v>14.83</v>
      </c>
      <c r="H55" s="3025" t="s">
        <v>1377</v>
      </c>
      <c r="I55" s="3026" t="s">
        <v>3131</v>
      </c>
      <c r="J55" s="3045"/>
    </row>
    <row r="56" spans="1:10" ht="24" customHeight="1">
      <c r="A56" s="3026">
        <v>53</v>
      </c>
      <c r="B56" s="3026" t="s">
        <v>3075</v>
      </c>
      <c r="C56" s="3028" t="s">
        <v>3757</v>
      </c>
      <c r="D56" s="3046">
        <v>52.74</v>
      </c>
      <c r="E56" s="3046">
        <v>37.880000000000003</v>
      </c>
      <c r="F56" s="3046">
        <v>3.21</v>
      </c>
      <c r="G56" s="3046">
        <v>14.86</v>
      </c>
      <c r="H56" s="3025" t="s">
        <v>1377</v>
      </c>
      <c r="I56" s="3026" t="s">
        <v>3131</v>
      </c>
      <c r="J56" s="3045"/>
    </row>
    <row r="57" spans="1:10" ht="24" customHeight="1">
      <c r="A57" s="3026">
        <v>54</v>
      </c>
      <c r="B57" s="3026" t="s">
        <v>3076</v>
      </c>
      <c r="C57" s="3028" t="s">
        <v>3758</v>
      </c>
      <c r="D57" s="3046">
        <v>72.180000000000007</v>
      </c>
      <c r="E57" s="3046">
        <v>51.84</v>
      </c>
      <c r="F57" s="3046">
        <v>6.48</v>
      </c>
      <c r="G57" s="3046">
        <v>20.34</v>
      </c>
      <c r="H57" s="3025" t="s">
        <v>1377</v>
      </c>
      <c r="I57" s="3026" t="s">
        <v>3131</v>
      </c>
      <c r="J57" s="3045"/>
    </row>
    <row r="58" spans="1:10" ht="24" customHeight="1">
      <c r="A58" s="3026">
        <v>55</v>
      </c>
      <c r="B58" s="3026" t="s">
        <v>3085</v>
      </c>
      <c r="C58" s="3028" t="s">
        <v>3759</v>
      </c>
      <c r="D58" s="3046">
        <v>68.27</v>
      </c>
      <c r="E58" s="3046">
        <v>49.03</v>
      </c>
      <c r="F58" s="3046">
        <v>3.66</v>
      </c>
      <c r="G58" s="3046">
        <v>19.239999999999998</v>
      </c>
      <c r="H58" s="3025" t="s">
        <v>1377</v>
      </c>
      <c r="I58" s="3026" t="s">
        <v>3131</v>
      </c>
      <c r="J58" s="3045"/>
    </row>
    <row r="59" spans="1:10" ht="24" customHeight="1">
      <c r="A59" s="3026">
        <v>56</v>
      </c>
      <c r="B59" s="3026" t="s">
        <v>3086</v>
      </c>
      <c r="C59" s="3028" t="s">
        <v>3760</v>
      </c>
      <c r="D59" s="3046">
        <v>52.74</v>
      </c>
      <c r="E59" s="3046">
        <v>37.880000000000003</v>
      </c>
      <c r="F59" s="3046">
        <v>3.21</v>
      </c>
      <c r="G59" s="3046">
        <v>14.86</v>
      </c>
      <c r="H59" s="3025" t="s">
        <v>1377</v>
      </c>
      <c r="I59" s="3026" t="s">
        <v>3131</v>
      </c>
      <c r="J59" s="3045"/>
    </row>
    <row r="60" spans="1:10" ht="24" customHeight="1">
      <c r="A60" s="3026">
        <v>57</v>
      </c>
      <c r="B60" s="3026" t="s">
        <v>3087</v>
      </c>
      <c r="C60" s="3028" t="s">
        <v>3761</v>
      </c>
      <c r="D60" s="3046">
        <v>52.63</v>
      </c>
      <c r="E60" s="3046">
        <v>37.799999999999997</v>
      </c>
      <c r="F60" s="3046">
        <v>3.21</v>
      </c>
      <c r="G60" s="3046">
        <v>14.83</v>
      </c>
      <c r="H60" s="3025" t="s">
        <v>1377</v>
      </c>
      <c r="I60" s="3026" t="s">
        <v>3131</v>
      </c>
      <c r="J60" s="3045"/>
    </row>
    <row r="61" spans="1:10" ht="24" customHeight="1">
      <c r="A61" s="3026">
        <v>58</v>
      </c>
      <c r="B61" s="3026" t="s">
        <v>3088</v>
      </c>
      <c r="C61" s="3028" t="s">
        <v>3762</v>
      </c>
      <c r="D61" s="3046">
        <v>53</v>
      </c>
      <c r="E61" s="3046">
        <v>38.06</v>
      </c>
      <c r="F61" s="3046">
        <v>3.39</v>
      </c>
      <c r="G61" s="3046">
        <v>14.94</v>
      </c>
      <c r="H61" s="3025" t="s">
        <v>1377</v>
      </c>
      <c r="I61" s="3026" t="s">
        <v>3131</v>
      </c>
      <c r="J61" s="3045"/>
    </row>
    <row r="62" spans="1:10" ht="24" customHeight="1">
      <c r="A62" s="3026">
        <v>59</v>
      </c>
      <c r="B62" s="3026" t="s">
        <v>3089</v>
      </c>
      <c r="C62" s="3028" t="s">
        <v>3763</v>
      </c>
      <c r="D62" s="3046">
        <v>65.540000000000006</v>
      </c>
      <c r="E62" s="3046">
        <v>47.07</v>
      </c>
      <c r="F62" s="3046">
        <v>3.98</v>
      </c>
      <c r="G62" s="3046">
        <v>18.47</v>
      </c>
      <c r="H62" s="3025" t="s">
        <v>1377</v>
      </c>
      <c r="I62" s="3026" t="s">
        <v>3131</v>
      </c>
      <c r="J62" s="3045"/>
    </row>
    <row r="63" spans="1:10" ht="24" customHeight="1">
      <c r="A63" s="3026">
        <v>60</v>
      </c>
      <c r="B63" s="3026" t="s">
        <v>3090</v>
      </c>
      <c r="C63" s="3028" t="s">
        <v>3764</v>
      </c>
      <c r="D63" s="3046">
        <v>55.88</v>
      </c>
      <c r="E63" s="3046">
        <v>40.130000000000003</v>
      </c>
      <c r="F63" s="3046">
        <v>2.91</v>
      </c>
      <c r="G63" s="3046">
        <v>15.75</v>
      </c>
      <c r="H63" s="3025" t="s">
        <v>1377</v>
      </c>
      <c r="I63" s="3026" t="s">
        <v>3131</v>
      </c>
      <c r="J63" s="3045"/>
    </row>
    <row r="64" spans="1:10" ht="24" customHeight="1">
      <c r="A64" s="3026">
        <v>61</v>
      </c>
      <c r="B64" s="3026" t="s">
        <v>3091</v>
      </c>
      <c r="C64" s="3028" t="s">
        <v>3765</v>
      </c>
      <c r="D64" s="3046">
        <v>94.49</v>
      </c>
      <c r="E64" s="3046">
        <v>67.86</v>
      </c>
      <c r="F64" s="3046">
        <v>8.69</v>
      </c>
      <c r="G64" s="3046">
        <v>26.63</v>
      </c>
      <c r="H64" s="3025" t="s">
        <v>1377</v>
      </c>
      <c r="I64" s="3026" t="s">
        <v>3131</v>
      </c>
      <c r="J64" s="3045"/>
    </row>
    <row r="65" spans="1:10" ht="24" customHeight="1">
      <c r="A65" s="3026">
        <v>62</v>
      </c>
      <c r="B65" s="3026" t="s">
        <v>3092</v>
      </c>
      <c r="C65" s="3028" t="s">
        <v>3766</v>
      </c>
      <c r="D65" s="3046">
        <v>94.49</v>
      </c>
      <c r="E65" s="3046">
        <v>67.86</v>
      </c>
      <c r="F65" s="3046">
        <v>8.69</v>
      </c>
      <c r="G65" s="3046">
        <v>26.63</v>
      </c>
      <c r="H65" s="3025" t="s">
        <v>1377</v>
      </c>
      <c r="I65" s="3026" t="s">
        <v>3131</v>
      </c>
      <c r="J65" s="3045"/>
    </row>
    <row r="66" spans="1:10" ht="24" customHeight="1">
      <c r="A66" s="3026">
        <v>63</v>
      </c>
      <c r="B66" s="3026" t="s">
        <v>3093</v>
      </c>
      <c r="C66" s="3028" t="s">
        <v>3767</v>
      </c>
      <c r="D66" s="3046">
        <v>55.88</v>
      </c>
      <c r="E66" s="3046">
        <v>40.130000000000003</v>
      </c>
      <c r="F66" s="3046">
        <v>2.91</v>
      </c>
      <c r="G66" s="3046">
        <v>15.75</v>
      </c>
      <c r="H66" s="3025" t="s">
        <v>1377</v>
      </c>
      <c r="I66" s="3026" t="s">
        <v>3131</v>
      </c>
      <c r="J66" s="3045"/>
    </row>
    <row r="67" spans="1:10" ht="24" customHeight="1">
      <c r="A67" s="3026">
        <v>64</v>
      </c>
      <c r="B67" s="3026" t="s">
        <v>3094</v>
      </c>
      <c r="C67" s="3028" t="s">
        <v>3768</v>
      </c>
      <c r="D67" s="3046">
        <v>65.540000000000006</v>
      </c>
      <c r="E67" s="3046">
        <v>47.07</v>
      </c>
      <c r="F67" s="3046">
        <v>3.98</v>
      </c>
      <c r="G67" s="3046">
        <v>18.47</v>
      </c>
      <c r="H67" s="3025" t="s">
        <v>1377</v>
      </c>
      <c r="I67" s="3026" t="s">
        <v>3131</v>
      </c>
      <c r="J67" s="3045"/>
    </row>
    <row r="68" spans="1:10" ht="24" customHeight="1">
      <c r="A68" s="3026">
        <v>65</v>
      </c>
      <c r="B68" s="3026" t="s">
        <v>3095</v>
      </c>
      <c r="C68" s="3028" t="s">
        <v>3769</v>
      </c>
      <c r="D68" s="3046">
        <v>53</v>
      </c>
      <c r="E68" s="3046">
        <v>38.06</v>
      </c>
      <c r="F68" s="3046">
        <v>3.39</v>
      </c>
      <c r="G68" s="3046">
        <v>14.94</v>
      </c>
      <c r="H68" s="3025" t="s">
        <v>1377</v>
      </c>
      <c r="I68" s="3026" t="s">
        <v>3131</v>
      </c>
      <c r="J68" s="3045"/>
    </row>
    <row r="69" spans="1:10" ht="24" customHeight="1">
      <c r="A69" s="3026">
        <v>66</v>
      </c>
      <c r="B69" s="3026" t="s">
        <v>3096</v>
      </c>
      <c r="C69" s="3028" t="s">
        <v>3770</v>
      </c>
      <c r="D69" s="3046">
        <v>52.63</v>
      </c>
      <c r="E69" s="3046">
        <v>37.799999999999997</v>
      </c>
      <c r="F69" s="3046">
        <v>3.21</v>
      </c>
      <c r="G69" s="3046">
        <v>14.83</v>
      </c>
      <c r="H69" s="3025" t="s">
        <v>1377</v>
      </c>
      <c r="I69" s="3026" t="s">
        <v>3131</v>
      </c>
      <c r="J69" s="3045"/>
    </row>
    <row r="70" spans="1:10" ht="24" customHeight="1">
      <c r="A70" s="3026">
        <v>67</v>
      </c>
      <c r="B70" s="3026" t="s">
        <v>3097</v>
      </c>
      <c r="C70" s="3028" t="s">
        <v>3771</v>
      </c>
      <c r="D70" s="3046">
        <v>52.74</v>
      </c>
      <c r="E70" s="3046">
        <v>37.880000000000003</v>
      </c>
      <c r="F70" s="3046">
        <v>3.21</v>
      </c>
      <c r="G70" s="3046">
        <v>14.86</v>
      </c>
      <c r="H70" s="3025" t="s">
        <v>1377</v>
      </c>
      <c r="I70" s="3026" t="s">
        <v>3131</v>
      </c>
      <c r="J70" s="3045"/>
    </row>
    <row r="71" spans="1:10" ht="24" customHeight="1">
      <c r="A71" s="3026">
        <v>68</v>
      </c>
      <c r="B71" s="3026" t="s">
        <v>3098</v>
      </c>
      <c r="C71" s="3028" t="s">
        <v>3772</v>
      </c>
      <c r="D71" s="3046">
        <v>72.180000000000007</v>
      </c>
      <c r="E71" s="3046">
        <v>51.84</v>
      </c>
      <c r="F71" s="3046">
        <v>6.48</v>
      </c>
      <c r="G71" s="3046">
        <v>20.34</v>
      </c>
      <c r="H71" s="3025" t="s">
        <v>1377</v>
      </c>
      <c r="I71" s="3026" t="s">
        <v>3131</v>
      </c>
      <c r="J71" s="3045"/>
    </row>
    <row r="72" spans="1:10" ht="24" customHeight="1">
      <c r="A72" s="3026">
        <v>69</v>
      </c>
      <c r="B72" s="3026" t="s">
        <v>3173</v>
      </c>
      <c r="C72" s="3028" t="s">
        <v>3773</v>
      </c>
      <c r="D72" s="3046">
        <v>68.27</v>
      </c>
      <c r="E72" s="3046">
        <v>49.03</v>
      </c>
      <c r="F72" s="3046">
        <v>3.66</v>
      </c>
      <c r="G72" s="3046">
        <v>19.239999999999998</v>
      </c>
      <c r="H72" s="3025" t="s">
        <v>1377</v>
      </c>
      <c r="I72" s="3026" t="s">
        <v>3131</v>
      </c>
      <c r="J72" s="3045"/>
    </row>
    <row r="73" spans="1:10" ht="24" customHeight="1">
      <c r="A73" s="3026">
        <v>70</v>
      </c>
      <c r="B73" s="3026" t="s">
        <v>3174</v>
      </c>
      <c r="C73" s="3028" t="s">
        <v>3774</v>
      </c>
      <c r="D73" s="3046">
        <v>52.74</v>
      </c>
      <c r="E73" s="3046">
        <v>37.880000000000003</v>
      </c>
      <c r="F73" s="3046">
        <v>3.21</v>
      </c>
      <c r="G73" s="3046">
        <v>14.86</v>
      </c>
      <c r="H73" s="3025" t="s">
        <v>1377</v>
      </c>
      <c r="I73" s="3026" t="s">
        <v>3131</v>
      </c>
      <c r="J73" s="3045"/>
    </row>
    <row r="74" spans="1:10" ht="24" customHeight="1">
      <c r="A74" s="3026">
        <v>71</v>
      </c>
      <c r="B74" s="3026" t="s">
        <v>3175</v>
      </c>
      <c r="C74" s="3028" t="s">
        <v>3775</v>
      </c>
      <c r="D74" s="3046">
        <v>52.63</v>
      </c>
      <c r="E74" s="3046">
        <v>37.799999999999997</v>
      </c>
      <c r="F74" s="3046">
        <v>3.21</v>
      </c>
      <c r="G74" s="3046">
        <v>14.83</v>
      </c>
      <c r="H74" s="3025" t="s">
        <v>1377</v>
      </c>
      <c r="I74" s="3026" t="s">
        <v>3131</v>
      </c>
      <c r="J74" s="3045"/>
    </row>
    <row r="75" spans="1:10" ht="24" customHeight="1">
      <c r="A75" s="3026">
        <v>72</v>
      </c>
      <c r="B75" s="3026" t="s">
        <v>3176</v>
      </c>
      <c r="C75" s="3028" t="s">
        <v>3776</v>
      </c>
      <c r="D75" s="3046">
        <v>53</v>
      </c>
      <c r="E75" s="3046">
        <v>38.06</v>
      </c>
      <c r="F75" s="3046">
        <v>3.39</v>
      </c>
      <c r="G75" s="3046">
        <v>14.94</v>
      </c>
      <c r="H75" s="3025" t="s">
        <v>1377</v>
      </c>
      <c r="I75" s="3026" t="s">
        <v>3131</v>
      </c>
      <c r="J75" s="3045"/>
    </row>
    <row r="76" spans="1:10" ht="24" customHeight="1">
      <c r="A76" s="3026">
        <v>73</v>
      </c>
      <c r="B76" s="3026" t="s">
        <v>3177</v>
      </c>
      <c r="C76" s="3028" t="s">
        <v>3777</v>
      </c>
      <c r="D76" s="3046">
        <v>65.540000000000006</v>
      </c>
      <c r="E76" s="3046">
        <v>47.07</v>
      </c>
      <c r="F76" s="3046">
        <v>3.98</v>
      </c>
      <c r="G76" s="3046">
        <v>18.47</v>
      </c>
      <c r="H76" s="3025" t="s">
        <v>1377</v>
      </c>
      <c r="I76" s="3026" t="s">
        <v>3131</v>
      </c>
      <c r="J76" s="3045"/>
    </row>
    <row r="77" spans="1:10" ht="24" customHeight="1">
      <c r="A77" s="3026">
        <v>74</v>
      </c>
      <c r="B77" s="3026" t="s">
        <v>3178</v>
      </c>
      <c r="C77" s="3028" t="s">
        <v>3778</v>
      </c>
      <c r="D77" s="3046">
        <v>55.88</v>
      </c>
      <c r="E77" s="3046">
        <v>40.130000000000003</v>
      </c>
      <c r="F77" s="3046">
        <v>2.91</v>
      </c>
      <c r="G77" s="3046">
        <v>15.75</v>
      </c>
      <c r="H77" s="3025" t="s">
        <v>1377</v>
      </c>
      <c r="I77" s="3026" t="s">
        <v>3131</v>
      </c>
      <c r="J77" s="3045"/>
    </row>
    <row r="78" spans="1:10" ht="24" customHeight="1">
      <c r="A78" s="3026">
        <v>75</v>
      </c>
      <c r="B78" s="3026" t="s">
        <v>3179</v>
      </c>
      <c r="C78" s="3028" t="s">
        <v>3779</v>
      </c>
      <c r="D78" s="3046">
        <v>94.49</v>
      </c>
      <c r="E78" s="3046">
        <v>67.86</v>
      </c>
      <c r="F78" s="3046">
        <v>8.69</v>
      </c>
      <c r="G78" s="3046">
        <v>26.63</v>
      </c>
      <c r="H78" s="3025" t="s">
        <v>1377</v>
      </c>
      <c r="I78" s="3026" t="s">
        <v>3131</v>
      </c>
      <c r="J78" s="3045"/>
    </row>
    <row r="79" spans="1:10" ht="24" customHeight="1">
      <c r="A79" s="3026">
        <v>76</v>
      </c>
      <c r="B79" s="3026" t="s">
        <v>3180</v>
      </c>
      <c r="C79" s="3028" t="s">
        <v>3780</v>
      </c>
      <c r="D79" s="3046">
        <v>94.49</v>
      </c>
      <c r="E79" s="3046">
        <v>67.86</v>
      </c>
      <c r="F79" s="3046">
        <v>8.69</v>
      </c>
      <c r="G79" s="3046">
        <v>26.63</v>
      </c>
      <c r="H79" s="3025" t="s">
        <v>1377</v>
      </c>
      <c r="I79" s="3026" t="s">
        <v>3131</v>
      </c>
      <c r="J79" s="3045"/>
    </row>
    <row r="80" spans="1:10" ht="24" customHeight="1">
      <c r="A80" s="3026">
        <v>77</v>
      </c>
      <c r="B80" s="3026" t="s">
        <v>3181</v>
      </c>
      <c r="C80" s="3028" t="s">
        <v>3781</v>
      </c>
      <c r="D80" s="3046">
        <v>55.88</v>
      </c>
      <c r="E80" s="3046">
        <v>40.130000000000003</v>
      </c>
      <c r="F80" s="3046">
        <v>2.91</v>
      </c>
      <c r="G80" s="3046">
        <v>15.75</v>
      </c>
      <c r="H80" s="3025" t="s">
        <v>1377</v>
      </c>
      <c r="I80" s="3026" t="s">
        <v>3131</v>
      </c>
      <c r="J80" s="3045"/>
    </row>
    <row r="81" spans="1:10" ht="24" customHeight="1">
      <c r="A81" s="3026">
        <v>78</v>
      </c>
      <c r="B81" s="3026" t="s">
        <v>3182</v>
      </c>
      <c r="C81" s="3028" t="s">
        <v>3782</v>
      </c>
      <c r="D81" s="3046">
        <v>65.540000000000006</v>
      </c>
      <c r="E81" s="3046">
        <v>47.07</v>
      </c>
      <c r="F81" s="3046">
        <v>3.98</v>
      </c>
      <c r="G81" s="3046">
        <v>18.47</v>
      </c>
      <c r="H81" s="3025" t="s">
        <v>1377</v>
      </c>
      <c r="I81" s="3026" t="s">
        <v>3131</v>
      </c>
      <c r="J81" s="3045"/>
    </row>
    <row r="82" spans="1:10" ht="24" customHeight="1">
      <c r="A82" s="3026">
        <v>79</v>
      </c>
      <c r="B82" s="3026" t="s">
        <v>3183</v>
      </c>
      <c r="C82" s="3028" t="s">
        <v>3783</v>
      </c>
      <c r="D82" s="3046">
        <v>53</v>
      </c>
      <c r="E82" s="3046">
        <v>38.06</v>
      </c>
      <c r="F82" s="3046">
        <v>3.39</v>
      </c>
      <c r="G82" s="3046">
        <v>14.94</v>
      </c>
      <c r="H82" s="3025" t="s">
        <v>1377</v>
      </c>
      <c r="I82" s="3026" t="s">
        <v>3131</v>
      </c>
      <c r="J82" s="3045"/>
    </row>
    <row r="83" spans="1:10" ht="24" customHeight="1">
      <c r="A83" s="3026">
        <v>80</v>
      </c>
      <c r="B83" s="3026" t="s">
        <v>3184</v>
      </c>
      <c r="C83" s="3028" t="s">
        <v>3784</v>
      </c>
      <c r="D83" s="3046">
        <v>52.63</v>
      </c>
      <c r="E83" s="3046">
        <v>37.799999999999997</v>
      </c>
      <c r="F83" s="3046">
        <v>3.21</v>
      </c>
      <c r="G83" s="3046">
        <v>14.83</v>
      </c>
      <c r="H83" s="3025" t="s">
        <v>1377</v>
      </c>
      <c r="I83" s="3026" t="s">
        <v>3131</v>
      </c>
      <c r="J83" s="3045"/>
    </row>
    <row r="84" spans="1:10" ht="24" customHeight="1">
      <c r="A84" s="3026">
        <v>81</v>
      </c>
      <c r="B84" s="3026" t="s">
        <v>3185</v>
      </c>
      <c r="C84" s="3028" t="s">
        <v>3785</v>
      </c>
      <c r="D84" s="3046">
        <v>52.74</v>
      </c>
      <c r="E84" s="3046">
        <v>37.880000000000003</v>
      </c>
      <c r="F84" s="3046">
        <v>3.21</v>
      </c>
      <c r="G84" s="3046">
        <v>14.86</v>
      </c>
      <c r="H84" s="3025" t="s">
        <v>1377</v>
      </c>
      <c r="I84" s="3026" t="s">
        <v>3131</v>
      </c>
      <c r="J84" s="3045"/>
    </row>
    <row r="85" spans="1:10" ht="24" customHeight="1">
      <c r="A85" s="3026">
        <v>82</v>
      </c>
      <c r="B85" s="3026" t="s">
        <v>3186</v>
      </c>
      <c r="C85" s="3028" t="s">
        <v>3786</v>
      </c>
      <c r="D85" s="3046">
        <v>72.180000000000007</v>
      </c>
      <c r="E85" s="3046">
        <v>51.84</v>
      </c>
      <c r="F85" s="3046">
        <v>6.48</v>
      </c>
      <c r="G85" s="3046">
        <v>20.34</v>
      </c>
      <c r="H85" s="3025" t="s">
        <v>1377</v>
      </c>
      <c r="I85" s="3026" t="s">
        <v>3131</v>
      </c>
      <c r="J85" s="3045"/>
    </row>
    <row r="86" spans="1:10" ht="24" customHeight="1">
      <c r="A86" s="3026">
        <v>83</v>
      </c>
      <c r="B86" s="3026" t="s">
        <v>3194</v>
      </c>
      <c r="C86" s="3028" t="s">
        <v>3787</v>
      </c>
      <c r="D86" s="3046">
        <v>68.63</v>
      </c>
      <c r="E86" s="3046">
        <v>49.03</v>
      </c>
      <c r="F86" s="3046">
        <v>3.66</v>
      </c>
      <c r="G86" s="3046">
        <v>19.600000000000001</v>
      </c>
      <c r="H86" s="3025" t="s">
        <v>1377</v>
      </c>
      <c r="I86" s="3026" t="s">
        <v>3131</v>
      </c>
      <c r="J86" s="3045"/>
    </row>
    <row r="87" spans="1:10" ht="24" customHeight="1">
      <c r="A87" s="3026">
        <v>84</v>
      </c>
      <c r="B87" s="3026" t="s">
        <v>3195</v>
      </c>
      <c r="C87" s="3028" t="s">
        <v>3788</v>
      </c>
      <c r="D87" s="3046">
        <v>53.03</v>
      </c>
      <c r="E87" s="3046">
        <v>37.880000000000003</v>
      </c>
      <c r="F87" s="3046">
        <v>3.21</v>
      </c>
      <c r="G87" s="3046">
        <v>15.15</v>
      </c>
      <c r="H87" s="3025" t="s">
        <v>1377</v>
      </c>
      <c r="I87" s="3026" t="s">
        <v>3131</v>
      </c>
      <c r="J87" s="3045"/>
    </row>
    <row r="88" spans="1:10" ht="24" customHeight="1">
      <c r="A88" s="3026">
        <v>85</v>
      </c>
      <c r="B88" s="3026" t="s">
        <v>3196</v>
      </c>
      <c r="C88" s="3028" t="s">
        <v>3789</v>
      </c>
      <c r="D88" s="3046">
        <v>52.91</v>
      </c>
      <c r="E88" s="3046">
        <v>37.799999999999997</v>
      </c>
      <c r="F88" s="3046">
        <v>3.21</v>
      </c>
      <c r="G88" s="3046">
        <v>15.11</v>
      </c>
      <c r="H88" s="3025" t="s">
        <v>1377</v>
      </c>
      <c r="I88" s="3026" t="s">
        <v>3131</v>
      </c>
      <c r="J88" s="3045"/>
    </row>
    <row r="89" spans="1:10" ht="24" customHeight="1">
      <c r="A89" s="3026">
        <v>86</v>
      </c>
      <c r="B89" s="3026" t="s">
        <v>3197</v>
      </c>
      <c r="C89" s="3028" t="s">
        <v>3790</v>
      </c>
      <c r="D89" s="3046">
        <v>53.28</v>
      </c>
      <c r="E89" s="3046">
        <v>38.06</v>
      </c>
      <c r="F89" s="3046">
        <v>3.39</v>
      </c>
      <c r="G89" s="3046">
        <v>15.22</v>
      </c>
      <c r="H89" s="3025" t="s">
        <v>1377</v>
      </c>
      <c r="I89" s="3026" t="s">
        <v>3131</v>
      </c>
      <c r="J89" s="3045"/>
    </row>
    <row r="90" spans="1:10" ht="24" customHeight="1">
      <c r="A90" s="3026">
        <v>87</v>
      </c>
      <c r="B90" s="3026" t="s">
        <v>3198</v>
      </c>
      <c r="C90" s="3029" t="s">
        <v>3791</v>
      </c>
      <c r="D90" s="3046">
        <v>65.89</v>
      </c>
      <c r="E90" s="3046">
        <v>47.07</v>
      </c>
      <c r="F90" s="3046">
        <v>3.98</v>
      </c>
      <c r="G90" s="3046">
        <v>18.82</v>
      </c>
      <c r="H90" s="3025" t="s">
        <v>1377</v>
      </c>
      <c r="I90" s="3026" t="s">
        <v>3131</v>
      </c>
      <c r="J90" s="3045"/>
    </row>
    <row r="91" spans="1:10" ht="24" customHeight="1">
      <c r="A91" s="3026">
        <v>88</v>
      </c>
      <c r="B91" s="3026" t="s">
        <v>3199</v>
      </c>
      <c r="C91" s="3028" t="s">
        <v>3792</v>
      </c>
      <c r="D91" s="3046">
        <v>52.1</v>
      </c>
      <c r="E91" s="3046">
        <v>37.22</v>
      </c>
      <c r="F91" s="3046"/>
      <c r="G91" s="3046">
        <v>14.88</v>
      </c>
      <c r="H91" s="3025" t="s">
        <v>1377</v>
      </c>
      <c r="I91" s="3026" t="s">
        <v>3131</v>
      </c>
      <c r="J91" s="3045"/>
    </row>
    <row r="92" spans="1:10" ht="24" customHeight="1">
      <c r="A92" s="3026">
        <v>89</v>
      </c>
      <c r="B92" s="3026" t="s">
        <v>3200</v>
      </c>
      <c r="C92" s="3028" t="s">
        <v>3793</v>
      </c>
      <c r="D92" s="3046">
        <v>82.84</v>
      </c>
      <c r="E92" s="3046">
        <v>59.18</v>
      </c>
      <c r="F92" s="3046"/>
      <c r="G92" s="3046">
        <v>23.66</v>
      </c>
      <c r="H92" s="3025" t="s">
        <v>1377</v>
      </c>
      <c r="I92" s="3026" t="s">
        <v>3131</v>
      </c>
      <c r="J92" s="3045"/>
    </row>
    <row r="93" spans="1:10" ht="24" customHeight="1">
      <c r="A93" s="3026">
        <v>90</v>
      </c>
      <c r="B93" s="3026" t="s">
        <v>3201</v>
      </c>
      <c r="C93" s="3028" t="s">
        <v>3794</v>
      </c>
      <c r="D93" s="3046">
        <v>82.84</v>
      </c>
      <c r="E93" s="3046">
        <v>59.18</v>
      </c>
      <c r="F93" s="3046"/>
      <c r="G93" s="3046">
        <v>23.66</v>
      </c>
      <c r="H93" s="3025" t="s">
        <v>1377</v>
      </c>
      <c r="I93" s="3026" t="s">
        <v>3131</v>
      </c>
      <c r="J93" s="3045"/>
    </row>
    <row r="94" spans="1:10" ht="24" customHeight="1">
      <c r="A94" s="3026">
        <v>91</v>
      </c>
      <c r="B94" s="3026" t="s">
        <v>3202</v>
      </c>
      <c r="C94" s="3028" t="s">
        <v>3795</v>
      </c>
      <c r="D94" s="3046">
        <v>52.1</v>
      </c>
      <c r="E94" s="3046">
        <v>37.22</v>
      </c>
      <c r="F94" s="3046"/>
      <c r="G94" s="3046">
        <v>14.88</v>
      </c>
      <c r="H94" s="3025" t="s">
        <v>1377</v>
      </c>
      <c r="I94" s="3026" t="s">
        <v>3131</v>
      </c>
      <c r="J94" s="3045"/>
    </row>
    <row r="95" spans="1:10" ht="24" customHeight="1">
      <c r="A95" s="3026">
        <v>92</v>
      </c>
      <c r="B95" s="3026" t="s">
        <v>3203</v>
      </c>
      <c r="C95" s="3028" t="s">
        <v>3796</v>
      </c>
      <c r="D95" s="3046">
        <v>65.89</v>
      </c>
      <c r="E95" s="3046">
        <v>47.07</v>
      </c>
      <c r="F95" s="3046">
        <v>3.98</v>
      </c>
      <c r="G95" s="3046">
        <v>18.82</v>
      </c>
      <c r="H95" s="3025" t="s">
        <v>1377</v>
      </c>
      <c r="I95" s="3026" t="s">
        <v>3131</v>
      </c>
      <c r="J95" s="3045"/>
    </row>
    <row r="96" spans="1:10" ht="24" customHeight="1">
      <c r="A96" s="3026">
        <v>93</v>
      </c>
      <c r="B96" s="3026" t="s">
        <v>3204</v>
      </c>
      <c r="C96" s="3028" t="s">
        <v>3797</v>
      </c>
      <c r="D96" s="3046">
        <v>53.28</v>
      </c>
      <c r="E96" s="3046">
        <v>38.06</v>
      </c>
      <c r="F96" s="3046">
        <v>3.39</v>
      </c>
      <c r="G96" s="3046">
        <v>15.22</v>
      </c>
      <c r="H96" s="3025" t="s">
        <v>1377</v>
      </c>
      <c r="I96" s="3026" t="s">
        <v>3131</v>
      </c>
      <c r="J96" s="3045"/>
    </row>
    <row r="97" spans="1:10" ht="24" customHeight="1">
      <c r="A97" s="3026">
        <v>94</v>
      </c>
      <c r="B97" s="3026" t="s">
        <v>3205</v>
      </c>
      <c r="C97" s="3028" t="s">
        <v>3798</v>
      </c>
      <c r="D97" s="3046">
        <v>52.91</v>
      </c>
      <c r="E97" s="3046">
        <v>37.799999999999997</v>
      </c>
      <c r="F97" s="3046">
        <v>3.21</v>
      </c>
      <c r="G97" s="3046">
        <v>15.11</v>
      </c>
      <c r="H97" s="3025" t="s">
        <v>1377</v>
      </c>
      <c r="I97" s="3026" t="s">
        <v>3131</v>
      </c>
      <c r="J97" s="3045"/>
    </row>
    <row r="98" spans="1:10" ht="24" customHeight="1">
      <c r="A98" s="3026">
        <v>95</v>
      </c>
      <c r="B98" s="3026" t="s">
        <v>3206</v>
      </c>
      <c r="C98" s="3028" t="s">
        <v>3799</v>
      </c>
      <c r="D98" s="3046">
        <v>53.03</v>
      </c>
      <c r="E98" s="3046">
        <v>37.880000000000003</v>
      </c>
      <c r="F98" s="3046">
        <v>3.21</v>
      </c>
      <c r="G98" s="3046">
        <v>15.15</v>
      </c>
      <c r="H98" s="3025" t="s">
        <v>1377</v>
      </c>
      <c r="I98" s="3026" t="s">
        <v>3131</v>
      </c>
      <c r="J98" s="3045"/>
    </row>
    <row r="99" spans="1:10" ht="24" customHeight="1">
      <c r="A99" s="3026">
        <v>96</v>
      </c>
      <c r="B99" s="3026" t="s">
        <v>3207</v>
      </c>
      <c r="C99" s="3028" t="s">
        <v>3800</v>
      </c>
      <c r="D99" s="3046">
        <v>72.569999999999993</v>
      </c>
      <c r="E99" s="3046">
        <v>51.84</v>
      </c>
      <c r="F99" s="3046">
        <v>6.48</v>
      </c>
      <c r="G99" s="3046">
        <v>20.73</v>
      </c>
      <c r="H99" s="3025" t="s">
        <v>1377</v>
      </c>
      <c r="I99" s="3026" t="s">
        <v>3131</v>
      </c>
      <c r="J99" s="3045"/>
    </row>
    <row r="100" spans="1:10" ht="24" customHeight="1">
      <c r="A100" s="3026">
        <v>97</v>
      </c>
      <c r="B100" s="3026" t="s">
        <v>3215</v>
      </c>
      <c r="C100" s="3028" t="s">
        <v>3801</v>
      </c>
      <c r="D100" s="3046">
        <v>68.989999999999995</v>
      </c>
      <c r="E100" s="3046">
        <v>49.03</v>
      </c>
      <c r="F100" s="3046">
        <v>3.66</v>
      </c>
      <c r="G100" s="3046">
        <v>19.96</v>
      </c>
      <c r="H100" s="3025" t="s">
        <v>1377</v>
      </c>
      <c r="I100" s="3026" t="s">
        <v>3131</v>
      </c>
      <c r="J100" s="3045"/>
    </row>
    <row r="101" spans="1:10" ht="24" customHeight="1">
      <c r="A101" s="3026">
        <v>98</v>
      </c>
      <c r="B101" s="3026" t="s">
        <v>3216</v>
      </c>
      <c r="C101" s="3028" t="s">
        <v>3802</v>
      </c>
      <c r="D101" s="3046">
        <v>53.3</v>
      </c>
      <c r="E101" s="3046">
        <v>37.880000000000003</v>
      </c>
      <c r="F101" s="3046">
        <v>3.21</v>
      </c>
      <c r="G101" s="3046">
        <v>15.42</v>
      </c>
      <c r="H101" s="3025" t="s">
        <v>1377</v>
      </c>
      <c r="I101" s="3026" t="s">
        <v>3131</v>
      </c>
      <c r="J101" s="3045"/>
    </row>
    <row r="102" spans="1:10" ht="24" customHeight="1">
      <c r="A102" s="3026">
        <v>99</v>
      </c>
      <c r="B102" s="3026" t="s">
        <v>3217</v>
      </c>
      <c r="C102" s="3028" t="s">
        <v>3803</v>
      </c>
      <c r="D102" s="3046">
        <v>53.18</v>
      </c>
      <c r="E102" s="3046">
        <v>37.799999999999997</v>
      </c>
      <c r="F102" s="3046">
        <v>3.21</v>
      </c>
      <c r="G102" s="3046">
        <v>15.38</v>
      </c>
      <c r="H102" s="3025" t="s">
        <v>1377</v>
      </c>
      <c r="I102" s="3026" t="s">
        <v>3131</v>
      </c>
      <c r="J102" s="3045"/>
    </row>
    <row r="103" spans="1:10" ht="24" customHeight="1">
      <c r="A103" s="3026">
        <v>100</v>
      </c>
      <c r="B103" s="3026" t="s">
        <v>3218</v>
      </c>
      <c r="C103" s="3028" t="s">
        <v>3804</v>
      </c>
      <c r="D103" s="3046">
        <v>53.55</v>
      </c>
      <c r="E103" s="3046">
        <v>38.06</v>
      </c>
      <c r="F103" s="3046">
        <v>3.39</v>
      </c>
      <c r="G103" s="3046">
        <v>15.49</v>
      </c>
      <c r="H103" s="3025" t="s">
        <v>1377</v>
      </c>
      <c r="I103" s="3026" t="s">
        <v>3131</v>
      </c>
      <c r="J103" s="3045"/>
    </row>
    <row r="104" spans="1:10" ht="24" customHeight="1">
      <c r="A104" s="3026">
        <v>101</v>
      </c>
      <c r="B104" s="3026" t="s">
        <v>3219</v>
      </c>
      <c r="C104" s="3028" t="s">
        <v>3805</v>
      </c>
      <c r="D104" s="3046">
        <v>66.23</v>
      </c>
      <c r="E104" s="3046">
        <v>47.07</v>
      </c>
      <c r="F104" s="3046">
        <v>3.98</v>
      </c>
      <c r="G104" s="3046">
        <v>19.16</v>
      </c>
      <c r="H104" s="3025" t="s">
        <v>1377</v>
      </c>
      <c r="I104" s="3026" t="s">
        <v>3131</v>
      </c>
      <c r="J104" s="3045"/>
    </row>
    <row r="105" spans="1:10" ht="24" customHeight="1">
      <c r="A105" s="3026">
        <v>102</v>
      </c>
      <c r="B105" s="3026" t="s">
        <v>3220</v>
      </c>
      <c r="C105" s="3028" t="s">
        <v>3806</v>
      </c>
      <c r="D105" s="3046">
        <v>44.98</v>
      </c>
      <c r="E105" s="3046">
        <v>31.97</v>
      </c>
      <c r="F105" s="3046"/>
      <c r="G105" s="3046">
        <v>13.01</v>
      </c>
      <c r="H105" s="3025" t="s">
        <v>1377</v>
      </c>
      <c r="I105" s="3026" t="s">
        <v>3131</v>
      </c>
      <c r="J105" s="3045"/>
    </row>
    <row r="106" spans="1:10" ht="24" customHeight="1">
      <c r="A106" s="3026">
        <v>103</v>
      </c>
      <c r="B106" s="3026" t="s">
        <v>3221</v>
      </c>
      <c r="C106" s="3028" t="s">
        <v>3807</v>
      </c>
      <c r="D106" s="3046">
        <v>58.19</v>
      </c>
      <c r="E106" s="3046">
        <v>41.36</v>
      </c>
      <c r="F106" s="3046"/>
      <c r="G106" s="3046">
        <v>16.829999999999998</v>
      </c>
      <c r="H106" s="3025" t="s">
        <v>1377</v>
      </c>
      <c r="I106" s="3026" t="s">
        <v>3131</v>
      </c>
      <c r="J106" s="3045"/>
    </row>
    <row r="107" spans="1:10" ht="24" customHeight="1">
      <c r="A107" s="3026">
        <v>104</v>
      </c>
      <c r="B107" s="3026" t="s">
        <v>3222</v>
      </c>
      <c r="C107" s="3028" t="s">
        <v>3808</v>
      </c>
      <c r="D107" s="3046">
        <v>58.19</v>
      </c>
      <c r="E107" s="3046">
        <v>41.36</v>
      </c>
      <c r="F107" s="3046"/>
      <c r="G107" s="3046">
        <v>16.829999999999998</v>
      </c>
      <c r="H107" s="3025" t="s">
        <v>1377</v>
      </c>
      <c r="I107" s="3026" t="s">
        <v>3131</v>
      </c>
      <c r="J107" s="3045"/>
    </row>
    <row r="108" spans="1:10" ht="24" customHeight="1">
      <c r="A108" s="3026">
        <v>105</v>
      </c>
      <c r="B108" s="3026" t="s">
        <v>3223</v>
      </c>
      <c r="C108" s="3028" t="s">
        <v>3809</v>
      </c>
      <c r="D108" s="3046">
        <v>44.98</v>
      </c>
      <c r="E108" s="3046">
        <v>31.97</v>
      </c>
      <c r="F108" s="3046"/>
      <c r="G108" s="3046">
        <v>13.01</v>
      </c>
      <c r="H108" s="3025" t="s">
        <v>1377</v>
      </c>
      <c r="I108" s="3026" t="s">
        <v>3131</v>
      </c>
      <c r="J108" s="3045"/>
    </row>
    <row r="109" spans="1:10" ht="24" customHeight="1">
      <c r="A109" s="3026">
        <v>106</v>
      </c>
      <c r="B109" s="3026" t="s">
        <v>3224</v>
      </c>
      <c r="C109" s="3028" t="s">
        <v>3810</v>
      </c>
      <c r="D109" s="3046">
        <v>66.23</v>
      </c>
      <c r="E109" s="3046">
        <v>47.07</v>
      </c>
      <c r="F109" s="3046">
        <v>3.98</v>
      </c>
      <c r="G109" s="3046">
        <v>19.16</v>
      </c>
      <c r="H109" s="3025" t="s">
        <v>1377</v>
      </c>
      <c r="I109" s="3026" t="s">
        <v>3131</v>
      </c>
      <c r="J109" s="3045"/>
    </row>
    <row r="110" spans="1:10" ht="24" customHeight="1">
      <c r="A110" s="3026">
        <v>107</v>
      </c>
      <c r="B110" s="3026" t="s">
        <v>3225</v>
      </c>
      <c r="C110" s="3028" t="s">
        <v>3811</v>
      </c>
      <c r="D110" s="3046">
        <v>53.55</v>
      </c>
      <c r="E110" s="3046">
        <v>38.06</v>
      </c>
      <c r="F110" s="3046">
        <v>3.39</v>
      </c>
      <c r="G110" s="3046">
        <v>15.49</v>
      </c>
      <c r="H110" s="3025" t="s">
        <v>1377</v>
      </c>
      <c r="I110" s="3026" t="s">
        <v>3131</v>
      </c>
      <c r="J110" s="3045"/>
    </row>
    <row r="111" spans="1:10" ht="24" customHeight="1">
      <c r="A111" s="3026">
        <v>108</v>
      </c>
      <c r="B111" s="3026" t="s">
        <v>3226</v>
      </c>
      <c r="C111" s="3028" t="s">
        <v>3812</v>
      </c>
      <c r="D111" s="3046">
        <v>53.18</v>
      </c>
      <c r="E111" s="3046">
        <v>37.799999999999997</v>
      </c>
      <c r="F111" s="3046">
        <v>3.21</v>
      </c>
      <c r="G111" s="3046">
        <v>15.38</v>
      </c>
      <c r="H111" s="3025" t="s">
        <v>1377</v>
      </c>
      <c r="I111" s="3026" t="s">
        <v>3131</v>
      </c>
      <c r="J111" s="3045"/>
    </row>
    <row r="112" spans="1:10" ht="24" customHeight="1">
      <c r="A112" s="3026">
        <v>109</v>
      </c>
      <c r="B112" s="3026" t="s">
        <v>3227</v>
      </c>
      <c r="C112" s="3028" t="s">
        <v>3813</v>
      </c>
      <c r="D112" s="3046">
        <v>53.3</v>
      </c>
      <c r="E112" s="3046">
        <v>37.880000000000003</v>
      </c>
      <c r="F112" s="3046">
        <v>3.21</v>
      </c>
      <c r="G112" s="3046">
        <v>15.42</v>
      </c>
      <c r="H112" s="3025" t="s">
        <v>1377</v>
      </c>
      <c r="I112" s="3026" t="s">
        <v>3131</v>
      </c>
      <c r="J112" s="3045"/>
    </row>
    <row r="113" spans="1:12" ht="24" customHeight="1">
      <c r="A113" s="3026">
        <v>110</v>
      </c>
      <c r="B113" s="3026" t="s">
        <v>3228</v>
      </c>
      <c r="C113" s="3028" t="s">
        <v>3814</v>
      </c>
      <c r="D113" s="3046">
        <v>72.94</v>
      </c>
      <c r="E113" s="3046">
        <v>51.84</v>
      </c>
      <c r="F113" s="3046">
        <v>6.48</v>
      </c>
      <c r="G113" s="3046">
        <v>21.1</v>
      </c>
      <c r="H113" s="3025" t="s">
        <v>1377</v>
      </c>
      <c r="I113" s="3026" t="s">
        <v>3131</v>
      </c>
      <c r="J113" s="3045"/>
    </row>
    <row r="114" spans="1:12" ht="24" customHeight="1">
      <c r="A114" s="3026">
        <v>111</v>
      </c>
      <c r="B114" s="3026" t="s">
        <v>3236</v>
      </c>
      <c r="C114" s="3028" t="s">
        <v>3815</v>
      </c>
      <c r="D114" s="3046">
        <v>70.180000000000007</v>
      </c>
      <c r="E114" s="3046">
        <v>49.03</v>
      </c>
      <c r="F114" s="3046">
        <v>3.66</v>
      </c>
      <c r="G114" s="3046">
        <v>21.15</v>
      </c>
      <c r="H114" s="3025" t="s">
        <v>1377</v>
      </c>
      <c r="I114" s="3026" t="s">
        <v>3131</v>
      </c>
      <c r="J114" s="3045"/>
    </row>
    <row r="115" spans="1:12" ht="24" customHeight="1">
      <c r="A115" s="3026">
        <v>112</v>
      </c>
      <c r="B115" s="3026" t="s">
        <v>3237</v>
      </c>
      <c r="C115" s="3028" t="s">
        <v>3816</v>
      </c>
      <c r="D115" s="3046">
        <v>54.22</v>
      </c>
      <c r="E115" s="3046">
        <v>37.880000000000003</v>
      </c>
      <c r="F115" s="3046">
        <v>3.21</v>
      </c>
      <c r="G115" s="3046">
        <v>16.34</v>
      </c>
      <c r="H115" s="3025" t="s">
        <v>1377</v>
      </c>
      <c r="I115" s="3026" t="s">
        <v>3131</v>
      </c>
      <c r="J115" s="3045"/>
    </row>
    <row r="116" spans="1:12" ht="24" customHeight="1">
      <c r="A116" s="3026">
        <v>113</v>
      </c>
      <c r="B116" s="3026" t="s">
        <v>3238</v>
      </c>
      <c r="C116" s="3028" t="s">
        <v>3817</v>
      </c>
      <c r="D116" s="3046">
        <v>54.1</v>
      </c>
      <c r="E116" s="3046">
        <v>37.799999999999997</v>
      </c>
      <c r="F116" s="3046">
        <v>3.21</v>
      </c>
      <c r="G116" s="3046">
        <v>16.3</v>
      </c>
      <c r="H116" s="3025" t="s">
        <v>1377</v>
      </c>
      <c r="I116" s="3026" t="s">
        <v>3131</v>
      </c>
      <c r="J116" s="3045"/>
    </row>
    <row r="117" spans="1:12" ht="24" customHeight="1">
      <c r="A117" s="3026">
        <v>114</v>
      </c>
      <c r="B117" s="3026" t="s">
        <v>3239</v>
      </c>
      <c r="C117" s="3028" t="s">
        <v>3818</v>
      </c>
      <c r="D117" s="3046">
        <v>54.61</v>
      </c>
      <c r="E117" s="3046">
        <v>38.15</v>
      </c>
      <c r="F117" s="3046">
        <v>3.48</v>
      </c>
      <c r="G117" s="3046">
        <v>16.46</v>
      </c>
      <c r="H117" s="3025" t="s">
        <v>1377</v>
      </c>
      <c r="I117" s="3026" t="s">
        <v>3131</v>
      </c>
      <c r="J117" s="3045"/>
    </row>
    <row r="118" spans="1:12" ht="24" customHeight="1">
      <c r="A118" s="3026">
        <v>115</v>
      </c>
      <c r="B118" s="3026" t="s">
        <v>3240</v>
      </c>
      <c r="C118" s="3028" t="s">
        <v>3819</v>
      </c>
      <c r="D118" s="3046">
        <v>61.66</v>
      </c>
      <c r="E118" s="3046">
        <v>43.08</v>
      </c>
      <c r="F118" s="3046"/>
      <c r="G118" s="3046">
        <v>18.579999999999998</v>
      </c>
      <c r="H118" s="3025" t="s">
        <v>1377</v>
      </c>
      <c r="I118" s="3026" t="s">
        <v>3131</v>
      </c>
      <c r="J118" s="3045"/>
    </row>
    <row r="119" spans="1:12" ht="24" customHeight="1">
      <c r="A119" s="3026">
        <v>116</v>
      </c>
      <c r="B119" s="3026" t="s">
        <v>3241</v>
      </c>
      <c r="C119" s="3028" t="s">
        <v>3820</v>
      </c>
      <c r="D119" s="3046">
        <v>31.36</v>
      </c>
      <c r="E119" s="3046">
        <v>21.91</v>
      </c>
      <c r="F119" s="3046"/>
      <c r="G119" s="3046">
        <v>9.4499999999999993</v>
      </c>
      <c r="H119" s="3025" t="s">
        <v>1377</v>
      </c>
      <c r="I119" s="3026" t="s">
        <v>3131</v>
      </c>
      <c r="J119" s="3045"/>
    </row>
    <row r="120" spans="1:12" ht="24" customHeight="1">
      <c r="A120" s="3026">
        <v>117</v>
      </c>
      <c r="B120" s="3026" t="s">
        <v>3242</v>
      </c>
      <c r="C120" s="3028" t="s">
        <v>3821</v>
      </c>
      <c r="D120" s="3046">
        <v>56.09</v>
      </c>
      <c r="E120" s="3046">
        <v>39.24</v>
      </c>
      <c r="F120" s="3046"/>
      <c r="G120" s="3046">
        <v>16.850000000000001</v>
      </c>
      <c r="H120" s="3025" t="s">
        <v>1377</v>
      </c>
      <c r="I120" s="3026" t="s">
        <v>3131</v>
      </c>
      <c r="J120" s="3045"/>
    </row>
    <row r="121" spans="1:12" ht="24" customHeight="1">
      <c r="A121" s="3026">
        <v>118</v>
      </c>
      <c r="B121" s="3026" t="s">
        <v>3243</v>
      </c>
      <c r="C121" s="3028" t="s">
        <v>3822</v>
      </c>
      <c r="D121" s="3046">
        <v>37.86</v>
      </c>
      <c r="E121" s="3046">
        <v>26.45</v>
      </c>
      <c r="F121" s="3046"/>
      <c r="G121" s="3046">
        <v>11.41</v>
      </c>
      <c r="H121" s="3025" t="s">
        <v>1377</v>
      </c>
      <c r="I121" s="3026" t="s">
        <v>3131</v>
      </c>
      <c r="J121" s="3045"/>
    </row>
    <row r="122" spans="1:12" ht="24" customHeight="1">
      <c r="A122" s="3026">
        <v>119</v>
      </c>
      <c r="B122" s="3026" t="s">
        <v>3244</v>
      </c>
      <c r="C122" s="3028" t="s">
        <v>3823</v>
      </c>
      <c r="D122" s="3046">
        <v>61.66</v>
      </c>
      <c r="E122" s="3046">
        <v>43.08</v>
      </c>
      <c r="F122" s="3046"/>
      <c r="G122" s="3046">
        <v>18.579999999999998</v>
      </c>
      <c r="H122" s="3025" t="s">
        <v>1377</v>
      </c>
      <c r="I122" s="3026" t="s">
        <v>3131</v>
      </c>
      <c r="J122" s="3045"/>
    </row>
    <row r="123" spans="1:12" ht="24" customHeight="1">
      <c r="A123" s="3026">
        <v>120</v>
      </c>
      <c r="B123" s="3026" t="s">
        <v>3245</v>
      </c>
      <c r="C123" s="3028" t="s">
        <v>3824</v>
      </c>
      <c r="D123" s="3046">
        <v>54.61</v>
      </c>
      <c r="E123" s="3046">
        <v>38.15</v>
      </c>
      <c r="F123" s="3046">
        <v>3.48</v>
      </c>
      <c r="G123" s="3046">
        <v>16.46</v>
      </c>
      <c r="H123" s="3025" t="s">
        <v>1377</v>
      </c>
      <c r="I123" s="3026" t="s">
        <v>3131</v>
      </c>
      <c r="J123" s="3045"/>
    </row>
    <row r="124" spans="1:12" ht="24" customHeight="1">
      <c r="A124" s="3026">
        <v>121</v>
      </c>
      <c r="B124" s="3026" t="s">
        <v>3246</v>
      </c>
      <c r="C124" s="3028" t="s">
        <v>3825</v>
      </c>
      <c r="D124" s="3046">
        <v>54.1</v>
      </c>
      <c r="E124" s="3046">
        <v>37.799999999999997</v>
      </c>
      <c r="F124" s="3046">
        <v>3.21</v>
      </c>
      <c r="G124" s="3046">
        <v>16.3</v>
      </c>
      <c r="H124" s="3025" t="s">
        <v>1377</v>
      </c>
      <c r="I124" s="3026" t="s">
        <v>3131</v>
      </c>
      <c r="J124" s="3045"/>
    </row>
    <row r="125" spans="1:12" ht="24" customHeight="1">
      <c r="A125" s="3026">
        <v>122</v>
      </c>
      <c r="B125" s="3026" t="s">
        <v>3247</v>
      </c>
      <c r="C125" s="3028" t="s">
        <v>3826</v>
      </c>
      <c r="D125" s="3046">
        <v>54.22</v>
      </c>
      <c r="E125" s="3046">
        <v>37.880000000000003</v>
      </c>
      <c r="F125" s="3046">
        <v>3.21</v>
      </c>
      <c r="G125" s="3046">
        <v>16.34</v>
      </c>
      <c r="H125" s="3025" t="s">
        <v>1377</v>
      </c>
      <c r="I125" s="3026" t="s">
        <v>3131</v>
      </c>
      <c r="J125" s="3045"/>
    </row>
    <row r="126" spans="1:12" ht="24" customHeight="1">
      <c r="A126" s="3026">
        <v>123</v>
      </c>
      <c r="B126" s="3026" t="s">
        <v>3248</v>
      </c>
      <c r="C126" s="3028" t="s">
        <v>3704</v>
      </c>
      <c r="D126" s="3046">
        <v>69.790000000000006</v>
      </c>
      <c r="E126" s="3046">
        <v>48.76</v>
      </c>
      <c r="F126" s="3046">
        <v>3.39</v>
      </c>
      <c r="G126" s="3046">
        <v>21.03</v>
      </c>
      <c r="H126" s="3025" t="s">
        <v>1377</v>
      </c>
      <c r="I126" s="3026" t="s">
        <v>3131</v>
      </c>
      <c r="J126" s="3045"/>
    </row>
    <row r="127" spans="1:12" ht="20.100000000000001" customHeight="1">
      <c r="A127" s="3147" t="s">
        <v>3297</v>
      </c>
      <c r="B127" s="3147"/>
      <c r="C127" s="3030"/>
      <c r="D127" s="3050">
        <f>SUM(D4:D126)</f>
        <v>7625.3999999999978</v>
      </c>
      <c r="E127" s="3046"/>
      <c r="F127" s="3046"/>
      <c r="G127" s="3046"/>
      <c r="H127" s="3046"/>
      <c r="I127" s="3026"/>
      <c r="J127" s="3047"/>
      <c r="L127" s="3041">
        <v>967.69</v>
      </c>
    </row>
  </sheetData>
  <mergeCells count="3">
    <mergeCell ref="B1:I1"/>
    <mergeCell ref="B2:H2"/>
    <mergeCell ref="A127:B127"/>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zoomScaleNormal="100" workbookViewId="0">
      <selection activeCell="I127" sqref="A1:I127"/>
    </sheetView>
  </sheetViews>
  <sheetFormatPr defaultRowHeight="12"/>
  <cols>
    <col min="1" max="1" width="8" style="3051" customWidth="1"/>
    <col min="2" max="2" width="9" style="3051"/>
    <col min="3" max="3" width="18.125" style="3031" customWidth="1"/>
    <col min="4" max="4" width="9.5" style="3051" bestFit="1" customWidth="1"/>
    <col min="5" max="7" width="0" style="3051" hidden="1" customWidth="1"/>
    <col min="8" max="16384" width="9" style="3051"/>
  </cols>
  <sheetData>
    <row r="1" spans="1:10">
      <c r="A1" s="3149" t="s">
        <v>3298</v>
      </c>
      <c r="B1" s="3150"/>
      <c r="C1" s="3150"/>
      <c r="D1" s="3150"/>
      <c r="E1" s="3150"/>
      <c r="F1" s="3150"/>
      <c r="G1" s="3150"/>
      <c r="H1" s="3150"/>
      <c r="I1" s="3151"/>
    </row>
    <row r="2" spans="1:10" ht="13.5" customHeight="1">
      <c r="A2" s="3152" t="s">
        <v>3129</v>
      </c>
      <c r="B2" s="3153"/>
      <c r="C2" s="3153"/>
      <c r="D2" s="3153"/>
      <c r="E2" s="3153"/>
      <c r="F2" s="3153"/>
      <c r="G2" s="3153"/>
      <c r="H2" s="3154"/>
      <c r="I2" s="3034" t="s">
        <v>3054</v>
      </c>
    </row>
    <row r="3" spans="1:10" ht="36">
      <c r="A3" s="3032" t="s">
        <v>3294</v>
      </c>
      <c r="B3" s="3025" t="s">
        <v>3055</v>
      </c>
      <c r="C3" s="3027" t="s">
        <v>3477</v>
      </c>
      <c r="D3" s="3033" t="s">
        <v>3056</v>
      </c>
      <c r="E3" s="3033" t="s">
        <v>3057</v>
      </c>
      <c r="F3" s="3033" t="s">
        <v>3058</v>
      </c>
      <c r="G3" s="3033" t="s">
        <v>3130</v>
      </c>
      <c r="H3" s="3025" t="s">
        <v>3060</v>
      </c>
      <c r="I3" s="3034" t="s">
        <v>3061</v>
      </c>
    </row>
    <row r="4" spans="1:10" ht="24">
      <c r="A4" s="3032">
        <v>1</v>
      </c>
      <c r="B4" s="3035" t="s">
        <v>3106</v>
      </c>
      <c r="C4" s="3028" t="s">
        <v>3827</v>
      </c>
      <c r="D4" s="3036">
        <f>E4+G4</f>
        <v>69.900000000000006</v>
      </c>
      <c r="E4" s="3036">
        <v>49.03</v>
      </c>
      <c r="F4" s="3036">
        <v>3.66</v>
      </c>
      <c r="G4" s="3036">
        <v>20.87</v>
      </c>
      <c r="H4" s="3035" t="s">
        <v>1377</v>
      </c>
      <c r="I4" s="3032" t="s">
        <v>3131</v>
      </c>
      <c r="J4" s="3037">
        <f>ROUND(D4/$D$127*$L$127,2)</f>
        <v>8.85</v>
      </c>
    </row>
    <row r="5" spans="1:10" ht="24">
      <c r="A5" s="3032">
        <v>2</v>
      </c>
      <c r="B5" s="3035" t="s">
        <v>3107</v>
      </c>
      <c r="C5" s="3028" t="s">
        <v>3828</v>
      </c>
      <c r="D5" s="3036">
        <v>54.01</v>
      </c>
      <c r="E5" s="3036">
        <v>37.880000000000003</v>
      </c>
      <c r="F5" s="3036">
        <v>3.21</v>
      </c>
      <c r="G5" s="3036">
        <v>16.13</v>
      </c>
      <c r="H5" s="3035" t="s">
        <v>1377</v>
      </c>
      <c r="I5" s="3032" t="s">
        <v>3131</v>
      </c>
      <c r="J5" s="3037">
        <f t="shared" ref="J5:J68" si="0">ROUND(D5/$D$127*$L$127,2)</f>
        <v>6.84</v>
      </c>
    </row>
    <row r="6" spans="1:10" ht="24">
      <c r="A6" s="3032">
        <v>3</v>
      </c>
      <c r="B6" s="3035" t="s">
        <v>3108</v>
      </c>
      <c r="C6" s="3028" t="s">
        <v>3829</v>
      </c>
      <c r="D6" s="3036">
        <v>53.89</v>
      </c>
      <c r="E6" s="3036">
        <v>37.799999999999997</v>
      </c>
      <c r="F6" s="3036">
        <v>3.21</v>
      </c>
      <c r="G6" s="3036">
        <v>16.09</v>
      </c>
      <c r="H6" s="3035" t="s">
        <v>1377</v>
      </c>
      <c r="I6" s="3032" t="s">
        <v>3131</v>
      </c>
      <c r="J6" s="3037">
        <f t="shared" si="0"/>
        <v>6.82</v>
      </c>
    </row>
    <row r="7" spans="1:10" ht="24">
      <c r="A7" s="3032">
        <v>4</v>
      </c>
      <c r="B7" s="3035" t="s">
        <v>3109</v>
      </c>
      <c r="C7" s="3028" t="s">
        <v>3830</v>
      </c>
      <c r="D7" s="3038">
        <v>54.27</v>
      </c>
      <c r="E7" s="3038">
        <v>38.06</v>
      </c>
      <c r="F7" s="3038">
        <v>3.39</v>
      </c>
      <c r="G7" s="3038">
        <v>16.21</v>
      </c>
      <c r="H7" s="3035" t="s">
        <v>1377</v>
      </c>
      <c r="I7" s="3032" t="s">
        <v>3131</v>
      </c>
      <c r="J7" s="3037">
        <f t="shared" si="0"/>
        <v>6.87</v>
      </c>
    </row>
    <row r="8" spans="1:10" ht="24">
      <c r="A8" s="3032">
        <v>5</v>
      </c>
      <c r="B8" s="3032" t="s">
        <v>3110</v>
      </c>
      <c r="C8" s="3028" t="s">
        <v>3831</v>
      </c>
      <c r="D8" s="3039">
        <v>67.11</v>
      </c>
      <c r="E8" s="3039">
        <v>47.07</v>
      </c>
      <c r="F8" s="3039">
        <v>3.98</v>
      </c>
      <c r="G8" s="3039">
        <v>20.04</v>
      </c>
      <c r="H8" s="3035" t="s">
        <v>1377</v>
      </c>
      <c r="I8" s="3032" t="s">
        <v>3131</v>
      </c>
      <c r="J8" s="3037">
        <f t="shared" si="0"/>
        <v>8.5</v>
      </c>
    </row>
    <row r="9" spans="1:10" ht="24">
      <c r="A9" s="3032">
        <v>6</v>
      </c>
      <c r="B9" s="3032" t="s">
        <v>3111</v>
      </c>
      <c r="C9" s="3028" t="s">
        <v>3832</v>
      </c>
      <c r="D9" s="3039">
        <v>57.22</v>
      </c>
      <c r="E9" s="3039">
        <v>40.130000000000003</v>
      </c>
      <c r="F9" s="3039">
        <v>2.91</v>
      </c>
      <c r="G9" s="3039">
        <v>17.09</v>
      </c>
      <c r="H9" s="3035" t="s">
        <v>1377</v>
      </c>
      <c r="I9" s="3032" t="s">
        <v>3131</v>
      </c>
      <c r="J9" s="3037">
        <f t="shared" si="0"/>
        <v>7.25</v>
      </c>
    </row>
    <row r="10" spans="1:10" ht="24">
      <c r="A10" s="3032">
        <v>7</v>
      </c>
      <c r="B10" s="3032" t="s">
        <v>3112</v>
      </c>
      <c r="C10" s="3028" t="s">
        <v>3833</v>
      </c>
      <c r="D10" s="3039">
        <v>96.76</v>
      </c>
      <c r="E10" s="3039">
        <v>67.86</v>
      </c>
      <c r="F10" s="3039">
        <v>8.69</v>
      </c>
      <c r="G10" s="3039">
        <v>28.9</v>
      </c>
      <c r="H10" s="3035" t="s">
        <v>1377</v>
      </c>
      <c r="I10" s="3032" t="s">
        <v>3131</v>
      </c>
      <c r="J10" s="3037">
        <f t="shared" si="0"/>
        <v>12.25</v>
      </c>
    </row>
    <row r="11" spans="1:10" ht="24">
      <c r="A11" s="3032">
        <v>8</v>
      </c>
      <c r="B11" s="3032" t="s">
        <v>3113</v>
      </c>
      <c r="C11" s="3028" t="s">
        <v>3834</v>
      </c>
      <c r="D11" s="3039">
        <v>96.76</v>
      </c>
      <c r="E11" s="3039">
        <v>67.86</v>
      </c>
      <c r="F11" s="3039">
        <v>8.69</v>
      </c>
      <c r="G11" s="3039">
        <v>28.9</v>
      </c>
      <c r="H11" s="3035" t="s">
        <v>1377</v>
      </c>
      <c r="I11" s="3032" t="s">
        <v>3131</v>
      </c>
      <c r="J11" s="3037">
        <f t="shared" si="0"/>
        <v>12.25</v>
      </c>
    </row>
    <row r="12" spans="1:10" ht="24">
      <c r="A12" s="3032">
        <v>9</v>
      </c>
      <c r="B12" s="3032" t="s">
        <v>3114</v>
      </c>
      <c r="C12" s="3028" t="s">
        <v>3835</v>
      </c>
      <c r="D12" s="3039">
        <v>57.22</v>
      </c>
      <c r="E12" s="3039">
        <v>40.130000000000003</v>
      </c>
      <c r="F12" s="3039">
        <v>2.91</v>
      </c>
      <c r="G12" s="3039">
        <v>17.09</v>
      </c>
      <c r="H12" s="3035" t="s">
        <v>1377</v>
      </c>
      <c r="I12" s="3032" t="s">
        <v>3131</v>
      </c>
      <c r="J12" s="3037">
        <f t="shared" si="0"/>
        <v>7.25</v>
      </c>
    </row>
    <row r="13" spans="1:10" ht="24">
      <c r="A13" s="3032">
        <v>10</v>
      </c>
      <c r="B13" s="3032" t="s">
        <v>3115</v>
      </c>
      <c r="C13" s="3028" t="s">
        <v>3836</v>
      </c>
      <c r="D13" s="3039">
        <v>67.150000000000006</v>
      </c>
      <c r="E13" s="3039">
        <v>47.1</v>
      </c>
      <c r="F13" s="3039">
        <v>4.01</v>
      </c>
      <c r="G13" s="3039">
        <v>20.05</v>
      </c>
      <c r="H13" s="3035" t="s">
        <v>1377</v>
      </c>
      <c r="I13" s="3032" t="s">
        <v>3131</v>
      </c>
      <c r="J13" s="3037">
        <f t="shared" si="0"/>
        <v>8.5</v>
      </c>
    </row>
    <row r="14" spans="1:10" ht="24">
      <c r="A14" s="3032">
        <v>11</v>
      </c>
      <c r="B14" s="3032" t="s">
        <v>3116</v>
      </c>
      <c r="C14" s="3028" t="s">
        <v>3837</v>
      </c>
      <c r="D14" s="3039">
        <v>54.01</v>
      </c>
      <c r="E14" s="3039">
        <v>37.880000000000003</v>
      </c>
      <c r="F14" s="3039">
        <v>3.21</v>
      </c>
      <c r="G14" s="3039">
        <v>16.13</v>
      </c>
      <c r="H14" s="3035" t="s">
        <v>1377</v>
      </c>
      <c r="I14" s="3032" t="s">
        <v>3131</v>
      </c>
      <c r="J14" s="3037">
        <f t="shared" si="0"/>
        <v>6.84</v>
      </c>
    </row>
    <row r="15" spans="1:10" ht="24">
      <c r="A15" s="3032">
        <v>12</v>
      </c>
      <c r="B15" s="3032" t="s">
        <v>3117</v>
      </c>
      <c r="C15" s="3028" t="s">
        <v>3838</v>
      </c>
      <c r="D15" s="3039">
        <v>73.91</v>
      </c>
      <c r="E15" s="3039">
        <v>51.84</v>
      </c>
      <c r="F15" s="3039">
        <v>6.48</v>
      </c>
      <c r="G15" s="3039">
        <v>22.07</v>
      </c>
      <c r="H15" s="3035" t="s">
        <v>1377</v>
      </c>
      <c r="I15" s="3032" t="s">
        <v>3131</v>
      </c>
      <c r="J15" s="3037">
        <f t="shared" si="0"/>
        <v>9.36</v>
      </c>
    </row>
    <row r="16" spans="1:10" ht="24">
      <c r="A16" s="3032">
        <v>13</v>
      </c>
      <c r="B16" s="3032" t="s">
        <v>3124</v>
      </c>
      <c r="C16" s="3028" t="s">
        <v>3839</v>
      </c>
      <c r="D16" s="3039">
        <v>68.13</v>
      </c>
      <c r="E16" s="3039">
        <v>49.03</v>
      </c>
      <c r="F16" s="3039">
        <v>3.66</v>
      </c>
      <c r="G16" s="3039">
        <v>19.100000000000001</v>
      </c>
      <c r="H16" s="3035" t="s">
        <v>1377</v>
      </c>
      <c r="I16" s="3032" t="s">
        <v>3131</v>
      </c>
      <c r="J16" s="3037">
        <f t="shared" si="0"/>
        <v>8.6300000000000008</v>
      </c>
    </row>
    <row r="17" spans="1:10" ht="24">
      <c r="A17" s="3032">
        <v>14</v>
      </c>
      <c r="B17" s="3032" t="s">
        <v>3125</v>
      </c>
      <c r="C17" s="3028" t="s">
        <v>3840</v>
      </c>
      <c r="D17" s="3039">
        <v>52.64</v>
      </c>
      <c r="E17" s="3039">
        <v>37.880000000000003</v>
      </c>
      <c r="F17" s="3039">
        <v>3.21</v>
      </c>
      <c r="G17" s="3039">
        <v>14.76</v>
      </c>
      <c r="H17" s="3035" t="s">
        <v>1377</v>
      </c>
      <c r="I17" s="3032" t="s">
        <v>3131</v>
      </c>
      <c r="J17" s="3037">
        <f t="shared" si="0"/>
        <v>6.67</v>
      </c>
    </row>
    <row r="18" spans="1:10" ht="24">
      <c r="A18" s="3032">
        <v>15</v>
      </c>
      <c r="B18" s="3032" t="s">
        <v>3126</v>
      </c>
      <c r="C18" s="3028" t="s">
        <v>3841</v>
      </c>
      <c r="D18" s="3039">
        <v>52.53</v>
      </c>
      <c r="E18" s="3039">
        <v>37.799999999999997</v>
      </c>
      <c r="F18" s="3039">
        <v>3.21</v>
      </c>
      <c r="G18" s="3039">
        <v>14.73</v>
      </c>
      <c r="H18" s="3035" t="s">
        <v>1377</v>
      </c>
      <c r="I18" s="3032" t="s">
        <v>3131</v>
      </c>
      <c r="J18" s="3037">
        <f t="shared" si="0"/>
        <v>6.65</v>
      </c>
    </row>
    <row r="19" spans="1:10" ht="24">
      <c r="A19" s="3032">
        <v>16</v>
      </c>
      <c r="B19" s="3032" t="s">
        <v>3132</v>
      </c>
      <c r="C19" s="3028" t="s">
        <v>3842</v>
      </c>
      <c r="D19" s="3039">
        <v>52.89</v>
      </c>
      <c r="E19" s="3039">
        <v>38.06</v>
      </c>
      <c r="F19" s="3039">
        <v>3.39</v>
      </c>
      <c r="G19" s="3039">
        <v>14.83</v>
      </c>
      <c r="H19" s="3035" t="s">
        <v>1377</v>
      </c>
      <c r="I19" s="3032" t="s">
        <v>3131</v>
      </c>
      <c r="J19" s="3037">
        <f t="shared" si="0"/>
        <v>6.7</v>
      </c>
    </row>
    <row r="20" spans="1:10" ht="24">
      <c r="A20" s="3032">
        <v>17</v>
      </c>
      <c r="B20" s="3032" t="s">
        <v>3133</v>
      </c>
      <c r="C20" s="3028" t="s">
        <v>3843</v>
      </c>
      <c r="D20" s="3039">
        <v>65.41</v>
      </c>
      <c r="E20" s="3039">
        <v>47.07</v>
      </c>
      <c r="F20" s="3039">
        <v>3.98</v>
      </c>
      <c r="G20" s="3039">
        <v>18.34</v>
      </c>
      <c r="H20" s="3035" t="s">
        <v>1377</v>
      </c>
      <c r="I20" s="3032" t="s">
        <v>3131</v>
      </c>
      <c r="J20" s="3037">
        <f t="shared" si="0"/>
        <v>8.2799999999999994</v>
      </c>
    </row>
    <row r="21" spans="1:10" ht="24">
      <c r="A21" s="3032">
        <v>18</v>
      </c>
      <c r="B21" s="3032" t="s">
        <v>3134</v>
      </c>
      <c r="C21" s="3028" t="s">
        <v>3844</v>
      </c>
      <c r="D21" s="3039">
        <v>55.76</v>
      </c>
      <c r="E21" s="3039">
        <v>40.130000000000003</v>
      </c>
      <c r="F21" s="3039">
        <v>2.91</v>
      </c>
      <c r="G21" s="3039">
        <v>15.63</v>
      </c>
      <c r="H21" s="3035" t="s">
        <v>1377</v>
      </c>
      <c r="I21" s="3032" t="s">
        <v>3131</v>
      </c>
      <c r="J21" s="3037">
        <f t="shared" si="0"/>
        <v>7.06</v>
      </c>
    </row>
    <row r="22" spans="1:10" ht="24">
      <c r="A22" s="3032">
        <v>19</v>
      </c>
      <c r="B22" s="3032" t="s">
        <v>3135</v>
      </c>
      <c r="C22" s="3028" t="s">
        <v>3845</v>
      </c>
      <c r="D22" s="3039">
        <v>94.3</v>
      </c>
      <c r="E22" s="3039">
        <v>67.86</v>
      </c>
      <c r="F22" s="3039">
        <v>8.69</v>
      </c>
      <c r="G22" s="3039">
        <v>26.44</v>
      </c>
      <c r="H22" s="3035" t="s">
        <v>1377</v>
      </c>
      <c r="I22" s="3032" t="s">
        <v>3131</v>
      </c>
      <c r="J22" s="3037">
        <f t="shared" si="0"/>
        <v>11.94</v>
      </c>
    </row>
    <row r="23" spans="1:10" ht="24">
      <c r="A23" s="3032">
        <v>20</v>
      </c>
      <c r="B23" s="3032" t="s">
        <v>3136</v>
      </c>
      <c r="C23" s="3028" t="s">
        <v>3846</v>
      </c>
      <c r="D23" s="3039">
        <v>94.3</v>
      </c>
      <c r="E23" s="3039">
        <v>67.86</v>
      </c>
      <c r="F23" s="3039">
        <v>8.69</v>
      </c>
      <c r="G23" s="3039">
        <v>26.44</v>
      </c>
      <c r="H23" s="3035" t="s">
        <v>1377</v>
      </c>
      <c r="I23" s="3032" t="s">
        <v>3131</v>
      </c>
      <c r="J23" s="3037">
        <f t="shared" si="0"/>
        <v>11.94</v>
      </c>
    </row>
    <row r="24" spans="1:10" ht="24">
      <c r="A24" s="3032">
        <v>21</v>
      </c>
      <c r="B24" s="3032" t="s">
        <v>3137</v>
      </c>
      <c r="C24" s="3028" t="s">
        <v>3847</v>
      </c>
      <c r="D24" s="3039">
        <v>55.76</v>
      </c>
      <c r="E24" s="3039">
        <v>40.130000000000003</v>
      </c>
      <c r="F24" s="3039">
        <v>2.91</v>
      </c>
      <c r="G24" s="3039">
        <v>15.63</v>
      </c>
      <c r="H24" s="3035" t="s">
        <v>1377</v>
      </c>
      <c r="I24" s="3032" t="s">
        <v>3131</v>
      </c>
      <c r="J24" s="3037">
        <f t="shared" si="0"/>
        <v>7.06</v>
      </c>
    </row>
    <row r="25" spans="1:10" ht="24">
      <c r="A25" s="3032">
        <v>22</v>
      </c>
      <c r="B25" s="3032" t="s">
        <v>3138</v>
      </c>
      <c r="C25" s="3028" t="s">
        <v>3848</v>
      </c>
      <c r="D25" s="3039">
        <v>65.41</v>
      </c>
      <c r="E25" s="3039">
        <v>47.07</v>
      </c>
      <c r="F25" s="3039">
        <v>3.98</v>
      </c>
      <c r="G25" s="3039">
        <v>18.34</v>
      </c>
      <c r="H25" s="3035" t="s">
        <v>1377</v>
      </c>
      <c r="I25" s="3032" t="s">
        <v>3131</v>
      </c>
      <c r="J25" s="3037">
        <f t="shared" si="0"/>
        <v>8.2799999999999994</v>
      </c>
    </row>
    <row r="26" spans="1:10" ht="24">
      <c r="A26" s="3032">
        <v>23</v>
      </c>
      <c r="B26" s="3032" t="s">
        <v>3139</v>
      </c>
      <c r="C26" s="3028" t="s">
        <v>3849</v>
      </c>
      <c r="D26" s="3039">
        <v>52.89</v>
      </c>
      <c r="E26" s="3039">
        <v>38.06</v>
      </c>
      <c r="F26" s="3039">
        <v>3.39</v>
      </c>
      <c r="G26" s="3039">
        <v>14.83</v>
      </c>
      <c r="H26" s="3035" t="s">
        <v>1377</v>
      </c>
      <c r="I26" s="3032" t="s">
        <v>3131</v>
      </c>
      <c r="J26" s="3037">
        <f t="shared" si="0"/>
        <v>6.7</v>
      </c>
    </row>
    <row r="27" spans="1:10" ht="24">
      <c r="A27" s="3032">
        <v>24</v>
      </c>
      <c r="B27" s="3032" t="s">
        <v>3140</v>
      </c>
      <c r="C27" s="3028" t="s">
        <v>3850</v>
      </c>
      <c r="D27" s="3039">
        <v>52.53</v>
      </c>
      <c r="E27" s="3039">
        <v>37.799999999999997</v>
      </c>
      <c r="F27" s="3039">
        <v>3.21</v>
      </c>
      <c r="G27" s="3039">
        <v>14.73</v>
      </c>
      <c r="H27" s="3035" t="s">
        <v>1377</v>
      </c>
      <c r="I27" s="3032" t="s">
        <v>3131</v>
      </c>
      <c r="J27" s="3037">
        <f t="shared" si="0"/>
        <v>6.65</v>
      </c>
    </row>
    <row r="28" spans="1:10" ht="24">
      <c r="A28" s="3032">
        <v>25</v>
      </c>
      <c r="B28" s="3032" t="s">
        <v>3141</v>
      </c>
      <c r="C28" s="3028" t="s">
        <v>3851</v>
      </c>
      <c r="D28" s="3039">
        <v>52.64</v>
      </c>
      <c r="E28" s="3039">
        <v>37.880000000000003</v>
      </c>
      <c r="F28" s="3039">
        <v>3.21</v>
      </c>
      <c r="G28" s="3039">
        <v>14.76</v>
      </c>
      <c r="H28" s="3035" t="s">
        <v>1377</v>
      </c>
      <c r="I28" s="3032" t="s">
        <v>3131</v>
      </c>
      <c r="J28" s="3037">
        <f t="shared" si="0"/>
        <v>6.67</v>
      </c>
    </row>
    <row r="29" spans="1:10" ht="24">
      <c r="A29" s="3032">
        <v>26</v>
      </c>
      <c r="B29" s="3032" t="s">
        <v>3142</v>
      </c>
      <c r="C29" s="3028" t="s">
        <v>3852</v>
      </c>
      <c r="D29" s="3039">
        <v>72.040000000000006</v>
      </c>
      <c r="E29" s="3039">
        <v>51.84</v>
      </c>
      <c r="F29" s="3039">
        <v>6.48</v>
      </c>
      <c r="G29" s="3039">
        <v>20.2</v>
      </c>
      <c r="H29" s="3035" t="s">
        <v>1377</v>
      </c>
      <c r="I29" s="3032" t="s">
        <v>3131</v>
      </c>
      <c r="J29" s="3037">
        <f t="shared" si="0"/>
        <v>9.1199999999999992</v>
      </c>
    </row>
    <row r="30" spans="1:10" ht="24">
      <c r="A30" s="3032">
        <v>27</v>
      </c>
      <c r="B30" s="3032" t="s">
        <v>3151</v>
      </c>
      <c r="C30" s="3028" t="s">
        <v>3853</v>
      </c>
      <c r="D30" s="3039">
        <v>68.13</v>
      </c>
      <c r="E30" s="3039">
        <v>49.03</v>
      </c>
      <c r="F30" s="3039">
        <v>3.66</v>
      </c>
      <c r="G30" s="3039">
        <v>19.100000000000001</v>
      </c>
      <c r="H30" s="3035" t="s">
        <v>1377</v>
      </c>
      <c r="I30" s="3032" t="s">
        <v>3131</v>
      </c>
      <c r="J30" s="3037">
        <f t="shared" si="0"/>
        <v>8.6300000000000008</v>
      </c>
    </row>
    <row r="31" spans="1:10" ht="24">
      <c r="A31" s="3032">
        <v>28</v>
      </c>
      <c r="B31" s="3032" t="s">
        <v>3152</v>
      </c>
      <c r="C31" s="3028" t="s">
        <v>3854</v>
      </c>
      <c r="D31" s="3039">
        <v>52.64</v>
      </c>
      <c r="E31" s="3039">
        <v>37.880000000000003</v>
      </c>
      <c r="F31" s="3039">
        <v>3.21</v>
      </c>
      <c r="G31" s="3039">
        <v>14.76</v>
      </c>
      <c r="H31" s="3035" t="s">
        <v>1377</v>
      </c>
      <c r="I31" s="3032" t="s">
        <v>3131</v>
      </c>
      <c r="J31" s="3037">
        <f t="shared" si="0"/>
        <v>6.67</v>
      </c>
    </row>
    <row r="32" spans="1:10" ht="24">
      <c r="A32" s="3032">
        <v>29</v>
      </c>
      <c r="B32" s="3032" t="s">
        <v>3153</v>
      </c>
      <c r="C32" s="3028" t="s">
        <v>3855</v>
      </c>
      <c r="D32" s="3039">
        <v>52.53</v>
      </c>
      <c r="E32" s="3039">
        <v>37.799999999999997</v>
      </c>
      <c r="F32" s="3039">
        <v>3.21</v>
      </c>
      <c r="G32" s="3039">
        <v>14.73</v>
      </c>
      <c r="H32" s="3035" t="s">
        <v>1377</v>
      </c>
      <c r="I32" s="3032" t="s">
        <v>3131</v>
      </c>
      <c r="J32" s="3037">
        <f t="shared" si="0"/>
        <v>6.65</v>
      </c>
    </row>
    <row r="33" spans="1:10" ht="24">
      <c r="A33" s="3032">
        <v>30</v>
      </c>
      <c r="B33" s="3032" t="s">
        <v>3154</v>
      </c>
      <c r="C33" s="3028" t="s">
        <v>3856</v>
      </c>
      <c r="D33" s="3039">
        <v>52.89</v>
      </c>
      <c r="E33" s="3039">
        <v>38.06</v>
      </c>
      <c r="F33" s="3039">
        <v>3.39</v>
      </c>
      <c r="G33" s="3039">
        <v>14.83</v>
      </c>
      <c r="H33" s="3035" t="s">
        <v>1377</v>
      </c>
      <c r="I33" s="3032" t="s">
        <v>3131</v>
      </c>
      <c r="J33" s="3037">
        <f t="shared" si="0"/>
        <v>6.7</v>
      </c>
    </row>
    <row r="34" spans="1:10" ht="24">
      <c r="A34" s="3032">
        <v>31</v>
      </c>
      <c r="B34" s="3032" t="s">
        <v>3155</v>
      </c>
      <c r="C34" s="3028" t="s">
        <v>3857</v>
      </c>
      <c r="D34" s="3039">
        <v>65.41</v>
      </c>
      <c r="E34" s="3039">
        <v>47.07</v>
      </c>
      <c r="F34" s="3039">
        <v>3.98</v>
      </c>
      <c r="G34" s="3039">
        <v>18.34</v>
      </c>
      <c r="H34" s="3035" t="s">
        <v>1377</v>
      </c>
      <c r="I34" s="3032" t="s">
        <v>3131</v>
      </c>
      <c r="J34" s="3037">
        <f t="shared" si="0"/>
        <v>8.2799999999999994</v>
      </c>
    </row>
    <row r="35" spans="1:10" ht="24">
      <c r="A35" s="3032">
        <v>32</v>
      </c>
      <c r="B35" s="3032" t="s">
        <v>3156</v>
      </c>
      <c r="C35" s="3028" t="s">
        <v>3858</v>
      </c>
      <c r="D35" s="3039">
        <v>55.76</v>
      </c>
      <c r="E35" s="3039">
        <v>40.130000000000003</v>
      </c>
      <c r="F35" s="3039">
        <v>2.91</v>
      </c>
      <c r="G35" s="3039">
        <v>15.63</v>
      </c>
      <c r="H35" s="3035" t="s">
        <v>1377</v>
      </c>
      <c r="I35" s="3032" t="s">
        <v>3131</v>
      </c>
      <c r="J35" s="3037">
        <f t="shared" si="0"/>
        <v>7.06</v>
      </c>
    </row>
    <row r="36" spans="1:10" ht="24">
      <c r="A36" s="3032">
        <v>33</v>
      </c>
      <c r="B36" s="3032" t="s">
        <v>3157</v>
      </c>
      <c r="C36" s="3028" t="s">
        <v>3859</v>
      </c>
      <c r="D36" s="3039">
        <v>94.3</v>
      </c>
      <c r="E36" s="3039">
        <v>67.86</v>
      </c>
      <c r="F36" s="3039">
        <v>8.69</v>
      </c>
      <c r="G36" s="3039">
        <v>26.44</v>
      </c>
      <c r="H36" s="3035" t="s">
        <v>1377</v>
      </c>
      <c r="I36" s="3032" t="s">
        <v>3131</v>
      </c>
      <c r="J36" s="3037">
        <f t="shared" si="0"/>
        <v>11.94</v>
      </c>
    </row>
    <row r="37" spans="1:10" ht="24">
      <c r="A37" s="3032">
        <v>34</v>
      </c>
      <c r="B37" s="3032" t="s">
        <v>3158</v>
      </c>
      <c r="C37" s="3028" t="s">
        <v>3860</v>
      </c>
      <c r="D37" s="3039">
        <v>94.3</v>
      </c>
      <c r="E37" s="3039">
        <v>67.86</v>
      </c>
      <c r="F37" s="3039">
        <v>8.69</v>
      </c>
      <c r="G37" s="3039">
        <v>26.44</v>
      </c>
      <c r="H37" s="3035" t="s">
        <v>1377</v>
      </c>
      <c r="I37" s="3032" t="s">
        <v>3131</v>
      </c>
      <c r="J37" s="3037">
        <f t="shared" si="0"/>
        <v>11.94</v>
      </c>
    </row>
    <row r="38" spans="1:10" ht="24">
      <c r="A38" s="3032">
        <v>35</v>
      </c>
      <c r="B38" s="3032" t="s">
        <v>3159</v>
      </c>
      <c r="C38" s="3028" t="s">
        <v>3861</v>
      </c>
      <c r="D38" s="3039">
        <v>55.76</v>
      </c>
      <c r="E38" s="3039">
        <v>40.130000000000003</v>
      </c>
      <c r="F38" s="3039">
        <v>2.91</v>
      </c>
      <c r="G38" s="3039">
        <v>15.63</v>
      </c>
      <c r="H38" s="3035" t="s">
        <v>1377</v>
      </c>
      <c r="I38" s="3032" t="s">
        <v>3131</v>
      </c>
      <c r="J38" s="3037">
        <f t="shared" si="0"/>
        <v>7.06</v>
      </c>
    </row>
    <row r="39" spans="1:10" ht="24">
      <c r="A39" s="3032">
        <v>36</v>
      </c>
      <c r="B39" s="3032" t="s">
        <v>3160</v>
      </c>
      <c r="C39" s="3028" t="s">
        <v>3862</v>
      </c>
      <c r="D39" s="3039">
        <v>65.41</v>
      </c>
      <c r="E39" s="3039">
        <v>47.07</v>
      </c>
      <c r="F39" s="3039">
        <v>3.98</v>
      </c>
      <c r="G39" s="3039">
        <v>18.34</v>
      </c>
      <c r="H39" s="3035" t="s">
        <v>1377</v>
      </c>
      <c r="I39" s="3032" t="s">
        <v>3131</v>
      </c>
      <c r="J39" s="3037">
        <f t="shared" si="0"/>
        <v>8.2799999999999994</v>
      </c>
    </row>
    <row r="40" spans="1:10" ht="24">
      <c r="A40" s="3032">
        <v>37</v>
      </c>
      <c r="B40" s="3032" t="s">
        <v>3161</v>
      </c>
      <c r="C40" s="3028" t="s">
        <v>3863</v>
      </c>
      <c r="D40" s="3039">
        <v>52.89</v>
      </c>
      <c r="E40" s="3039">
        <v>38.06</v>
      </c>
      <c r="F40" s="3039">
        <v>3.39</v>
      </c>
      <c r="G40" s="3039">
        <v>14.83</v>
      </c>
      <c r="H40" s="3035" t="s">
        <v>1377</v>
      </c>
      <c r="I40" s="3032" t="s">
        <v>3131</v>
      </c>
      <c r="J40" s="3037">
        <f t="shared" si="0"/>
        <v>6.7</v>
      </c>
    </row>
    <row r="41" spans="1:10" ht="24">
      <c r="A41" s="3032">
        <v>38</v>
      </c>
      <c r="B41" s="3032" t="s">
        <v>3162</v>
      </c>
      <c r="C41" s="3028" t="s">
        <v>3864</v>
      </c>
      <c r="D41" s="3039">
        <v>52.53</v>
      </c>
      <c r="E41" s="3039">
        <v>37.799999999999997</v>
      </c>
      <c r="F41" s="3039">
        <v>3.21</v>
      </c>
      <c r="G41" s="3039">
        <v>14.73</v>
      </c>
      <c r="H41" s="3035" t="s">
        <v>1377</v>
      </c>
      <c r="I41" s="3032" t="s">
        <v>3131</v>
      </c>
      <c r="J41" s="3037">
        <f t="shared" si="0"/>
        <v>6.65</v>
      </c>
    </row>
    <row r="42" spans="1:10" ht="24">
      <c r="A42" s="3032">
        <v>39</v>
      </c>
      <c r="B42" s="3032" t="s">
        <v>3163</v>
      </c>
      <c r="C42" s="3028" t="s">
        <v>3865</v>
      </c>
      <c r="D42" s="3039">
        <v>52.64</v>
      </c>
      <c r="E42" s="3039">
        <v>37.880000000000003</v>
      </c>
      <c r="F42" s="3039">
        <v>3.21</v>
      </c>
      <c r="G42" s="3039">
        <v>14.76</v>
      </c>
      <c r="H42" s="3035" t="s">
        <v>1377</v>
      </c>
      <c r="I42" s="3032" t="s">
        <v>3131</v>
      </c>
      <c r="J42" s="3037">
        <f t="shared" si="0"/>
        <v>6.67</v>
      </c>
    </row>
    <row r="43" spans="1:10" ht="24">
      <c r="A43" s="3032">
        <v>40</v>
      </c>
      <c r="B43" s="3032" t="s">
        <v>3164</v>
      </c>
      <c r="C43" s="3028" t="s">
        <v>3866</v>
      </c>
      <c r="D43" s="3039">
        <v>72.040000000000006</v>
      </c>
      <c r="E43" s="3039">
        <v>51.84</v>
      </c>
      <c r="F43" s="3039">
        <v>6.48</v>
      </c>
      <c r="G43" s="3039">
        <v>20.2</v>
      </c>
      <c r="H43" s="3035" t="s">
        <v>1377</v>
      </c>
      <c r="I43" s="3032" t="s">
        <v>3131</v>
      </c>
      <c r="J43" s="3037">
        <f t="shared" si="0"/>
        <v>9.1199999999999992</v>
      </c>
    </row>
    <row r="44" spans="1:10" ht="24">
      <c r="A44" s="3032">
        <v>41</v>
      </c>
      <c r="B44" s="3032" t="s">
        <v>3063</v>
      </c>
      <c r="C44" s="3028" t="s">
        <v>3867</v>
      </c>
      <c r="D44" s="3039">
        <v>68.13</v>
      </c>
      <c r="E44" s="3039">
        <v>49.03</v>
      </c>
      <c r="F44" s="3039">
        <v>3.66</v>
      </c>
      <c r="G44" s="3039">
        <v>19.100000000000001</v>
      </c>
      <c r="H44" s="3035" t="s">
        <v>1377</v>
      </c>
      <c r="I44" s="3032" t="s">
        <v>3131</v>
      </c>
      <c r="J44" s="3037">
        <f t="shared" si="0"/>
        <v>8.6300000000000008</v>
      </c>
    </row>
    <row r="45" spans="1:10" ht="24">
      <c r="A45" s="3032">
        <v>42</v>
      </c>
      <c r="B45" s="3032" t="s">
        <v>3064</v>
      </c>
      <c r="C45" s="3028" t="s">
        <v>3868</v>
      </c>
      <c r="D45" s="3039">
        <v>52.64</v>
      </c>
      <c r="E45" s="3039">
        <v>37.880000000000003</v>
      </c>
      <c r="F45" s="3039">
        <v>3.21</v>
      </c>
      <c r="G45" s="3039">
        <v>14.76</v>
      </c>
      <c r="H45" s="3035" t="s">
        <v>1377</v>
      </c>
      <c r="I45" s="3032" t="s">
        <v>3131</v>
      </c>
      <c r="J45" s="3037">
        <f t="shared" si="0"/>
        <v>6.67</v>
      </c>
    </row>
    <row r="46" spans="1:10" ht="24">
      <c r="A46" s="3032">
        <v>43</v>
      </c>
      <c r="B46" s="3032" t="s">
        <v>3065</v>
      </c>
      <c r="C46" s="3028" t="s">
        <v>3869</v>
      </c>
      <c r="D46" s="3039">
        <v>52.53</v>
      </c>
      <c r="E46" s="3039">
        <v>37.799999999999997</v>
      </c>
      <c r="F46" s="3039">
        <v>3.21</v>
      </c>
      <c r="G46" s="3039">
        <v>14.73</v>
      </c>
      <c r="H46" s="3035" t="s">
        <v>1377</v>
      </c>
      <c r="I46" s="3032" t="s">
        <v>3131</v>
      </c>
      <c r="J46" s="3037">
        <f t="shared" si="0"/>
        <v>6.65</v>
      </c>
    </row>
    <row r="47" spans="1:10" ht="24">
      <c r="A47" s="3032">
        <v>44</v>
      </c>
      <c r="B47" s="3032" t="s">
        <v>3066</v>
      </c>
      <c r="C47" s="3028" t="s">
        <v>3870</v>
      </c>
      <c r="D47" s="3039">
        <v>52.89</v>
      </c>
      <c r="E47" s="3039">
        <v>38.06</v>
      </c>
      <c r="F47" s="3039">
        <v>3.39</v>
      </c>
      <c r="G47" s="3039">
        <v>14.83</v>
      </c>
      <c r="H47" s="3035" t="s">
        <v>1377</v>
      </c>
      <c r="I47" s="3032" t="s">
        <v>3131</v>
      </c>
      <c r="J47" s="3037">
        <f t="shared" si="0"/>
        <v>6.7</v>
      </c>
    </row>
    <row r="48" spans="1:10" ht="24">
      <c r="A48" s="3032">
        <v>45</v>
      </c>
      <c r="B48" s="3032" t="s">
        <v>3067</v>
      </c>
      <c r="C48" s="3028" t="s">
        <v>3871</v>
      </c>
      <c r="D48" s="3039">
        <v>65.41</v>
      </c>
      <c r="E48" s="3039">
        <v>47.07</v>
      </c>
      <c r="F48" s="3039">
        <v>3.98</v>
      </c>
      <c r="G48" s="3039">
        <v>18.34</v>
      </c>
      <c r="H48" s="3035" t="s">
        <v>1377</v>
      </c>
      <c r="I48" s="3032" t="s">
        <v>3131</v>
      </c>
      <c r="J48" s="3037">
        <f t="shared" si="0"/>
        <v>8.2799999999999994</v>
      </c>
    </row>
    <row r="49" spans="1:10" ht="24">
      <c r="A49" s="3032">
        <v>46</v>
      </c>
      <c r="B49" s="3032" t="s">
        <v>3068</v>
      </c>
      <c r="C49" s="3028" t="s">
        <v>3872</v>
      </c>
      <c r="D49" s="3039">
        <v>55.76</v>
      </c>
      <c r="E49" s="3039">
        <v>40.130000000000003</v>
      </c>
      <c r="F49" s="3039">
        <v>2.91</v>
      </c>
      <c r="G49" s="3039">
        <v>15.63</v>
      </c>
      <c r="H49" s="3035" t="s">
        <v>1377</v>
      </c>
      <c r="I49" s="3032" t="s">
        <v>3131</v>
      </c>
      <c r="J49" s="3037">
        <f t="shared" si="0"/>
        <v>7.06</v>
      </c>
    </row>
    <row r="50" spans="1:10" ht="24">
      <c r="A50" s="3032">
        <v>47</v>
      </c>
      <c r="B50" s="3032" t="s">
        <v>3069</v>
      </c>
      <c r="C50" s="3028" t="s">
        <v>3873</v>
      </c>
      <c r="D50" s="3039">
        <v>94.3</v>
      </c>
      <c r="E50" s="3039">
        <v>67.86</v>
      </c>
      <c r="F50" s="3039">
        <v>8.69</v>
      </c>
      <c r="G50" s="3039">
        <v>26.44</v>
      </c>
      <c r="H50" s="3035" t="s">
        <v>1377</v>
      </c>
      <c r="I50" s="3032" t="s">
        <v>3131</v>
      </c>
      <c r="J50" s="3037">
        <f t="shared" si="0"/>
        <v>11.94</v>
      </c>
    </row>
    <row r="51" spans="1:10" ht="24">
      <c r="A51" s="3032">
        <v>48</v>
      </c>
      <c r="B51" s="3032" t="s">
        <v>3070</v>
      </c>
      <c r="C51" s="3028" t="s">
        <v>3874</v>
      </c>
      <c r="D51" s="3039">
        <v>94.3</v>
      </c>
      <c r="E51" s="3039">
        <v>67.86</v>
      </c>
      <c r="F51" s="3039">
        <v>8.69</v>
      </c>
      <c r="G51" s="3039">
        <v>26.44</v>
      </c>
      <c r="H51" s="3035" t="s">
        <v>1377</v>
      </c>
      <c r="I51" s="3032" t="s">
        <v>3131</v>
      </c>
      <c r="J51" s="3037">
        <f t="shared" si="0"/>
        <v>11.94</v>
      </c>
    </row>
    <row r="52" spans="1:10" ht="24">
      <c r="A52" s="3032">
        <v>49</v>
      </c>
      <c r="B52" s="3032" t="s">
        <v>3071</v>
      </c>
      <c r="C52" s="3028" t="s">
        <v>3875</v>
      </c>
      <c r="D52" s="3039">
        <v>55.76</v>
      </c>
      <c r="E52" s="3039">
        <v>40.130000000000003</v>
      </c>
      <c r="F52" s="3039">
        <v>2.91</v>
      </c>
      <c r="G52" s="3039">
        <v>15.63</v>
      </c>
      <c r="H52" s="3035" t="s">
        <v>1377</v>
      </c>
      <c r="I52" s="3032" t="s">
        <v>3131</v>
      </c>
      <c r="J52" s="3037">
        <f t="shared" si="0"/>
        <v>7.06</v>
      </c>
    </row>
    <row r="53" spans="1:10" ht="24">
      <c r="A53" s="3032">
        <v>50</v>
      </c>
      <c r="B53" s="3032" t="s">
        <v>3072</v>
      </c>
      <c r="C53" s="3028" t="s">
        <v>3876</v>
      </c>
      <c r="D53" s="3039">
        <v>65.41</v>
      </c>
      <c r="E53" s="3039">
        <v>47.07</v>
      </c>
      <c r="F53" s="3039">
        <v>3.98</v>
      </c>
      <c r="G53" s="3039">
        <v>18.34</v>
      </c>
      <c r="H53" s="3035" t="s">
        <v>1377</v>
      </c>
      <c r="I53" s="3032" t="s">
        <v>3131</v>
      </c>
      <c r="J53" s="3037">
        <f t="shared" si="0"/>
        <v>8.2799999999999994</v>
      </c>
    </row>
    <row r="54" spans="1:10" ht="24">
      <c r="A54" s="3032">
        <v>51</v>
      </c>
      <c r="B54" s="3032" t="s">
        <v>3073</v>
      </c>
      <c r="C54" s="3028" t="s">
        <v>3877</v>
      </c>
      <c r="D54" s="3039">
        <v>52.89</v>
      </c>
      <c r="E54" s="3039">
        <v>38.06</v>
      </c>
      <c r="F54" s="3039">
        <v>3.39</v>
      </c>
      <c r="G54" s="3039">
        <v>14.83</v>
      </c>
      <c r="H54" s="3035" t="s">
        <v>1377</v>
      </c>
      <c r="I54" s="3032" t="s">
        <v>3131</v>
      </c>
      <c r="J54" s="3037">
        <f t="shared" si="0"/>
        <v>6.7</v>
      </c>
    </row>
    <row r="55" spans="1:10" ht="24">
      <c r="A55" s="3032">
        <v>52</v>
      </c>
      <c r="B55" s="3032" t="s">
        <v>3074</v>
      </c>
      <c r="C55" s="3028" t="s">
        <v>3878</v>
      </c>
      <c r="D55" s="3039">
        <v>52.53</v>
      </c>
      <c r="E55" s="3039">
        <v>37.799999999999997</v>
      </c>
      <c r="F55" s="3039">
        <v>3.21</v>
      </c>
      <c r="G55" s="3039">
        <v>14.73</v>
      </c>
      <c r="H55" s="3035" t="s">
        <v>1377</v>
      </c>
      <c r="I55" s="3032" t="s">
        <v>3131</v>
      </c>
      <c r="J55" s="3037">
        <f t="shared" si="0"/>
        <v>6.65</v>
      </c>
    </row>
    <row r="56" spans="1:10" ht="24">
      <c r="A56" s="3032">
        <v>53</v>
      </c>
      <c r="B56" s="3032" t="s">
        <v>3075</v>
      </c>
      <c r="C56" s="3028" t="s">
        <v>3879</v>
      </c>
      <c r="D56" s="3039">
        <v>52.64</v>
      </c>
      <c r="E56" s="3039">
        <v>37.880000000000003</v>
      </c>
      <c r="F56" s="3039">
        <v>3.21</v>
      </c>
      <c r="G56" s="3039">
        <v>14.76</v>
      </c>
      <c r="H56" s="3035" t="s">
        <v>1377</v>
      </c>
      <c r="I56" s="3032" t="s">
        <v>3131</v>
      </c>
      <c r="J56" s="3037">
        <f t="shared" si="0"/>
        <v>6.67</v>
      </c>
    </row>
    <row r="57" spans="1:10" ht="24">
      <c r="A57" s="3032">
        <v>54</v>
      </c>
      <c r="B57" s="3032" t="s">
        <v>3076</v>
      </c>
      <c r="C57" s="3028" t="s">
        <v>3880</v>
      </c>
      <c r="D57" s="3039">
        <v>72.040000000000006</v>
      </c>
      <c r="E57" s="3039">
        <v>51.84</v>
      </c>
      <c r="F57" s="3039">
        <v>6.48</v>
      </c>
      <c r="G57" s="3039">
        <v>20.2</v>
      </c>
      <c r="H57" s="3035" t="s">
        <v>1377</v>
      </c>
      <c r="I57" s="3032" t="s">
        <v>3131</v>
      </c>
      <c r="J57" s="3037">
        <f t="shared" si="0"/>
        <v>9.1199999999999992</v>
      </c>
    </row>
    <row r="58" spans="1:10" ht="24">
      <c r="A58" s="3032">
        <v>55</v>
      </c>
      <c r="B58" s="3032" t="s">
        <v>3085</v>
      </c>
      <c r="C58" s="3028" t="s">
        <v>3881</v>
      </c>
      <c r="D58" s="3039">
        <v>68.13</v>
      </c>
      <c r="E58" s="3039">
        <v>49.03</v>
      </c>
      <c r="F58" s="3039">
        <v>3.66</v>
      </c>
      <c r="G58" s="3039">
        <v>19.100000000000001</v>
      </c>
      <c r="H58" s="3035" t="s">
        <v>1377</v>
      </c>
      <c r="I58" s="3032" t="s">
        <v>3131</v>
      </c>
      <c r="J58" s="3037">
        <f t="shared" si="0"/>
        <v>8.6300000000000008</v>
      </c>
    </row>
    <row r="59" spans="1:10" ht="24">
      <c r="A59" s="3032">
        <v>56</v>
      </c>
      <c r="B59" s="3032" t="s">
        <v>3086</v>
      </c>
      <c r="C59" s="3028" t="s">
        <v>3882</v>
      </c>
      <c r="D59" s="3039">
        <v>52.64</v>
      </c>
      <c r="E59" s="3039">
        <v>37.880000000000003</v>
      </c>
      <c r="F59" s="3039">
        <v>3.21</v>
      </c>
      <c r="G59" s="3039">
        <v>14.76</v>
      </c>
      <c r="H59" s="3035" t="s">
        <v>1377</v>
      </c>
      <c r="I59" s="3032" t="s">
        <v>3131</v>
      </c>
      <c r="J59" s="3037">
        <f t="shared" si="0"/>
        <v>6.67</v>
      </c>
    </row>
    <row r="60" spans="1:10" ht="24">
      <c r="A60" s="3032">
        <v>57</v>
      </c>
      <c r="B60" s="3032" t="s">
        <v>3087</v>
      </c>
      <c r="C60" s="3028" t="s">
        <v>3883</v>
      </c>
      <c r="D60" s="3039">
        <v>52.53</v>
      </c>
      <c r="E60" s="3039">
        <v>37.799999999999997</v>
      </c>
      <c r="F60" s="3039">
        <v>3.21</v>
      </c>
      <c r="G60" s="3039">
        <v>14.73</v>
      </c>
      <c r="H60" s="3035" t="s">
        <v>1377</v>
      </c>
      <c r="I60" s="3032" t="s">
        <v>3131</v>
      </c>
      <c r="J60" s="3037">
        <f t="shared" si="0"/>
        <v>6.65</v>
      </c>
    </row>
    <row r="61" spans="1:10" ht="24">
      <c r="A61" s="3032">
        <v>58</v>
      </c>
      <c r="B61" s="3032" t="s">
        <v>3088</v>
      </c>
      <c r="C61" s="3028" t="s">
        <v>3884</v>
      </c>
      <c r="D61" s="3039">
        <v>52.89</v>
      </c>
      <c r="E61" s="3039">
        <v>38.06</v>
      </c>
      <c r="F61" s="3039">
        <v>3.39</v>
      </c>
      <c r="G61" s="3039">
        <v>14.83</v>
      </c>
      <c r="H61" s="3035" t="s">
        <v>1377</v>
      </c>
      <c r="I61" s="3032" t="s">
        <v>3131</v>
      </c>
      <c r="J61" s="3037">
        <f t="shared" si="0"/>
        <v>6.7</v>
      </c>
    </row>
    <row r="62" spans="1:10" ht="24">
      <c r="A62" s="3032">
        <v>59</v>
      </c>
      <c r="B62" s="3032" t="s">
        <v>3089</v>
      </c>
      <c r="C62" s="3028" t="s">
        <v>3885</v>
      </c>
      <c r="D62" s="3039">
        <v>65.41</v>
      </c>
      <c r="E62" s="3039">
        <v>47.07</v>
      </c>
      <c r="F62" s="3039">
        <v>3.98</v>
      </c>
      <c r="G62" s="3039">
        <v>18.34</v>
      </c>
      <c r="H62" s="3035" t="s">
        <v>1377</v>
      </c>
      <c r="I62" s="3032" t="s">
        <v>3131</v>
      </c>
      <c r="J62" s="3037">
        <f t="shared" si="0"/>
        <v>8.2799999999999994</v>
      </c>
    </row>
    <row r="63" spans="1:10" ht="24">
      <c r="A63" s="3032">
        <v>60</v>
      </c>
      <c r="B63" s="3032" t="s">
        <v>3090</v>
      </c>
      <c r="C63" s="3028" t="s">
        <v>3886</v>
      </c>
      <c r="D63" s="3039">
        <v>55.76</v>
      </c>
      <c r="E63" s="3039">
        <v>40.130000000000003</v>
      </c>
      <c r="F63" s="3039">
        <v>2.91</v>
      </c>
      <c r="G63" s="3039">
        <v>15.63</v>
      </c>
      <c r="H63" s="3035" t="s">
        <v>1377</v>
      </c>
      <c r="I63" s="3032" t="s">
        <v>3131</v>
      </c>
      <c r="J63" s="3037">
        <f t="shared" si="0"/>
        <v>7.06</v>
      </c>
    </row>
    <row r="64" spans="1:10" ht="24">
      <c r="A64" s="3032">
        <v>61</v>
      </c>
      <c r="B64" s="3032" t="s">
        <v>3091</v>
      </c>
      <c r="C64" s="3028" t="s">
        <v>3887</v>
      </c>
      <c r="D64" s="3039">
        <v>94.3</v>
      </c>
      <c r="E64" s="3039">
        <v>67.86</v>
      </c>
      <c r="F64" s="3039">
        <v>8.69</v>
      </c>
      <c r="G64" s="3039">
        <v>26.44</v>
      </c>
      <c r="H64" s="3035" t="s">
        <v>1377</v>
      </c>
      <c r="I64" s="3032" t="s">
        <v>3131</v>
      </c>
      <c r="J64" s="3037">
        <f t="shared" si="0"/>
        <v>11.94</v>
      </c>
    </row>
    <row r="65" spans="1:10" ht="24">
      <c r="A65" s="3032">
        <v>62</v>
      </c>
      <c r="B65" s="3032" t="s">
        <v>3092</v>
      </c>
      <c r="C65" s="3028" t="s">
        <v>3888</v>
      </c>
      <c r="D65" s="3039">
        <v>94.3</v>
      </c>
      <c r="E65" s="3039">
        <v>67.86</v>
      </c>
      <c r="F65" s="3039">
        <v>8.69</v>
      </c>
      <c r="G65" s="3039">
        <v>26.44</v>
      </c>
      <c r="H65" s="3035" t="s">
        <v>1377</v>
      </c>
      <c r="I65" s="3032" t="s">
        <v>3131</v>
      </c>
      <c r="J65" s="3037">
        <f t="shared" si="0"/>
        <v>11.94</v>
      </c>
    </row>
    <row r="66" spans="1:10" ht="24">
      <c r="A66" s="3032">
        <v>63</v>
      </c>
      <c r="B66" s="3032" t="s">
        <v>3093</v>
      </c>
      <c r="C66" s="3028" t="s">
        <v>3889</v>
      </c>
      <c r="D66" s="3039">
        <v>55.76</v>
      </c>
      <c r="E66" s="3039">
        <v>40.130000000000003</v>
      </c>
      <c r="F66" s="3039">
        <v>2.91</v>
      </c>
      <c r="G66" s="3039">
        <v>15.63</v>
      </c>
      <c r="H66" s="3035" t="s">
        <v>1377</v>
      </c>
      <c r="I66" s="3032" t="s">
        <v>3131</v>
      </c>
      <c r="J66" s="3037">
        <f t="shared" si="0"/>
        <v>7.06</v>
      </c>
    </row>
    <row r="67" spans="1:10" ht="24">
      <c r="A67" s="3032">
        <v>64</v>
      </c>
      <c r="B67" s="3032" t="s">
        <v>3094</v>
      </c>
      <c r="C67" s="3028" t="s">
        <v>3890</v>
      </c>
      <c r="D67" s="3039">
        <v>65.41</v>
      </c>
      <c r="E67" s="3039">
        <v>47.07</v>
      </c>
      <c r="F67" s="3039">
        <v>3.98</v>
      </c>
      <c r="G67" s="3039">
        <v>18.34</v>
      </c>
      <c r="H67" s="3035" t="s">
        <v>1377</v>
      </c>
      <c r="I67" s="3032" t="s">
        <v>3131</v>
      </c>
      <c r="J67" s="3037">
        <f t="shared" si="0"/>
        <v>8.2799999999999994</v>
      </c>
    </row>
    <row r="68" spans="1:10" ht="24">
      <c r="A68" s="3032">
        <v>65</v>
      </c>
      <c r="B68" s="3032" t="s">
        <v>3095</v>
      </c>
      <c r="C68" s="3028" t="s">
        <v>3891</v>
      </c>
      <c r="D68" s="3039">
        <v>52.89</v>
      </c>
      <c r="E68" s="3039">
        <v>38.06</v>
      </c>
      <c r="F68" s="3039">
        <v>3.39</v>
      </c>
      <c r="G68" s="3039">
        <v>14.83</v>
      </c>
      <c r="H68" s="3035" t="s">
        <v>1377</v>
      </c>
      <c r="I68" s="3032" t="s">
        <v>3131</v>
      </c>
      <c r="J68" s="3037">
        <f t="shared" si="0"/>
        <v>6.7</v>
      </c>
    </row>
    <row r="69" spans="1:10" ht="24">
      <c r="A69" s="3032">
        <v>66</v>
      </c>
      <c r="B69" s="3032" t="s">
        <v>3096</v>
      </c>
      <c r="C69" s="3028" t="s">
        <v>3892</v>
      </c>
      <c r="D69" s="3039">
        <v>52.53</v>
      </c>
      <c r="E69" s="3039">
        <v>37.799999999999997</v>
      </c>
      <c r="F69" s="3039">
        <v>3.21</v>
      </c>
      <c r="G69" s="3039">
        <v>14.73</v>
      </c>
      <c r="H69" s="3035" t="s">
        <v>1377</v>
      </c>
      <c r="I69" s="3032" t="s">
        <v>3131</v>
      </c>
      <c r="J69" s="3037">
        <f t="shared" ref="J69:J125" si="1">ROUND(D69/$D$127*$L$127,2)</f>
        <v>6.65</v>
      </c>
    </row>
    <row r="70" spans="1:10" ht="24">
      <c r="A70" s="3032">
        <v>67</v>
      </c>
      <c r="B70" s="3032" t="s">
        <v>3097</v>
      </c>
      <c r="C70" s="3028" t="s">
        <v>3893</v>
      </c>
      <c r="D70" s="3039">
        <v>52.64</v>
      </c>
      <c r="E70" s="3039">
        <v>37.880000000000003</v>
      </c>
      <c r="F70" s="3039">
        <v>3.21</v>
      </c>
      <c r="G70" s="3039">
        <v>14.76</v>
      </c>
      <c r="H70" s="3035" t="s">
        <v>1377</v>
      </c>
      <c r="I70" s="3032" t="s">
        <v>3131</v>
      </c>
      <c r="J70" s="3037">
        <f t="shared" si="1"/>
        <v>6.67</v>
      </c>
    </row>
    <row r="71" spans="1:10" ht="24">
      <c r="A71" s="3032">
        <v>68</v>
      </c>
      <c r="B71" s="3032" t="s">
        <v>3098</v>
      </c>
      <c r="C71" s="3028" t="s">
        <v>3894</v>
      </c>
      <c r="D71" s="3039">
        <v>72.040000000000006</v>
      </c>
      <c r="E71" s="3039">
        <v>51.84</v>
      </c>
      <c r="F71" s="3039">
        <v>6.48</v>
      </c>
      <c r="G71" s="3039">
        <v>20.2</v>
      </c>
      <c r="H71" s="3035" t="s">
        <v>1377</v>
      </c>
      <c r="I71" s="3032" t="s">
        <v>3131</v>
      </c>
      <c r="J71" s="3037">
        <f t="shared" si="1"/>
        <v>9.1199999999999992</v>
      </c>
    </row>
    <row r="72" spans="1:10" ht="24">
      <c r="A72" s="3032">
        <v>69</v>
      </c>
      <c r="B72" s="3032" t="s">
        <v>3173</v>
      </c>
      <c r="C72" s="3028" t="s">
        <v>3895</v>
      </c>
      <c r="D72" s="3039">
        <v>68.13</v>
      </c>
      <c r="E72" s="3039">
        <v>49.03</v>
      </c>
      <c r="F72" s="3039">
        <v>3.66</v>
      </c>
      <c r="G72" s="3039">
        <v>19.100000000000001</v>
      </c>
      <c r="H72" s="3035" t="s">
        <v>1377</v>
      </c>
      <c r="I72" s="3032" t="s">
        <v>3131</v>
      </c>
      <c r="J72" s="3037">
        <f t="shared" si="1"/>
        <v>8.6300000000000008</v>
      </c>
    </row>
    <row r="73" spans="1:10" ht="24">
      <c r="A73" s="3032">
        <v>70</v>
      </c>
      <c r="B73" s="3032" t="s">
        <v>3174</v>
      </c>
      <c r="C73" s="3028" t="s">
        <v>3896</v>
      </c>
      <c r="D73" s="3039">
        <v>52.64</v>
      </c>
      <c r="E73" s="3039">
        <v>37.880000000000003</v>
      </c>
      <c r="F73" s="3039">
        <v>3.21</v>
      </c>
      <c r="G73" s="3039">
        <v>14.76</v>
      </c>
      <c r="H73" s="3035" t="s">
        <v>1377</v>
      </c>
      <c r="I73" s="3032" t="s">
        <v>3131</v>
      </c>
      <c r="J73" s="3037">
        <f t="shared" si="1"/>
        <v>6.67</v>
      </c>
    </row>
    <row r="74" spans="1:10" ht="24">
      <c r="A74" s="3032">
        <v>71</v>
      </c>
      <c r="B74" s="3032" t="s">
        <v>3175</v>
      </c>
      <c r="C74" s="3028" t="s">
        <v>3897</v>
      </c>
      <c r="D74" s="3039">
        <v>52.53</v>
      </c>
      <c r="E74" s="3039">
        <v>37.799999999999997</v>
      </c>
      <c r="F74" s="3039">
        <v>3.21</v>
      </c>
      <c r="G74" s="3039">
        <v>14.73</v>
      </c>
      <c r="H74" s="3035" t="s">
        <v>1377</v>
      </c>
      <c r="I74" s="3032" t="s">
        <v>3131</v>
      </c>
      <c r="J74" s="3037">
        <f t="shared" si="1"/>
        <v>6.65</v>
      </c>
    </row>
    <row r="75" spans="1:10" ht="24">
      <c r="A75" s="3032">
        <v>72</v>
      </c>
      <c r="B75" s="3032" t="s">
        <v>3176</v>
      </c>
      <c r="C75" s="3028" t="s">
        <v>3898</v>
      </c>
      <c r="D75" s="3039">
        <v>52.89</v>
      </c>
      <c r="E75" s="3039">
        <v>38.06</v>
      </c>
      <c r="F75" s="3039">
        <v>3.39</v>
      </c>
      <c r="G75" s="3039">
        <v>14.83</v>
      </c>
      <c r="H75" s="3035" t="s">
        <v>1377</v>
      </c>
      <c r="I75" s="3032" t="s">
        <v>3131</v>
      </c>
      <c r="J75" s="3037">
        <f t="shared" si="1"/>
        <v>6.7</v>
      </c>
    </row>
    <row r="76" spans="1:10" ht="24">
      <c r="A76" s="3032">
        <v>73</v>
      </c>
      <c r="B76" s="3032" t="s">
        <v>3177</v>
      </c>
      <c r="C76" s="3028" t="s">
        <v>3899</v>
      </c>
      <c r="D76" s="3039">
        <v>65.41</v>
      </c>
      <c r="E76" s="3039">
        <v>47.07</v>
      </c>
      <c r="F76" s="3039">
        <v>3.98</v>
      </c>
      <c r="G76" s="3039">
        <v>18.34</v>
      </c>
      <c r="H76" s="3035" t="s">
        <v>1377</v>
      </c>
      <c r="I76" s="3032" t="s">
        <v>3131</v>
      </c>
      <c r="J76" s="3037">
        <f t="shared" si="1"/>
        <v>8.2799999999999994</v>
      </c>
    </row>
    <row r="77" spans="1:10" ht="24">
      <c r="A77" s="3032">
        <v>74</v>
      </c>
      <c r="B77" s="3032" t="s">
        <v>3178</v>
      </c>
      <c r="C77" s="3028" t="s">
        <v>3900</v>
      </c>
      <c r="D77" s="3039">
        <v>55.76</v>
      </c>
      <c r="E77" s="3039">
        <v>40.130000000000003</v>
      </c>
      <c r="F77" s="3039">
        <v>2.91</v>
      </c>
      <c r="G77" s="3039">
        <v>15.63</v>
      </c>
      <c r="H77" s="3035" t="s">
        <v>1377</v>
      </c>
      <c r="I77" s="3032" t="s">
        <v>3131</v>
      </c>
      <c r="J77" s="3037">
        <f t="shared" si="1"/>
        <v>7.06</v>
      </c>
    </row>
    <row r="78" spans="1:10" ht="24">
      <c r="A78" s="3032">
        <v>75</v>
      </c>
      <c r="B78" s="3032" t="s">
        <v>3179</v>
      </c>
      <c r="C78" s="3028" t="s">
        <v>3901</v>
      </c>
      <c r="D78" s="3039">
        <v>94.3</v>
      </c>
      <c r="E78" s="3039">
        <v>67.86</v>
      </c>
      <c r="F78" s="3039">
        <v>8.69</v>
      </c>
      <c r="G78" s="3039">
        <v>26.44</v>
      </c>
      <c r="H78" s="3035" t="s">
        <v>1377</v>
      </c>
      <c r="I78" s="3032" t="s">
        <v>3131</v>
      </c>
      <c r="J78" s="3037">
        <f t="shared" si="1"/>
        <v>11.94</v>
      </c>
    </row>
    <row r="79" spans="1:10" ht="24">
      <c r="A79" s="3032">
        <v>76</v>
      </c>
      <c r="B79" s="3032" t="s">
        <v>3180</v>
      </c>
      <c r="C79" s="3028" t="s">
        <v>3902</v>
      </c>
      <c r="D79" s="3039">
        <v>94.3</v>
      </c>
      <c r="E79" s="3039">
        <v>67.86</v>
      </c>
      <c r="F79" s="3039">
        <v>8.69</v>
      </c>
      <c r="G79" s="3039">
        <v>26.44</v>
      </c>
      <c r="H79" s="3035" t="s">
        <v>1377</v>
      </c>
      <c r="I79" s="3032" t="s">
        <v>3131</v>
      </c>
      <c r="J79" s="3037">
        <f t="shared" si="1"/>
        <v>11.94</v>
      </c>
    </row>
    <row r="80" spans="1:10" ht="24">
      <c r="A80" s="3032">
        <v>77</v>
      </c>
      <c r="B80" s="3032" t="s">
        <v>3181</v>
      </c>
      <c r="C80" s="3028" t="s">
        <v>3903</v>
      </c>
      <c r="D80" s="3039">
        <v>55.76</v>
      </c>
      <c r="E80" s="3039">
        <v>40.130000000000003</v>
      </c>
      <c r="F80" s="3039">
        <v>2.91</v>
      </c>
      <c r="G80" s="3039">
        <v>15.63</v>
      </c>
      <c r="H80" s="3035" t="s">
        <v>1377</v>
      </c>
      <c r="I80" s="3032" t="s">
        <v>3131</v>
      </c>
      <c r="J80" s="3037">
        <f t="shared" si="1"/>
        <v>7.06</v>
      </c>
    </row>
    <row r="81" spans="1:10" ht="24">
      <c r="A81" s="3032">
        <v>78</v>
      </c>
      <c r="B81" s="3032" t="s">
        <v>3182</v>
      </c>
      <c r="C81" s="3028" t="s">
        <v>3904</v>
      </c>
      <c r="D81" s="3039">
        <v>65.41</v>
      </c>
      <c r="E81" s="3052">
        <v>47.07</v>
      </c>
      <c r="F81" s="3039">
        <v>3.98</v>
      </c>
      <c r="G81" s="3039">
        <v>18.34</v>
      </c>
      <c r="H81" s="3035" t="s">
        <v>1377</v>
      </c>
      <c r="I81" s="3032" t="s">
        <v>3131</v>
      </c>
      <c r="J81" s="3037">
        <f t="shared" si="1"/>
        <v>8.2799999999999994</v>
      </c>
    </row>
    <row r="82" spans="1:10" ht="24">
      <c r="A82" s="3032">
        <v>79</v>
      </c>
      <c r="B82" s="3032" t="s">
        <v>3183</v>
      </c>
      <c r="C82" s="3028" t="s">
        <v>3905</v>
      </c>
      <c r="D82" s="3039">
        <v>52.89</v>
      </c>
      <c r="E82" s="3039">
        <v>38.06</v>
      </c>
      <c r="F82" s="3039">
        <v>3.39</v>
      </c>
      <c r="G82" s="3039">
        <v>14.83</v>
      </c>
      <c r="H82" s="3035" t="s">
        <v>1377</v>
      </c>
      <c r="I82" s="3032" t="s">
        <v>3131</v>
      </c>
      <c r="J82" s="3037">
        <f t="shared" si="1"/>
        <v>6.7</v>
      </c>
    </row>
    <row r="83" spans="1:10" ht="24">
      <c r="A83" s="3032">
        <v>80</v>
      </c>
      <c r="B83" s="3032" t="s">
        <v>3184</v>
      </c>
      <c r="C83" s="3028" t="s">
        <v>3906</v>
      </c>
      <c r="D83" s="3039">
        <v>52.53</v>
      </c>
      <c r="E83" s="3039">
        <v>37.799999999999997</v>
      </c>
      <c r="F83" s="3039">
        <v>3.21</v>
      </c>
      <c r="G83" s="3039">
        <v>14.73</v>
      </c>
      <c r="H83" s="3035" t="s">
        <v>1377</v>
      </c>
      <c r="I83" s="3032" t="s">
        <v>3131</v>
      </c>
      <c r="J83" s="3037">
        <f t="shared" si="1"/>
        <v>6.65</v>
      </c>
    </row>
    <row r="84" spans="1:10" ht="24">
      <c r="A84" s="3032">
        <v>81</v>
      </c>
      <c r="B84" s="3032" t="s">
        <v>3185</v>
      </c>
      <c r="C84" s="3028" t="s">
        <v>3907</v>
      </c>
      <c r="D84" s="3039">
        <v>52.64</v>
      </c>
      <c r="E84" s="3039">
        <v>37.880000000000003</v>
      </c>
      <c r="F84" s="3039">
        <v>3.21</v>
      </c>
      <c r="G84" s="3039">
        <v>14.76</v>
      </c>
      <c r="H84" s="3035" t="s">
        <v>1377</v>
      </c>
      <c r="I84" s="3032" t="s">
        <v>3131</v>
      </c>
      <c r="J84" s="3037">
        <f t="shared" si="1"/>
        <v>6.67</v>
      </c>
    </row>
    <row r="85" spans="1:10" ht="24">
      <c r="A85" s="3032">
        <v>82</v>
      </c>
      <c r="B85" s="3032" t="s">
        <v>3186</v>
      </c>
      <c r="C85" s="3028" t="s">
        <v>3908</v>
      </c>
      <c r="D85" s="3039">
        <v>72.040000000000006</v>
      </c>
      <c r="E85" s="3039">
        <v>51.84</v>
      </c>
      <c r="F85" s="3039">
        <v>6.48</v>
      </c>
      <c r="G85" s="3039">
        <v>20.2</v>
      </c>
      <c r="H85" s="3035" t="s">
        <v>1377</v>
      </c>
      <c r="I85" s="3032" t="s">
        <v>3131</v>
      </c>
      <c r="J85" s="3037">
        <f t="shared" si="1"/>
        <v>9.1199999999999992</v>
      </c>
    </row>
    <row r="86" spans="1:10" ht="24">
      <c r="A86" s="3032">
        <v>83</v>
      </c>
      <c r="B86" s="3032" t="s">
        <v>3194</v>
      </c>
      <c r="C86" s="3028" t="s">
        <v>3909</v>
      </c>
      <c r="D86" s="3039">
        <v>68.5</v>
      </c>
      <c r="E86" s="3039">
        <v>49.03</v>
      </c>
      <c r="F86" s="3039">
        <v>3.66</v>
      </c>
      <c r="G86" s="3039">
        <v>19.47</v>
      </c>
      <c r="H86" s="3035" t="s">
        <v>1377</v>
      </c>
      <c r="I86" s="3032" t="s">
        <v>3131</v>
      </c>
      <c r="J86" s="3037">
        <f t="shared" si="1"/>
        <v>8.67</v>
      </c>
    </row>
    <row r="87" spans="1:10" ht="24">
      <c r="A87" s="3032">
        <v>84</v>
      </c>
      <c r="B87" s="3032" t="s">
        <v>3195</v>
      </c>
      <c r="C87" s="3028" t="s">
        <v>3910</v>
      </c>
      <c r="D87" s="3039">
        <v>52.92</v>
      </c>
      <c r="E87" s="3039">
        <v>37.880000000000003</v>
      </c>
      <c r="F87" s="3039">
        <v>3.21</v>
      </c>
      <c r="G87" s="3039">
        <v>15.04</v>
      </c>
      <c r="H87" s="3035" t="s">
        <v>1377</v>
      </c>
      <c r="I87" s="3032" t="s">
        <v>3131</v>
      </c>
      <c r="J87" s="3037">
        <f t="shared" si="1"/>
        <v>6.7</v>
      </c>
    </row>
    <row r="88" spans="1:10" ht="24">
      <c r="A88" s="3032">
        <v>85</v>
      </c>
      <c r="B88" s="3032" t="s">
        <v>3196</v>
      </c>
      <c r="C88" s="3028" t="s">
        <v>3911</v>
      </c>
      <c r="D88" s="3039">
        <v>52.81</v>
      </c>
      <c r="E88" s="3039">
        <v>37.799999999999997</v>
      </c>
      <c r="F88" s="3039">
        <v>3.21</v>
      </c>
      <c r="G88" s="3039">
        <v>15.01</v>
      </c>
      <c r="H88" s="3035" t="s">
        <v>1377</v>
      </c>
      <c r="I88" s="3032" t="s">
        <v>3131</v>
      </c>
      <c r="J88" s="3037">
        <f t="shared" si="1"/>
        <v>6.69</v>
      </c>
    </row>
    <row r="89" spans="1:10" ht="24">
      <c r="A89" s="3032">
        <v>86</v>
      </c>
      <c r="B89" s="3032" t="s">
        <v>3197</v>
      </c>
      <c r="C89" s="3028" t="s">
        <v>3912</v>
      </c>
      <c r="D89" s="3039">
        <v>53.17</v>
      </c>
      <c r="E89" s="3039">
        <v>38.06</v>
      </c>
      <c r="F89" s="3039">
        <v>3.39</v>
      </c>
      <c r="G89" s="3039">
        <v>15.11</v>
      </c>
      <c r="H89" s="3035" t="s">
        <v>1377</v>
      </c>
      <c r="I89" s="3032" t="s">
        <v>3131</v>
      </c>
      <c r="J89" s="3037">
        <f t="shared" si="1"/>
        <v>6.73</v>
      </c>
    </row>
    <row r="90" spans="1:10" ht="24">
      <c r="A90" s="3032">
        <v>87</v>
      </c>
      <c r="B90" s="3032" t="s">
        <v>3198</v>
      </c>
      <c r="C90" s="3029" t="s">
        <v>3913</v>
      </c>
      <c r="D90" s="3039">
        <v>65.760000000000005</v>
      </c>
      <c r="E90" s="3052">
        <v>47.07</v>
      </c>
      <c r="F90" s="3039">
        <v>3.98</v>
      </c>
      <c r="G90" s="3039">
        <v>18.690000000000001</v>
      </c>
      <c r="H90" s="3035" t="s">
        <v>1377</v>
      </c>
      <c r="I90" s="3032" t="s">
        <v>3131</v>
      </c>
      <c r="J90" s="3037">
        <f t="shared" si="1"/>
        <v>8.33</v>
      </c>
    </row>
    <row r="91" spans="1:10" hidden="1">
      <c r="A91" s="3032">
        <v>88</v>
      </c>
      <c r="B91" s="3053" t="s">
        <v>3199</v>
      </c>
      <c r="C91" s="3056"/>
      <c r="D91" s="3039">
        <v>52</v>
      </c>
      <c r="E91" s="3039">
        <v>37.22</v>
      </c>
      <c r="F91" s="3039"/>
      <c r="G91" s="3039">
        <v>14.78</v>
      </c>
      <c r="H91" s="3035" t="s">
        <v>1377</v>
      </c>
      <c r="I91" s="3032" t="s">
        <v>3131</v>
      </c>
      <c r="J91" s="3037">
        <f t="shared" si="1"/>
        <v>6.58</v>
      </c>
    </row>
    <row r="92" spans="1:10" hidden="1">
      <c r="A92" s="3032">
        <v>89</v>
      </c>
      <c r="B92" s="3053" t="s">
        <v>3200</v>
      </c>
      <c r="C92" s="3056"/>
      <c r="D92" s="3039">
        <v>82.68</v>
      </c>
      <c r="E92" s="3039">
        <v>59.18</v>
      </c>
      <c r="F92" s="3039"/>
      <c r="G92" s="3039">
        <v>23.5</v>
      </c>
      <c r="H92" s="3035" t="s">
        <v>1377</v>
      </c>
      <c r="I92" s="3032" t="s">
        <v>3131</v>
      </c>
      <c r="J92" s="3037">
        <f t="shared" si="1"/>
        <v>10.47</v>
      </c>
    </row>
    <row r="93" spans="1:10" hidden="1">
      <c r="A93" s="3032">
        <v>90</v>
      </c>
      <c r="B93" s="3053" t="s">
        <v>3201</v>
      </c>
      <c r="C93" s="3056"/>
      <c r="D93" s="3039">
        <v>82.68</v>
      </c>
      <c r="E93" s="3039">
        <v>59.18</v>
      </c>
      <c r="F93" s="3039"/>
      <c r="G93" s="3039">
        <v>23.5</v>
      </c>
      <c r="H93" s="3035" t="s">
        <v>1377</v>
      </c>
      <c r="I93" s="3032" t="s">
        <v>3131</v>
      </c>
      <c r="J93" s="3037">
        <f t="shared" si="1"/>
        <v>10.47</v>
      </c>
    </row>
    <row r="94" spans="1:10" hidden="1">
      <c r="A94" s="3032">
        <v>91</v>
      </c>
      <c r="B94" s="3053" t="s">
        <v>3202</v>
      </c>
      <c r="C94" s="3056"/>
      <c r="D94" s="3039">
        <v>52</v>
      </c>
      <c r="E94" s="3039">
        <v>37.22</v>
      </c>
      <c r="F94" s="3039"/>
      <c r="G94" s="3039">
        <v>14.78</v>
      </c>
      <c r="H94" s="3035" t="s">
        <v>1377</v>
      </c>
      <c r="I94" s="3032" t="s">
        <v>3131</v>
      </c>
      <c r="J94" s="3037">
        <f t="shared" si="1"/>
        <v>6.58</v>
      </c>
    </row>
    <row r="95" spans="1:10" ht="24">
      <c r="A95" s="3032">
        <v>88</v>
      </c>
      <c r="B95" s="3032" t="s">
        <v>3203</v>
      </c>
      <c r="C95" s="3028" t="s">
        <v>3914</v>
      </c>
      <c r="D95" s="3039">
        <v>65.760000000000005</v>
      </c>
      <c r="E95" s="3052">
        <v>47.07</v>
      </c>
      <c r="F95" s="3039">
        <v>3.98</v>
      </c>
      <c r="G95" s="3039">
        <v>18.690000000000001</v>
      </c>
      <c r="H95" s="3035" t="s">
        <v>1377</v>
      </c>
      <c r="I95" s="3032" t="s">
        <v>3131</v>
      </c>
      <c r="J95" s="3037">
        <f t="shared" si="1"/>
        <v>8.33</v>
      </c>
    </row>
    <row r="96" spans="1:10" ht="24">
      <c r="A96" s="3032">
        <v>89</v>
      </c>
      <c r="B96" s="3032" t="s">
        <v>3204</v>
      </c>
      <c r="C96" s="3028" t="s">
        <v>3915</v>
      </c>
      <c r="D96" s="3039">
        <v>53.17</v>
      </c>
      <c r="E96" s="3039">
        <v>38.06</v>
      </c>
      <c r="F96" s="3039">
        <v>3.39</v>
      </c>
      <c r="G96" s="3039">
        <v>15.11</v>
      </c>
      <c r="H96" s="3035" t="s">
        <v>1377</v>
      </c>
      <c r="I96" s="3032" t="s">
        <v>3131</v>
      </c>
      <c r="J96" s="3037">
        <f t="shared" si="1"/>
        <v>6.73</v>
      </c>
    </row>
    <row r="97" spans="1:10" ht="24">
      <c r="A97" s="3032">
        <v>90</v>
      </c>
      <c r="B97" s="3032" t="s">
        <v>3205</v>
      </c>
      <c r="C97" s="3028" t="s">
        <v>3916</v>
      </c>
      <c r="D97" s="3039">
        <v>52.81</v>
      </c>
      <c r="E97" s="3039">
        <v>37.799999999999997</v>
      </c>
      <c r="F97" s="3039">
        <v>3.21</v>
      </c>
      <c r="G97" s="3039">
        <v>15.01</v>
      </c>
      <c r="H97" s="3035" t="s">
        <v>1377</v>
      </c>
      <c r="I97" s="3032" t="s">
        <v>3131</v>
      </c>
      <c r="J97" s="3037">
        <f t="shared" si="1"/>
        <v>6.69</v>
      </c>
    </row>
    <row r="98" spans="1:10" ht="24">
      <c r="A98" s="3032">
        <v>91</v>
      </c>
      <c r="B98" s="3032" t="s">
        <v>3206</v>
      </c>
      <c r="C98" s="3028" t="s">
        <v>3917</v>
      </c>
      <c r="D98" s="3039">
        <v>52.92</v>
      </c>
      <c r="E98" s="3039">
        <v>37.880000000000003</v>
      </c>
      <c r="F98" s="3039">
        <v>3.21</v>
      </c>
      <c r="G98" s="3039">
        <v>15.04</v>
      </c>
      <c r="H98" s="3035" t="s">
        <v>1377</v>
      </c>
      <c r="I98" s="3032" t="s">
        <v>3131</v>
      </c>
      <c r="J98" s="3037">
        <f t="shared" si="1"/>
        <v>6.7</v>
      </c>
    </row>
    <row r="99" spans="1:10" ht="24">
      <c r="A99" s="3032">
        <v>92</v>
      </c>
      <c r="B99" s="3032" t="s">
        <v>3207</v>
      </c>
      <c r="C99" s="3028" t="s">
        <v>3918</v>
      </c>
      <c r="D99" s="3039">
        <v>72.42</v>
      </c>
      <c r="E99" s="3039">
        <v>51.84</v>
      </c>
      <c r="F99" s="3039">
        <v>6.48</v>
      </c>
      <c r="G99" s="3039">
        <v>20.58</v>
      </c>
      <c r="H99" s="3035" t="s">
        <v>1377</v>
      </c>
      <c r="I99" s="3032" t="s">
        <v>3131</v>
      </c>
      <c r="J99" s="3037">
        <f t="shared" si="1"/>
        <v>9.17</v>
      </c>
    </row>
    <row r="100" spans="1:10" ht="24">
      <c r="A100" s="3032">
        <v>93</v>
      </c>
      <c r="B100" s="3032" t="s">
        <v>3215</v>
      </c>
      <c r="C100" s="3028" t="s">
        <v>3919</v>
      </c>
      <c r="D100" s="3039">
        <v>68.849999999999994</v>
      </c>
      <c r="E100" s="3039">
        <v>49.03</v>
      </c>
      <c r="F100" s="3039">
        <v>3.66</v>
      </c>
      <c r="G100" s="3039">
        <v>19.82</v>
      </c>
      <c r="H100" s="3035" t="s">
        <v>1377</v>
      </c>
      <c r="I100" s="3032" t="s">
        <v>3131</v>
      </c>
      <c r="J100" s="3037">
        <f t="shared" si="1"/>
        <v>8.7200000000000006</v>
      </c>
    </row>
    <row r="101" spans="1:10" ht="24">
      <c r="A101" s="3032">
        <v>94</v>
      </c>
      <c r="B101" s="3032" t="s">
        <v>3216</v>
      </c>
      <c r="C101" s="3028" t="s">
        <v>3920</v>
      </c>
      <c r="D101" s="3039">
        <v>53.19</v>
      </c>
      <c r="E101" s="3039">
        <v>37.880000000000003</v>
      </c>
      <c r="F101" s="3039">
        <v>3.21</v>
      </c>
      <c r="G101" s="3039">
        <v>15.31</v>
      </c>
      <c r="H101" s="3035" t="s">
        <v>1377</v>
      </c>
      <c r="I101" s="3032" t="s">
        <v>3131</v>
      </c>
      <c r="J101" s="3037">
        <f t="shared" si="1"/>
        <v>6.74</v>
      </c>
    </row>
    <row r="102" spans="1:10" ht="24">
      <c r="A102" s="3032">
        <v>95</v>
      </c>
      <c r="B102" s="3032" t="s">
        <v>3217</v>
      </c>
      <c r="C102" s="3028" t="s">
        <v>3921</v>
      </c>
      <c r="D102" s="3039">
        <v>53.08</v>
      </c>
      <c r="E102" s="3039">
        <v>37.799999999999997</v>
      </c>
      <c r="F102" s="3039">
        <v>3.21</v>
      </c>
      <c r="G102" s="3039">
        <v>15.28</v>
      </c>
      <c r="H102" s="3035" t="s">
        <v>1377</v>
      </c>
      <c r="I102" s="3032" t="s">
        <v>3131</v>
      </c>
      <c r="J102" s="3037">
        <f t="shared" si="1"/>
        <v>6.72</v>
      </c>
    </row>
    <row r="103" spans="1:10" ht="24">
      <c r="A103" s="3032">
        <v>96</v>
      </c>
      <c r="B103" s="3032" t="s">
        <v>3218</v>
      </c>
      <c r="C103" s="3028" t="s">
        <v>3922</v>
      </c>
      <c r="D103" s="3039">
        <v>53.45</v>
      </c>
      <c r="E103" s="3039">
        <v>38.06</v>
      </c>
      <c r="F103" s="3039">
        <v>3.39</v>
      </c>
      <c r="G103" s="3039">
        <v>15.39</v>
      </c>
      <c r="H103" s="3035" t="s">
        <v>1377</v>
      </c>
      <c r="I103" s="3032" t="s">
        <v>3131</v>
      </c>
      <c r="J103" s="3037">
        <f t="shared" si="1"/>
        <v>6.77</v>
      </c>
    </row>
    <row r="104" spans="1:10" ht="24">
      <c r="A104" s="3032">
        <v>97</v>
      </c>
      <c r="B104" s="3032" t="s">
        <v>3219</v>
      </c>
      <c r="C104" s="3028" t="s">
        <v>3923</v>
      </c>
      <c r="D104" s="3039">
        <f>E104+G104</f>
        <v>66.099999999999994</v>
      </c>
      <c r="E104" s="3052">
        <v>47.07</v>
      </c>
      <c r="F104" s="3039">
        <v>3.98</v>
      </c>
      <c r="G104" s="3039">
        <v>19.03</v>
      </c>
      <c r="H104" s="3035" t="s">
        <v>1377</v>
      </c>
      <c r="I104" s="3032" t="s">
        <v>3131</v>
      </c>
      <c r="J104" s="3037">
        <f t="shared" si="1"/>
        <v>8.3699999999999992</v>
      </c>
    </row>
    <row r="105" spans="1:10" ht="24">
      <c r="A105" s="3032">
        <v>98</v>
      </c>
      <c r="B105" s="3032" t="s">
        <v>3220</v>
      </c>
      <c r="C105" s="3028" t="s">
        <v>3924</v>
      </c>
      <c r="D105" s="3039">
        <v>44.89</v>
      </c>
      <c r="E105" s="3039">
        <v>31.97</v>
      </c>
      <c r="F105" s="3039"/>
      <c r="G105" s="3039">
        <v>12.92</v>
      </c>
      <c r="H105" s="3035" t="s">
        <v>1377</v>
      </c>
      <c r="I105" s="3032" t="s">
        <v>3131</v>
      </c>
      <c r="J105" s="3037">
        <f t="shared" si="1"/>
        <v>5.68</v>
      </c>
    </row>
    <row r="106" spans="1:10" ht="24">
      <c r="A106" s="3032">
        <v>99</v>
      </c>
      <c r="B106" s="3032" t="s">
        <v>3221</v>
      </c>
      <c r="C106" s="3028" t="s">
        <v>3925</v>
      </c>
      <c r="D106" s="3039">
        <v>58.08</v>
      </c>
      <c r="E106" s="3039">
        <v>41.36</v>
      </c>
      <c r="F106" s="3039"/>
      <c r="G106" s="3039">
        <v>16.72</v>
      </c>
      <c r="H106" s="3035" t="s">
        <v>1377</v>
      </c>
      <c r="I106" s="3032" t="s">
        <v>3131</v>
      </c>
      <c r="J106" s="3037">
        <f t="shared" si="1"/>
        <v>7.35</v>
      </c>
    </row>
    <row r="107" spans="1:10" ht="24">
      <c r="A107" s="3032">
        <v>100</v>
      </c>
      <c r="B107" s="3032" t="s">
        <v>3222</v>
      </c>
      <c r="C107" s="3028" t="s">
        <v>3926</v>
      </c>
      <c r="D107" s="3039">
        <v>58.08</v>
      </c>
      <c r="E107" s="3039">
        <v>41.36</v>
      </c>
      <c r="F107" s="3039"/>
      <c r="G107" s="3039">
        <v>16.72</v>
      </c>
      <c r="H107" s="3035" t="s">
        <v>1377</v>
      </c>
      <c r="I107" s="3032" t="s">
        <v>3131</v>
      </c>
      <c r="J107" s="3037">
        <f t="shared" si="1"/>
        <v>7.35</v>
      </c>
    </row>
    <row r="108" spans="1:10" ht="24">
      <c r="A108" s="3032">
        <v>101</v>
      </c>
      <c r="B108" s="3032" t="s">
        <v>3223</v>
      </c>
      <c r="C108" s="3028" t="s">
        <v>3927</v>
      </c>
      <c r="D108" s="3039">
        <v>44.89</v>
      </c>
      <c r="E108" s="3039">
        <v>31.97</v>
      </c>
      <c r="F108" s="3039"/>
      <c r="G108" s="3039">
        <v>12.92</v>
      </c>
      <c r="H108" s="3035" t="s">
        <v>1377</v>
      </c>
      <c r="I108" s="3032" t="s">
        <v>3131</v>
      </c>
      <c r="J108" s="3037">
        <f t="shared" si="1"/>
        <v>5.68</v>
      </c>
    </row>
    <row r="109" spans="1:10" ht="24">
      <c r="A109" s="3032">
        <v>102</v>
      </c>
      <c r="B109" s="3032" t="s">
        <v>3224</v>
      </c>
      <c r="C109" s="3028" t="s">
        <v>3928</v>
      </c>
      <c r="D109" s="3039">
        <v>66.099999999999994</v>
      </c>
      <c r="E109" s="3052">
        <v>47.07</v>
      </c>
      <c r="F109" s="3039">
        <v>3.98</v>
      </c>
      <c r="G109" s="3039">
        <v>19.03</v>
      </c>
      <c r="H109" s="3035" t="s">
        <v>1377</v>
      </c>
      <c r="I109" s="3032" t="s">
        <v>3131</v>
      </c>
      <c r="J109" s="3037">
        <f t="shared" si="1"/>
        <v>8.3699999999999992</v>
      </c>
    </row>
    <row r="110" spans="1:10" ht="24">
      <c r="A110" s="3032">
        <v>103</v>
      </c>
      <c r="B110" s="3032" t="s">
        <v>3225</v>
      </c>
      <c r="C110" s="3028" t="s">
        <v>3929</v>
      </c>
      <c r="D110" s="3039">
        <v>53.45</v>
      </c>
      <c r="E110" s="3039">
        <v>38.06</v>
      </c>
      <c r="F110" s="3039">
        <v>3.39</v>
      </c>
      <c r="G110" s="3039">
        <v>15.39</v>
      </c>
      <c r="H110" s="3035" t="s">
        <v>1377</v>
      </c>
      <c r="I110" s="3032" t="s">
        <v>3131</v>
      </c>
      <c r="J110" s="3037">
        <f t="shared" si="1"/>
        <v>6.77</v>
      </c>
    </row>
    <row r="111" spans="1:10" ht="24">
      <c r="A111" s="3032">
        <v>104</v>
      </c>
      <c r="B111" s="3032" t="s">
        <v>3226</v>
      </c>
      <c r="C111" s="3028" t="s">
        <v>3930</v>
      </c>
      <c r="D111" s="3039">
        <v>53.08</v>
      </c>
      <c r="E111" s="3039">
        <v>37.799999999999997</v>
      </c>
      <c r="F111" s="3039">
        <v>3.21</v>
      </c>
      <c r="G111" s="3039">
        <v>15.28</v>
      </c>
      <c r="H111" s="3035" t="s">
        <v>1377</v>
      </c>
      <c r="I111" s="3032" t="s">
        <v>3131</v>
      </c>
      <c r="J111" s="3037">
        <f t="shared" si="1"/>
        <v>6.72</v>
      </c>
    </row>
    <row r="112" spans="1:10" ht="24">
      <c r="A112" s="3032">
        <v>105</v>
      </c>
      <c r="B112" s="3032" t="s">
        <v>3227</v>
      </c>
      <c r="C112" s="3028" t="s">
        <v>3931</v>
      </c>
      <c r="D112" s="3039">
        <v>53.19</v>
      </c>
      <c r="E112" s="3039">
        <v>37.880000000000003</v>
      </c>
      <c r="F112" s="3039">
        <v>3.21</v>
      </c>
      <c r="G112" s="3039">
        <v>15.31</v>
      </c>
      <c r="H112" s="3035" t="s">
        <v>1377</v>
      </c>
      <c r="I112" s="3032" t="s">
        <v>3131</v>
      </c>
      <c r="J112" s="3037">
        <f t="shared" si="1"/>
        <v>6.74</v>
      </c>
    </row>
    <row r="113" spans="1:12" ht="24">
      <c r="A113" s="3032">
        <v>106</v>
      </c>
      <c r="B113" s="3032" t="s">
        <v>3228</v>
      </c>
      <c r="C113" s="3028" t="s">
        <v>3932</v>
      </c>
      <c r="D113" s="3039">
        <v>72.8</v>
      </c>
      <c r="E113" s="3039">
        <v>51.84</v>
      </c>
      <c r="F113" s="3039">
        <v>6.48</v>
      </c>
      <c r="G113" s="3039">
        <v>20.96</v>
      </c>
      <c r="H113" s="3035" t="s">
        <v>1377</v>
      </c>
      <c r="I113" s="3032" t="s">
        <v>3131</v>
      </c>
      <c r="J113" s="3037">
        <f t="shared" si="1"/>
        <v>9.2200000000000006</v>
      </c>
    </row>
    <row r="114" spans="1:12" ht="24">
      <c r="A114" s="3032">
        <v>107</v>
      </c>
      <c r="B114" s="3032" t="s">
        <v>3236</v>
      </c>
      <c r="C114" s="3028" t="s">
        <v>3933</v>
      </c>
      <c r="D114" s="3039">
        <v>70.040000000000006</v>
      </c>
      <c r="E114" s="3039">
        <v>49.03</v>
      </c>
      <c r="F114" s="3039">
        <v>3.66</v>
      </c>
      <c r="G114" s="3039">
        <v>21.01</v>
      </c>
      <c r="H114" s="3035" t="s">
        <v>1377</v>
      </c>
      <c r="I114" s="3032" t="s">
        <v>3131</v>
      </c>
      <c r="J114" s="3037">
        <f t="shared" si="1"/>
        <v>8.8699999999999992</v>
      </c>
    </row>
    <row r="115" spans="1:12" ht="24">
      <c r="A115" s="3032">
        <v>108</v>
      </c>
      <c r="B115" s="3032" t="s">
        <v>3237</v>
      </c>
      <c r="C115" s="3028" t="s">
        <v>3934</v>
      </c>
      <c r="D115" s="3039">
        <v>54.11</v>
      </c>
      <c r="E115" s="3039">
        <v>37.880000000000003</v>
      </c>
      <c r="F115" s="3039">
        <v>3.21</v>
      </c>
      <c r="G115" s="3039">
        <v>16.23</v>
      </c>
      <c r="H115" s="3035" t="s">
        <v>1377</v>
      </c>
      <c r="I115" s="3032" t="s">
        <v>3131</v>
      </c>
      <c r="J115" s="3037">
        <f t="shared" si="1"/>
        <v>6.85</v>
      </c>
    </row>
    <row r="116" spans="1:12" ht="24">
      <c r="A116" s="3032">
        <v>109</v>
      </c>
      <c r="B116" s="3032" t="s">
        <v>3238</v>
      </c>
      <c r="C116" s="3028" t="s">
        <v>3935</v>
      </c>
      <c r="D116" s="3039">
        <v>54</v>
      </c>
      <c r="E116" s="3039">
        <v>37.799999999999997</v>
      </c>
      <c r="F116" s="3039">
        <v>3.21</v>
      </c>
      <c r="G116" s="3039">
        <v>16.2</v>
      </c>
      <c r="H116" s="3035" t="s">
        <v>1377</v>
      </c>
      <c r="I116" s="3032" t="s">
        <v>3131</v>
      </c>
      <c r="J116" s="3037">
        <f t="shared" si="1"/>
        <v>6.84</v>
      </c>
    </row>
    <row r="117" spans="1:12" ht="24">
      <c r="A117" s="3032">
        <v>110</v>
      </c>
      <c r="B117" s="3032" t="s">
        <v>3239</v>
      </c>
      <c r="C117" s="3028" t="s">
        <v>3936</v>
      </c>
      <c r="D117" s="3039">
        <v>54.5</v>
      </c>
      <c r="E117" s="3039">
        <v>38.15</v>
      </c>
      <c r="F117" s="3039">
        <v>3.48</v>
      </c>
      <c r="G117" s="3039">
        <v>16.350000000000001</v>
      </c>
      <c r="H117" s="3035" t="s">
        <v>1377</v>
      </c>
      <c r="I117" s="3032" t="s">
        <v>3131</v>
      </c>
      <c r="J117" s="3037">
        <f t="shared" si="1"/>
        <v>6.9</v>
      </c>
    </row>
    <row r="118" spans="1:12" ht="24">
      <c r="A118" s="3032">
        <v>111</v>
      </c>
      <c r="B118" s="3032" t="s">
        <v>3240</v>
      </c>
      <c r="C118" s="3028" t="s">
        <v>3937</v>
      </c>
      <c r="D118" s="3039">
        <v>61.54</v>
      </c>
      <c r="E118" s="3039">
        <v>43.08</v>
      </c>
      <c r="F118" s="3039"/>
      <c r="G118" s="3039">
        <v>18.46</v>
      </c>
      <c r="H118" s="3035" t="s">
        <v>1377</v>
      </c>
      <c r="I118" s="3032" t="s">
        <v>3131</v>
      </c>
      <c r="J118" s="3037">
        <f t="shared" si="1"/>
        <v>7.79</v>
      </c>
    </row>
    <row r="119" spans="1:12" ht="24">
      <c r="A119" s="3032">
        <v>112</v>
      </c>
      <c r="B119" s="3032" t="s">
        <v>3241</v>
      </c>
      <c r="C119" s="3028" t="s">
        <v>3938</v>
      </c>
      <c r="D119" s="3039">
        <v>31.3</v>
      </c>
      <c r="E119" s="3039">
        <v>21.91</v>
      </c>
      <c r="F119" s="3039"/>
      <c r="G119" s="3039">
        <v>9.39</v>
      </c>
      <c r="H119" s="3035" t="s">
        <v>1377</v>
      </c>
      <c r="I119" s="3032" t="s">
        <v>3131</v>
      </c>
      <c r="J119" s="3037">
        <f t="shared" si="1"/>
        <v>3.96</v>
      </c>
    </row>
    <row r="120" spans="1:12" ht="24">
      <c r="A120" s="3032">
        <v>113</v>
      </c>
      <c r="B120" s="3032" t="s">
        <v>3242</v>
      </c>
      <c r="C120" s="3028" t="s">
        <v>3939</v>
      </c>
      <c r="D120" s="3039">
        <v>55.98</v>
      </c>
      <c r="E120" s="3039">
        <v>39.24</v>
      </c>
      <c r="F120" s="3039"/>
      <c r="G120" s="3039">
        <v>16.739999999999998</v>
      </c>
      <c r="H120" s="3035" t="s">
        <v>1377</v>
      </c>
      <c r="I120" s="3032" t="s">
        <v>3131</v>
      </c>
      <c r="J120" s="3037">
        <f t="shared" si="1"/>
        <v>7.09</v>
      </c>
    </row>
    <row r="121" spans="1:12" ht="24">
      <c r="A121" s="3032">
        <v>114</v>
      </c>
      <c r="B121" s="3032" t="s">
        <v>3243</v>
      </c>
      <c r="C121" s="3028" t="s">
        <v>3940</v>
      </c>
      <c r="D121" s="3039">
        <v>37.78</v>
      </c>
      <c r="E121" s="3039">
        <v>26.45</v>
      </c>
      <c r="F121" s="3039"/>
      <c r="G121" s="3039">
        <v>11.33</v>
      </c>
      <c r="H121" s="3035" t="s">
        <v>1377</v>
      </c>
      <c r="I121" s="3032" t="s">
        <v>3131</v>
      </c>
      <c r="J121" s="3037">
        <f t="shared" si="1"/>
        <v>4.78</v>
      </c>
    </row>
    <row r="122" spans="1:12" ht="24">
      <c r="A122" s="3032">
        <v>115</v>
      </c>
      <c r="B122" s="3032" t="s">
        <v>3244</v>
      </c>
      <c r="C122" s="3028" t="s">
        <v>3941</v>
      </c>
      <c r="D122" s="3039">
        <v>61.54</v>
      </c>
      <c r="E122" s="3039">
        <v>43.08</v>
      </c>
      <c r="F122" s="3039"/>
      <c r="G122" s="3039">
        <v>18.46</v>
      </c>
      <c r="H122" s="3035" t="s">
        <v>1377</v>
      </c>
      <c r="I122" s="3032" t="s">
        <v>3131</v>
      </c>
      <c r="J122" s="3037">
        <f t="shared" si="1"/>
        <v>7.79</v>
      </c>
    </row>
    <row r="123" spans="1:12" ht="24">
      <c r="A123" s="3032">
        <v>116</v>
      </c>
      <c r="B123" s="3032" t="s">
        <v>3245</v>
      </c>
      <c r="C123" s="3028" t="s">
        <v>3942</v>
      </c>
      <c r="D123" s="3039">
        <v>54.5</v>
      </c>
      <c r="E123" s="3039">
        <v>38.15</v>
      </c>
      <c r="F123" s="3039">
        <v>3.48</v>
      </c>
      <c r="G123" s="3039">
        <v>16.350000000000001</v>
      </c>
      <c r="H123" s="3035" t="s">
        <v>1377</v>
      </c>
      <c r="I123" s="3032" t="s">
        <v>3131</v>
      </c>
      <c r="J123" s="3037">
        <f t="shared" si="1"/>
        <v>6.9</v>
      </c>
    </row>
    <row r="124" spans="1:12" ht="24">
      <c r="A124" s="3032">
        <v>117</v>
      </c>
      <c r="B124" s="3032" t="s">
        <v>3246</v>
      </c>
      <c r="C124" s="3028" t="s">
        <v>3943</v>
      </c>
      <c r="D124" s="3039">
        <v>54</v>
      </c>
      <c r="E124" s="3039">
        <v>37.799999999999997</v>
      </c>
      <c r="F124" s="3039">
        <v>3.21</v>
      </c>
      <c r="G124" s="3039">
        <v>16.2</v>
      </c>
      <c r="H124" s="3035" t="s">
        <v>1377</v>
      </c>
      <c r="I124" s="3032" t="s">
        <v>3131</v>
      </c>
      <c r="J124" s="3037">
        <f t="shared" si="1"/>
        <v>6.84</v>
      </c>
    </row>
    <row r="125" spans="1:12" ht="24">
      <c r="A125" s="3032">
        <v>118</v>
      </c>
      <c r="B125" s="3032" t="s">
        <v>3247</v>
      </c>
      <c r="C125" s="3028" t="s">
        <v>3944</v>
      </c>
      <c r="D125" s="3039">
        <v>54.11</v>
      </c>
      <c r="E125" s="3039">
        <v>37.880000000000003</v>
      </c>
      <c r="F125" s="3039">
        <v>3.21</v>
      </c>
      <c r="G125" s="3039">
        <v>16.23</v>
      </c>
      <c r="H125" s="3035" t="s">
        <v>1377</v>
      </c>
      <c r="I125" s="3032" t="s">
        <v>3131</v>
      </c>
      <c r="J125" s="3037">
        <f t="shared" si="1"/>
        <v>6.85</v>
      </c>
    </row>
    <row r="126" spans="1:12" ht="24">
      <c r="A126" s="3032">
        <v>119</v>
      </c>
      <c r="B126" s="3032" t="s">
        <v>3248</v>
      </c>
      <c r="C126" s="3028" t="s">
        <v>3945</v>
      </c>
      <c r="D126" s="3039">
        <v>69.650000000000006</v>
      </c>
      <c r="E126" s="3039">
        <v>48.76</v>
      </c>
      <c r="F126" s="3039">
        <v>3.39</v>
      </c>
      <c r="G126" s="3039">
        <v>20.89</v>
      </c>
      <c r="H126" s="3035" t="s">
        <v>1377</v>
      </c>
      <c r="I126" s="3032" t="s">
        <v>3131</v>
      </c>
      <c r="J126" s="3037">
        <f>ROUND(D126/$D$127*$L$127,2)+0.05</f>
        <v>8.870000000000001</v>
      </c>
    </row>
    <row r="127" spans="1:12">
      <c r="A127" s="3148" t="s">
        <v>3299</v>
      </c>
      <c r="B127" s="3148"/>
      <c r="C127" s="3030"/>
      <c r="D127" s="3054">
        <f>SUM(D4:D126)</f>
        <v>7610.2400000000043</v>
      </c>
      <c r="E127" s="3032"/>
      <c r="F127" s="3032"/>
      <c r="G127" s="3032"/>
      <c r="H127" s="3032"/>
      <c r="I127" s="3032"/>
      <c r="J127" s="3040">
        <f>SUM(J4:J126)</f>
        <v>963.7</v>
      </c>
      <c r="L127" s="3055">
        <v>963.7</v>
      </c>
    </row>
  </sheetData>
  <mergeCells count="3">
    <mergeCell ref="A127:B127"/>
    <mergeCell ref="A1:I1"/>
    <mergeCell ref="A2:H2"/>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
  <sheetViews>
    <sheetView tabSelected="1" workbookViewId="0">
      <selection activeCell="N9" sqref="N9"/>
    </sheetView>
  </sheetViews>
  <sheetFormatPr defaultRowHeight="13.5"/>
  <cols>
    <col min="1" max="1" width="7.25" style="2968" customWidth="1"/>
    <col min="2" max="2" width="10.125" style="2968" customWidth="1"/>
    <col min="3" max="3" width="10.625" style="2969" customWidth="1"/>
    <col min="4" max="4" width="12.625" style="2969" hidden="1" customWidth="1"/>
    <col min="5" max="5" width="9.625" style="2969" hidden="1" customWidth="1"/>
    <col min="6" max="6" width="10.125" style="2969" hidden="1" customWidth="1"/>
    <col min="7" max="7" width="13" style="2967" customWidth="1"/>
    <col min="8" max="8" width="9.625" style="2967" customWidth="1"/>
    <col min="9" max="9" width="9.5" style="2967" bestFit="1" customWidth="1"/>
    <col min="10" max="257" width="9" style="2967"/>
    <col min="258" max="259" width="10.625" style="2967" customWidth="1"/>
    <col min="260" max="260" width="12.625" style="2967" customWidth="1"/>
    <col min="261" max="261" width="9.625" style="2967" customWidth="1"/>
    <col min="262" max="262" width="10.125" style="2967" customWidth="1"/>
    <col min="263" max="263" width="13" style="2967" customWidth="1"/>
    <col min="264" max="264" width="13.375" style="2967" customWidth="1"/>
    <col min="265" max="513" width="9" style="2967"/>
    <col min="514" max="515" width="10.625" style="2967" customWidth="1"/>
    <col min="516" max="516" width="12.625" style="2967" customWidth="1"/>
    <col min="517" max="517" width="9.625" style="2967" customWidth="1"/>
    <col min="518" max="518" width="10.125" style="2967" customWidth="1"/>
    <col min="519" max="519" width="13" style="2967" customWidth="1"/>
    <col min="520" max="520" width="13.375" style="2967" customWidth="1"/>
    <col min="521" max="769" width="9" style="2967"/>
    <col min="770" max="771" width="10.625" style="2967" customWidth="1"/>
    <col min="772" max="772" width="12.625" style="2967" customWidth="1"/>
    <col min="773" max="773" width="9.625" style="2967" customWidth="1"/>
    <col min="774" max="774" width="10.125" style="2967" customWidth="1"/>
    <col min="775" max="775" width="13" style="2967" customWidth="1"/>
    <col min="776" max="776" width="13.375" style="2967" customWidth="1"/>
    <col min="777" max="1025" width="9" style="2967"/>
    <col min="1026" max="1027" width="10.625" style="2967" customWidth="1"/>
    <col min="1028" max="1028" width="12.625" style="2967" customWidth="1"/>
    <col min="1029" max="1029" width="9.625" style="2967" customWidth="1"/>
    <col min="1030" max="1030" width="10.125" style="2967" customWidth="1"/>
    <col min="1031" max="1031" width="13" style="2967" customWidth="1"/>
    <col min="1032" max="1032" width="13.375" style="2967" customWidth="1"/>
    <col min="1033" max="1281" width="9" style="2967"/>
    <col min="1282" max="1283" width="10.625" style="2967" customWidth="1"/>
    <col min="1284" max="1284" width="12.625" style="2967" customWidth="1"/>
    <col min="1285" max="1285" width="9.625" style="2967" customWidth="1"/>
    <col min="1286" max="1286" width="10.125" style="2967" customWidth="1"/>
    <col min="1287" max="1287" width="13" style="2967" customWidth="1"/>
    <col min="1288" max="1288" width="13.375" style="2967" customWidth="1"/>
    <col min="1289" max="1537" width="9" style="2967"/>
    <col min="1538" max="1539" width="10.625" style="2967" customWidth="1"/>
    <col min="1540" max="1540" width="12.625" style="2967" customWidth="1"/>
    <col min="1541" max="1541" width="9.625" style="2967" customWidth="1"/>
    <col min="1542" max="1542" width="10.125" style="2967" customWidth="1"/>
    <col min="1543" max="1543" width="13" style="2967" customWidth="1"/>
    <col min="1544" max="1544" width="13.375" style="2967" customWidth="1"/>
    <col min="1545" max="1793" width="9" style="2967"/>
    <col min="1794" max="1795" width="10.625" style="2967" customWidth="1"/>
    <col min="1796" max="1796" width="12.625" style="2967" customWidth="1"/>
    <col min="1797" max="1797" width="9.625" style="2967" customWidth="1"/>
    <col min="1798" max="1798" width="10.125" style="2967" customWidth="1"/>
    <col min="1799" max="1799" width="13" style="2967" customWidth="1"/>
    <col min="1800" max="1800" width="13.375" style="2967" customWidth="1"/>
    <col min="1801" max="2049" width="9" style="2967"/>
    <col min="2050" max="2051" width="10.625" style="2967" customWidth="1"/>
    <col min="2052" max="2052" width="12.625" style="2967" customWidth="1"/>
    <col min="2053" max="2053" width="9.625" style="2967" customWidth="1"/>
    <col min="2054" max="2054" width="10.125" style="2967" customWidth="1"/>
    <col min="2055" max="2055" width="13" style="2967" customWidth="1"/>
    <col min="2056" max="2056" width="13.375" style="2967" customWidth="1"/>
    <col min="2057" max="2305" width="9" style="2967"/>
    <col min="2306" max="2307" width="10.625" style="2967" customWidth="1"/>
    <col min="2308" max="2308" width="12.625" style="2967" customWidth="1"/>
    <col min="2309" max="2309" width="9.625" style="2967" customWidth="1"/>
    <col min="2310" max="2310" width="10.125" style="2967" customWidth="1"/>
    <col min="2311" max="2311" width="13" style="2967" customWidth="1"/>
    <col min="2312" max="2312" width="13.375" style="2967" customWidth="1"/>
    <col min="2313" max="2561" width="9" style="2967"/>
    <col min="2562" max="2563" width="10.625" style="2967" customWidth="1"/>
    <col min="2564" max="2564" width="12.625" style="2967" customWidth="1"/>
    <col min="2565" max="2565" width="9.625" style="2967" customWidth="1"/>
    <col min="2566" max="2566" width="10.125" style="2967" customWidth="1"/>
    <col min="2567" max="2567" width="13" style="2967" customWidth="1"/>
    <col min="2568" max="2568" width="13.375" style="2967" customWidth="1"/>
    <col min="2569" max="2817" width="9" style="2967"/>
    <col min="2818" max="2819" width="10.625" style="2967" customWidth="1"/>
    <col min="2820" max="2820" width="12.625" style="2967" customWidth="1"/>
    <col min="2821" max="2821" width="9.625" style="2967" customWidth="1"/>
    <col min="2822" max="2822" width="10.125" style="2967" customWidth="1"/>
    <col min="2823" max="2823" width="13" style="2967" customWidth="1"/>
    <col min="2824" max="2824" width="13.375" style="2967" customWidth="1"/>
    <col min="2825" max="3073" width="9" style="2967"/>
    <col min="3074" max="3075" width="10.625" style="2967" customWidth="1"/>
    <col min="3076" max="3076" width="12.625" style="2967" customWidth="1"/>
    <col min="3077" max="3077" width="9.625" style="2967" customWidth="1"/>
    <col min="3078" max="3078" width="10.125" style="2967" customWidth="1"/>
    <col min="3079" max="3079" width="13" style="2967" customWidth="1"/>
    <col min="3080" max="3080" width="13.375" style="2967" customWidth="1"/>
    <col min="3081" max="3329" width="9" style="2967"/>
    <col min="3330" max="3331" width="10.625" style="2967" customWidth="1"/>
    <col min="3332" max="3332" width="12.625" style="2967" customWidth="1"/>
    <col min="3333" max="3333" width="9.625" style="2967" customWidth="1"/>
    <col min="3334" max="3334" width="10.125" style="2967" customWidth="1"/>
    <col min="3335" max="3335" width="13" style="2967" customWidth="1"/>
    <col min="3336" max="3336" width="13.375" style="2967" customWidth="1"/>
    <col min="3337" max="3585" width="9" style="2967"/>
    <col min="3586" max="3587" width="10.625" style="2967" customWidth="1"/>
    <col min="3588" max="3588" width="12.625" style="2967" customWidth="1"/>
    <col min="3589" max="3589" width="9.625" style="2967" customWidth="1"/>
    <col min="3590" max="3590" width="10.125" style="2967" customWidth="1"/>
    <col min="3591" max="3591" width="13" style="2967" customWidth="1"/>
    <col min="3592" max="3592" width="13.375" style="2967" customWidth="1"/>
    <col min="3593" max="3841" width="9" style="2967"/>
    <col min="3842" max="3843" width="10.625" style="2967" customWidth="1"/>
    <col min="3844" max="3844" width="12.625" style="2967" customWidth="1"/>
    <col min="3845" max="3845" width="9.625" style="2967" customWidth="1"/>
    <col min="3846" max="3846" width="10.125" style="2967" customWidth="1"/>
    <col min="3847" max="3847" width="13" style="2967" customWidth="1"/>
    <col min="3848" max="3848" width="13.375" style="2967" customWidth="1"/>
    <col min="3849" max="4097" width="9" style="2967"/>
    <col min="4098" max="4099" width="10.625" style="2967" customWidth="1"/>
    <col min="4100" max="4100" width="12.625" style="2967" customWidth="1"/>
    <col min="4101" max="4101" width="9.625" style="2967" customWidth="1"/>
    <col min="4102" max="4102" width="10.125" style="2967" customWidth="1"/>
    <col min="4103" max="4103" width="13" style="2967" customWidth="1"/>
    <col min="4104" max="4104" width="13.375" style="2967" customWidth="1"/>
    <col min="4105" max="4353" width="9" style="2967"/>
    <col min="4354" max="4355" width="10.625" style="2967" customWidth="1"/>
    <col min="4356" max="4356" width="12.625" style="2967" customWidth="1"/>
    <col min="4357" max="4357" width="9.625" style="2967" customWidth="1"/>
    <col min="4358" max="4358" width="10.125" style="2967" customWidth="1"/>
    <col min="4359" max="4359" width="13" style="2967" customWidth="1"/>
    <col min="4360" max="4360" width="13.375" style="2967" customWidth="1"/>
    <col min="4361" max="4609" width="9" style="2967"/>
    <col min="4610" max="4611" width="10.625" style="2967" customWidth="1"/>
    <col min="4612" max="4612" width="12.625" style="2967" customWidth="1"/>
    <col min="4613" max="4613" width="9.625" style="2967" customWidth="1"/>
    <col min="4614" max="4614" width="10.125" style="2967" customWidth="1"/>
    <col min="4615" max="4615" width="13" style="2967" customWidth="1"/>
    <col min="4616" max="4616" width="13.375" style="2967" customWidth="1"/>
    <col min="4617" max="4865" width="9" style="2967"/>
    <col min="4866" max="4867" width="10.625" style="2967" customWidth="1"/>
    <col min="4868" max="4868" width="12.625" style="2967" customWidth="1"/>
    <col min="4869" max="4869" width="9.625" style="2967" customWidth="1"/>
    <col min="4870" max="4870" width="10.125" style="2967" customWidth="1"/>
    <col min="4871" max="4871" width="13" style="2967" customWidth="1"/>
    <col min="4872" max="4872" width="13.375" style="2967" customWidth="1"/>
    <col min="4873" max="5121" width="9" style="2967"/>
    <col min="5122" max="5123" width="10.625" style="2967" customWidth="1"/>
    <col min="5124" max="5124" width="12.625" style="2967" customWidth="1"/>
    <col min="5125" max="5125" width="9.625" style="2967" customWidth="1"/>
    <col min="5126" max="5126" width="10.125" style="2967" customWidth="1"/>
    <col min="5127" max="5127" width="13" style="2967" customWidth="1"/>
    <col min="5128" max="5128" width="13.375" style="2967" customWidth="1"/>
    <col min="5129" max="5377" width="9" style="2967"/>
    <col min="5378" max="5379" width="10.625" style="2967" customWidth="1"/>
    <col min="5380" max="5380" width="12.625" style="2967" customWidth="1"/>
    <col min="5381" max="5381" width="9.625" style="2967" customWidth="1"/>
    <col min="5382" max="5382" width="10.125" style="2967" customWidth="1"/>
    <col min="5383" max="5383" width="13" style="2967" customWidth="1"/>
    <col min="5384" max="5384" width="13.375" style="2967" customWidth="1"/>
    <col min="5385" max="5633" width="9" style="2967"/>
    <col min="5634" max="5635" width="10.625" style="2967" customWidth="1"/>
    <col min="5636" max="5636" width="12.625" style="2967" customWidth="1"/>
    <col min="5637" max="5637" width="9.625" style="2967" customWidth="1"/>
    <col min="5638" max="5638" width="10.125" style="2967" customWidth="1"/>
    <col min="5639" max="5639" width="13" style="2967" customWidth="1"/>
    <col min="5640" max="5640" width="13.375" style="2967" customWidth="1"/>
    <col min="5641" max="5889" width="9" style="2967"/>
    <col min="5890" max="5891" width="10.625" style="2967" customWidth="1"/>
    <col min="5892" max="5892" width="12.625" style="2967" customWidth="1"/>
    <col min="5893" max="5893" width="9.625" style="2967" customWidth="1"/>
    <col min="5894" max="5894" width="10.125" style="2967" customWidth="1"/>
    <col min="5895" max="5895" width="13" style="2967" customWidth="1"/>
    <col min="5896" max="5896" width="13.375" style="2967" customWidth="1"/>
    <col min="5897" max="6145" width="9" style="2967"/>
    <col min="6146" max="6147" width="10.625" style="2967" customWidth="1"/>
    <col min="6148" max="6148" width="12.625" style="2967" customWidth="1"/>
    <col min="6149" max="6149" width="9.625" style="2967" customWidth="1"/>
    <col min="6150" max="6150" width="10.125" style="2967" customWidth="1"/>
    <col min="6151" max="6151" width="13" style="2967" customWidth="1"/>
    <col min="6152" max="6152" width="13.375" style="2967" customWidth="1"/>
    <col min="6153" max="6401" width="9" style="2967"/>
    <col min="6402" max="6403" width="10.625" style="2967" customWidth="1"/>
    <col min="6404" max="6404" width="12.625" style="2967" customWidth="1"/>
    <col min="6405" max="6405" width="9.625" style="2967" customWidth="1"/>
    <col min="6406" max="6406" width="10.125" style="2967" customWidth="1"/>
    <col min="6407" max="6407" width="13" style="2967" customWidth="1"/>
    <col min="6408" max="6408" width="13.375" style="2967" customWidth="1"/>
    <col min="6409" max="6657" width="9" style="2967"/>
    <col min="6658" max="6659" width="10.625" style="2967" customWidth="1"/>
    <col min="6660" max="6660" width="12.625" style="2967" customWidth="1"/>
    <col min="6661" max="6661" width="9.625" style="2967" customWidth="1"/>
    <col min="6662" max="6662" width="10.125" style="2967" customWidth="1"/>
    <col min="6663" max="6663" width="13" style="2967" customWidth="1"/>
    <col min="6664" max="6664" width="13.375" style="2967" customWidth="1"/>
    <col min="6665" max="6913" width="9" style="2967"/>
    <col min="6914" max="6915" width="10.625" style="2967" customWidth="1"/>
    <col min="6916" max="6916" width="12.625" style="2967" customWidth="1"/>
    <col min="6917" max="6917" width="9.625" style="2967" customWidth="1"/>
    <col min="6918" max="6918" width="10.125" style="2967" customWidth="1"/>
    <col min="6919" max="6919" width="13" style="2967" customWidth="1"/>
    <col min="6920" max="6920" width="13.375" style="2967" customWidth="1"/>
    <col min="6921" max="7169" width="9" style="2967"/>
    <col min="7170" max="7171" width="10.625" style="2967" customWidth="1"/>
    <col min="7172" max="7172" width="12.625" style="2967" customWidth="1"/>
    <col min="7173" max="7173" width="9.625" style="2967" customWidth="1"/>
    <col min="7174" max="7174" width="10.125" style="2967" customWidth="1"/>
    <col min="7175" max="7175" width="13" style="2967" customWidth="1"/>
    <col min="7176" max="7176" width="13.375" style="2967" customWidth="1"/>
    <col min="7177" max="7425" width="9" style="2967"/>
    <col min="7426" max="7427" width="10.625" style="2967" customWidth="1"/>
    <col min="7428" max="7428" width="12.625" style="2967" customWidth="1"/>
    <col min="7429" max="7429" width="9.625" style="2967" customWidth="1"/>
    <col min="7430" max="7430" width="10.125" style="2967" customWidth="1"/>
    <col min="7431" max="7431" width="13" style="2967" customWidth="1"/>
    <col min="7432" max="7432" width="13.375" style="2967" customWidth="1"/>
    <col min="7433" max="7681" width="9" style="2967"/>
    <col min="7682" max="7683" width="10.625" style="2967" customWidth="1"/>
    <col min="7684" max="7684" width="12.625" style="2967" customWidth="1"/>
    <col min="7685" max="7685" width="9.625" style="2967" customWidth="1"/>
    <col min="7686" max="7686" width="10.125" style="2967" customWidth="1"/>
    <col min="7687" max="7687" width="13" style="2967" customWidth="1"/>
    <col min="7688" max="7688" width="13.375" style="2967" customWidth="1"/>
    <col min="7689" max="7937" width="9" style="2967"/>
    <col min="7938" max="7939" width="10.625" style="2967" customWidth="1"/>
    <col min="7940" max="7940" width="12.625" style="2967" customWidth="1"/>
    <col min="7941" max="7941" width="9.625" style="2967" customWidth="1"/>
    <col min="7942" max="7942" width="10.125" style="2967" customWidth="1"/>
    <col min="7943" max="7943" width="13" style="2967" customWidth="1"/>
    <col min="7944" max="7944" width="13.375" style="2967" customWidth="1"/>
    <col min="7945" max="8193" width="9" style="2967"/>
    <col min="8194" max="8195" width="10.625" style="2967" customWidth="1"/>
    <col min="8196" max="8196" width="12.625" style="2967" customWidth="1"/>
    <col min="8197" max="8197" width="9.625" style="2967" customWidth="1"/>
    <col min="8198" max="8198" width="10.125" style="2967" customWidth="1"/>
    <col min="8199" max="8199" width="13" style="2967" customWidth="1"/>
    <col min="8200" max="8200" width="13.375" style="2967" customWidth="1"/>
    <col min="8201" max="8449" width="9" style="2967"/>
    <col min="8450" max="8451" width="10.625" style="2967" customWidth="1"/>
    <col min="8452" max="8452" width="12.625" style="2967" customWidth="1"/>
    <col min="8453" max="8453" width="9.625" style="2967" customWidth="1"/>
    <col min="8454" max="8454" width="10.125" style="2967" customWidth="1"/>
    <col min="8455" max="8455" width="13" style="2967" customWidth="1"/>
    <col min="8456" max="8456" width="13.375" style="2967" customWidth="1"/>
    <col min="8457" max="8705" width="9" style="2967"/>
    <col min="8706" max="8707" width="10.625" style="2967" customWidth="1"/>
    <col min="8708" max="8708" width="12.625" style="2967" customWidth="1"/>
    <col min="8709" max="8709" width="9.625" style="2967" customWidth="1"/>
    <col min="8710" max="8710" width="10.125" style="2967" customWidth="1"/>
    <col min="8711" max="8711" width="13" style="2967" customWidth="1"/>
    <col min="8712" max="8712" width="13.375" style="2967" customWidth="1"/>
    <col min="8713" max="8961" width="9" style="2967"/>
    <col min="8962" max="8963" width="10.625" style="2967" customWidth="1"/>
    <col min="8964" max="8964" width="12.625" style="2967" customWidth="1"/>
    <col min="8965" max="8965" width="9.625" style="2967" customWidth="1"/>
    <col min="8966" max="8966" width="10.125" style="2967" customWidth="1"/>
    <col min="8967" max="8967" width="13" style="2967" customWidth="1"/>
    <col min="8968" max="8968" width="13.375" style="2967" customWidth="1"/>
    <col min="8969" max="9217" width="9" style="2967"/>
    <col min="9218" max="9219" width="10.625" style="2967" customWidth="1"/>
    <col min="9220" max="9220" width="12.625" style="2967" customWidth="1"/>
    <col min="9221" max="9221" width="9.625" style="2967" customWidth="1"/>
    <col min="9222" max="9222" width="10.125" style="2967" customWidth="1"/>
    <col min="9223" max="9223" width="13" style="2967" customWidth="1"/>
    <col min="9224" max="9224" width="13.375" style="2967" customWidth="1"/>
    <col min="9225" max="9473" width="9" style="2967"/>
    <col min="9474" max="9475" width="10.625" style="2967" customWidth="1"/>
    <col min="9476" max="9476" width="12.625" style="2967" customWidth="1"/>
    <col min="9477" max="9477" width="9.625" style="2967" customWidth="1"/>
    <col min="9478" max="9478" width="10.125" style="2967" customWidth="1"/>
    <col min="9479" max="9479" width="13" style="2967" customWidth="1"/>
    <col min="9480" max="9480" width="13.375" style="2967" customWidth="1"/>
    <col min="9481" max="9729" width="9" style="2967"/>
    <col min="9730" max="9731" width="10.625" style="2967" customWidth="1"/>
    <col min="9732" max="9732" width="12.625" style="2967" customWidth="1"/>
    <col min="9733" max="9733" width="9.625" style="2967" customWidth="1"/>
    <col min="9734" max="9734" width="10.125" style="2967" customWidth="1"/>
    <col min="9735" max="9735" width="13" style="2967" customWidth="1"/>
    <col min="9736" max="9736" width="13.375" style="2967" customWidth="1"/>
    <col min="9737" max="9985" width="9" style="2967"/>
    <col min="9986" max="9987" width="10.625" style="2967" customWidth="1"/>
    <col min="9988" max="9988" width="12.625" style="2967" customWidth="1"/>
    <col min="9989" max="9989" width="9.625" style="2967" customWidth="1"/>
    <col min="9990" max="9990" width="10.125" style="2967" customWidth="1"/>
    <col min="9991" max="9991" width="13" style="2967" customWidth="1"/>
    <col min="9992" max="9992" width="13.375" style="2967" customWidth="1"/>
    <col min="9993" max="10241" width="9" style="2967"/>
    <col min="10242" max="10243" width="10.625" style="2967" customWidth="1"/>
    <col min="10244" max="10244" width="12.625" style="2967" customWidth="1"/>
    <col min="10245" max="10245" width="9.625" style="2967" customWidth="1"/>
    <col min="10246" max="10246" width="10.125" style="2967" customWidth="1"/>
    <col min="10247" max="10247" width="13" style="2967" customWidth="1"/>
    <col min="10248" max="10248" width="13.375" style="2967" customWidth="1"/>
    <col min="10249" max="10497" width="9" style="2967"/>
    <col min="10498" max="10499" width="10.625" style="2967" customWidth="1"/>
    <col min="10500" max="10500" width="12.625" style="2967" customWidth="1"/>
    <col min="10501" max="10501" width="9.625" style="2967" customWidth="1"/>
    <col min="10502" max="10502" width="10.125" style="2967" customWidth="1"/>
    <col min="10503" max="10503" width="13" style="2967" customWidth="1"/>
    <col min="10504" max="10504" width="13.375" style="2967" customWidth="1"/>
    <col min="10505" max="10753" width="9" style="2967"/>
    <col min="10754" max="10755" width="10.625" style="2967" customWidth="1"/>
    <col min="10756" max="10756" width="12.625" style="2967" customWidth="1"/>
    <col min="10757" max="10757" width="9.625" style="2967" customWidth="1"/>
    <col min="10758" max="10758" width="10.125" style="2967" customWidth="1"/>
    <col min="10759" max="10759" width="13" style="2967" customWidth="1"/>
    <col min="10760" max="10760" width="13.375" style="2967" customWidth="1"/>
    <col min="10761" max="11009" width="9" style="2967"/>
    <col min="11010" max="11011" width="10.625" style="2967" customWidth="1"/>
    <col min="11012" max="11012" width="12.625" style="2967" customWidth="1"/>
    <col min="11013" max="11013" width="9.625" style="2967" customWidth="1"/>
    <col min="11014" max="11014" width="10.125" style="2967" customWidth="1"/>
    <col min="11015" max="11015" width="13" style="2967" customWidth="1"/>
    <col min="11016" max="11016" width="13.375" style="2967" customWidth="1"/>
    <col min="11017" max="11265" width="9" style="2967"/>
    <col min="11266" max="11267" width="10.625" style="2967" customWidth="1"/>
    <col min="11268" max="11268" width="12.625" style="2967" customWidth="1"/>
    <col min="11269" max="11269" width="9.625" style="2967" customWidth="1"/>
    <col min="11270" max="11270" width="10.125" style="2967" customWidth="1"/>
    <col min="11271" max="11271" width="13" style="2967" customWidth="1"/>
    <col min="11272" max="11272" width="13.375" style="2967" customWidth="1"/>
    <col min="11273" max="11521" width="9" style="2967"/>
    <col min="11522" max="11523" width="10.625" style="2967" customWidth="1"/>
    <col min="11524" max="11524" width="12.625" style="2967" customWidth="1"/>
    <col min="11525" max="11525" width="9.625" style="2967" customWidth="1"/>
    <col min="11526" max="11526" width="10.125" style="2967" customWidth="1"/>
    <col min="11527" max="11527" width="13" style="2967" customWidth="1"/>
    <col min="11528" max="11528" width="13.375" style="2967" customWidth="1"/>
    <col min="11529" max="11777" width="9" style="2967"/>
    <col min="11778" max="11779" width="10.625" style="2967" customWidth="1"/>
    <col min="11780" max="11780" width="12.625" style="2967" customWidth="1"/>
    <col min="11781" max="11781" width="9.625" style="2967" customWidth="1"/>
    <col min="11782" max="11782" width="10.125" style="2967" customWidth="1"/>
    <col min="11783" max="11783" width="13" style="2967" customWidth="1"/>
    <col min="11784" max="11784" width="13.375" style="2967" customWidth="1"/>
    <col min="11785" max="12033" width="9" style="2967"/>
    <col min="12034" max="12035" width="10.625" style="2967" customWidth="1"/>
    <col min="12036" max="12036" width="12.625" style="2967" customWidth="1"/>
    <col min="12037" max="12037" width="9.625" style="2967" customWidth="1"/>
    <col min="12038" max="12038" width="10.125" style="2967" customWidth="1"/>
    <col min="12039" max="12039" width="13" style="2967" customWidth="1"/>
    <col min="12040" max="12040" width="13.375" style="2967" customWidth="1"/>
    <col min="12041" max="12289" width="9" style="2967"/>
    <col min="12290" max="12291" width="10.625" style="2967" customWidth="1"/>
    <col min="12292" max="12292" width="12.625" style="2967" customWidth="1"/>
    <col min="12293" max="12293" width="9.625" style="2967" customWidth="1"/>
    <col min="12294" max="12294" width="10.125" style="2967" customWidth="1"/>
    <col min="12295" max="12295" width="13" style="2967" customWidth="1"/>
    <col min="12296" max="12296" width="13.375" style="2967" customWidth="1"/>
    <col min="12297" max="12545" width="9" style="2967"/>
    <col min="12546" max="12547" width="10.625" style="2967" customWidth="1"/>
    <col min="12548" max="12548" width="12.625" style="2967" customWidth="1"/>
    <col min="12549" max="12549" width="9.625" style="2967" customWidth="1"/>
    <col min="12550" max="12550" width="10.125" style="2967" customWidth="1"/>
    <col min="12551" max="12551" width="13" style="2967" customWidth="1"/>
    <col min="12552" max="12552" width="13.375" style="2967" customWidth="1"/>
    <col min="12553" max="12801" width="9" style="2967"/>
    <col min="12802" max="12803" width="10.625" style="2967" customWidth="1"/>
    <col min="12804" max="12804" width="12.625" style="2967" customWidth="1"/>
    <col min="12805" max="12805" width="9.625" style="2967" customWidth="1"/>
    <col min="12806" max="12806" width="10.125" style="2967" customWidth="1"/>
    <col min="12807" max="12807" width="13" style="2967" customWidth="1"/>
    <col min="12808" max="12808" width="13.375" style="2967" customWidth="1"/>
    <col min="12809" max="13057" width="9" style="2967"/>
    <col min="13058" max="13059" width="10.625" style="2967" customWidth="1"/>
    <col min="13060" max="13060" width="12.625" style="2967" customWidth="1"/>
    <col min="13061" max="13061" width="9.625" style="2967" customWidth="1"/>
    <col min="13062" max="13062" width="10.125" style="2967" customWidth="1"/>
    <col min="13063" max="13063" width="13" style="2967" customWidth="1"/>
    <col min="13064" max="13064" width="13.375" style="2967" customWidth="1"/>
    <col min="13065" max="13313" width="9" style="2967"/>
    <col min="13314" max="13315" width="10.625" style="2967" customWidth="1"/>
    <col min="13316" max="13316" width="12.625" style="2967" customWidth="1"/>
    <col min="13317" max="13317" width="9.625" style="2967" customWidth="1"/>
    <col min="13318" max="13318" width="10.125" style="2967" customWidth="1"/>
    <col min="13319" max="13319" width="13" style="2967" customWidth="1"/>
    <col min="13320" max="13320" width="13.375" style="2967" customWidth="1"/>
    <col min="13321" max="13569" width="9" style="2967"/>
    <col min="13570" max="13571" width="10.625" style="2967" customWidth="1"/>
    <col min="13572" max="13572" width="12.625" style="2967" customWidth="1"/>
    <col min="13573" max="13573" width="9.625" style="2967" customWidth="1"/>
    <col min="13574" max="13574" width="10.125" style="2967" customWidth="1"/>
    <col min="13575" max="13575" width="13" style="2967" customWidth="1"/>
    <col min="13576" max="13576" width="13.375" style="2967" customWidth="1"/>
    <col min="13577" max="13825" width="9" style="2967"/>
    <col min="13826" max="13827" width="10.625" style="2967" customWidth="1"/>
    <col min="13828" max="13828" width="12.625" style="2967" customWidth="1"/>
    <col min="13829" max="13829" width="9.625" style="2967" customWidth="1"/>
    <col min="13830" max="13830" width="10.125" style="2967" customWidth="1"/>
    <col min="13831" max="13831" width="13" style="2967" customWidth="1"/>
    <col min="13832" max="13832" width="13.375" style="2967" customWidth="1"/>
    <col min="13833" max="14081" width="9" style="2967"/>
    <col min="14082" max="14083" width="10.625" style="2967" customWidth="1"/>
    <col min="14084" max="14084" width="12.625" style="2967" customWidth="1"/>
    <col min="14085" max="14085" width="9.625" style="2967" customWidth="1"/>
    <col min="14086" max="14086" width="10.125" style="2967" customWidth="1"/>
    <col min="14087" max="14087" width="13" style="2967" customWidth="1"/>
    <col min="14088" max="14088" width="13.375" style="2967" customWidth="1"/>
    <col min="14089" max="14337" width="9" style="2967"/>
    <col min="14338" max="14339" width="10.625" style="2967" customWidth="1"/>
    <col min="14340" max="14340" width="12.625" style="2967" customWidth="1"/>
    <col min="14341" max="14341" width="9.625" style="2967" customWidth="1"/>
    <col min="14342" max="14342" width="10.125" style="2967" customWidth="1"/>
    <col min="14343" max="14343" width="13" style="2967" customWidth="1"/>
    <col min="14344" max="14344" width="13.375" style="2967" customWidth="1"/>
    <col min="14345" max="14593" width="9" style="2967"/>
    <col min="14594" max="14595" width="10.625" style="2967" customWidth="1"/>
    <col min="14596" max="14596" width="12.625" style="2967" customWidth="1"/>
    <col min="14597" max="14597" width="9.625" style="2967" customWidth="1"/>
    <col min="14598" max="14598" width="10.125" style="2967" customWidth="1"/>
    <col min="14599" max="14599" width="13" style="2967" customWidth="1"/>
    <col min="14600" max="14600" width="13.375" style="2967" customWidth="1"/>
    <col min="14601" max="14849" width="9" style="2967"/>
    <col min="14850" max="14851" width="10.625" style="2967" customWidth="1"/>
    <col min="14852" max="14852" width="12.625" style="2967" customWidth="1"/>
    <col min="14853" max="14853" width="9.625" style="2967" customWidth="1"/>
    <col min="14854" max="14854" width="10.125" style="2967" customWidth="1"/>
    <col min="14855" max="14855" width="13" style="2967" customWidth="1"/>
    <col min="14856" max="14856" width="13.375" style="2967" customWidth="1"/>
    <col min="14857" max="15105" width="9" style="2967"/>
    <col min="15106" max="15107" width="10.625" style="2967" customWidth="1"/>
    <col min="15108" max="15108" width="12.625" style="2967" customWidth="1"/>
    <col min="15109" max="15109" width="9.625" style="2967" customWidth="1"/>
    <col min="15110" max="15110" width="10.125" style="2967" customWidth="1"/>
    <col min="15111" max="15111" width="13" style="2967" customWidth="1"/>
    <col min="15112" max="15112" width="13.375" style="2967" customWidth="1"/>
    <col min="15113" max="15361" width="9" style="2967"/>
    <col min="15362" max="15363" width="10.625" style="2967" customWidth="1"/>
    <col min="15364" max="15364" width="12.625" style="2967" customWidth="1"/>
    <col min="15365" max="15365" width="9.625" style="2967" customWidth="1"/>
    <col min="15366" max="15366" width="10.125" style="2967" customWidth="1"/>
    <col min="15367" max="15367" width="13" style="2967" customWidth="1"/>
    <col min="15368" max="15368" width="13.375" style="2967" customWidth="1"/>
    <col min="15369" max="15617" width="9" style="2967"/>
    <col min="15618" max="15619" width="10.625" style="2967" customWidth="1"/>
    <col min="15620" max="15620" width="12.625" style="2967" customWidth="1"/>
    <col min="15621" max="15621" width="9.625" style="2967" customWidth="1"/>
    <col min="15622" max="15622" width="10.125" style="2967" customWidth="1"/>
    <col min="15623" max="15623" width="13" style="2967" customWidth="1"/>
    <col min="15624" max="15624" width="13.375" style="2967" customWidth="1"/>
    <col min="15625" max="15873" width="9" style="2967"/>
    <col min="15874" max="15875" width="10.625" style="2967" customWidth="1"/>
    <col min="15876" max="15876" width="12.625" style="2967" customWidth="1"/>
    <col min="15877" max="15877" width="9.625" style="2967" customWidth="1"/>
    <col min="15878" max="15878" width="10.125" style="2967" customWidth="1"/>
    <col min="15879" max="15879" width="13" style="2967" customWidth="1"/>
    <col min="15880" max="15880" width="13.375" style="2967" customWidth="1"/>
    <col min="15881" max="16129" width="9" style="2967"/>
    <col min="16130" max="16131" width="10.625" style="2967" customWidth="1"/>
    <col min="16132" max="16132" width="12.625" style="2967" customWidth="1"/>
    <col min="16133" max="16133" width="9.625" style="2967" customWidth="1"/>
    <col min="16134" max="16134" width="10.125" style="2967" customWidth="1"/>
    <col min="16135" max="16135" width="13" style="2967" customWidth="1"/>
    <col min="16136" max="16136" width="13.375" style="2967" customWidth="1"/>
    <col min="16137" max="16384" width="9" style="2967"/>
  </cols>
  <sheetData>
    <row r="1" spans="1:9" s="2966" customFormat="1" ht="23.25" customHeight="1">
      <c r="A1" s="3414"/>
      <c r="B1" s="3143" t="s">
        <v>4107</v>
      </c>
      <c r="C1" s="3143"/>
      <c r="D1" s="3143"/>
      <c r="E1" s="3143"/>
      <c r="F1" s="3143"/>
      <c r="G1" s="3143"/>
      <c r="H1" s="3143"/>
      <c r="I1" s="2970"/>
    </row>
    <row r="2" spans="1:9" ht="30" customHeight="1">
      <c r="A2" s="3414"/>
      <c r="B2" s="3144" t="s">
        <v>3053</v>
      </c>
      <c r="C2" s="3144"/>
      <c r="D2" s="3144"/>
      <c r="E2" s="3144"/>
      <c r="F2" s="3144"/>
      <c r="G2" s="3144"/>
      <c r="H2" s="2973" t="s">
        <v>3054</v>
      </c>
      <c r="I2" s="2968"/>
    </row>
    <row r="3" spans="1:9" ht="42" customHeight="1">
      <c r="A3" s="3415" t="s">
        <v>4106</v>
      </c>
      <c r="B3" s="2971" t="s">
        <v>3055</v>
      </c>
      <c r="C3" s="2972" t="s">
        <v>3056</v>
      </c>
      <c r="D3" s="2972" t="s">
        <v>3057</v>
      </c>
      <c r="E3" s="2972" t="s">
        <v>3058</v>
      </c>
      <c r="F3" s="2972" t="s">
        <v>3059</v>
      </c>
      <c r="G3" s="2971" t="s">
        <v>3060</v>
      </c>
      <c r="H3" s="2973" t="s">
        <v>3061</v>
      </c>
      <c r="I3" s="3002" t="s">
        <v>3308</v>
      </c>
    </row>
    <row r="4" spans="1:9" ht="20.100000000000001" customHeight="1">
      <c r="A4" s="2968">
        <v>1</v>
      </c>
      <c r="B4" s="3412" t="s">
        <v>3946</v>
      </c>
      <c r="C4" s="2974">
        <v>13.48</v>
      </c>
      <c r="D4" s="2975">
        <v>13.48</v>
      </c>
      <c r="E4" s="2975">
        <v>0</v>
      </c>
      <c r="F4" s="2975">
        <v>0</v>
      </c>
      <c r="G4" s="2975" t="s">
        <v>3062</v>
      </c>
      <c r="H4" s="2975"/>
      <c r="I4" s="3001">
        <f>C4</f>
        <v>13.48</v>
      </c>
    </row>
    <row r="5" spans="1:9" ht="20.100000000000001" customHeight="1">
      <c r="A5" s="2968">
        <v>2</v>
      </c>
      <c r="B5" s="3412" t="s">
        <v>3947</v>
      </c>
      <c r="C5" s="2974">
        <v>13.48</v>
      </c>
      <c r="D5" s="2975">
        <v>13.48</v>
      </c>
      <c r="E5" s="2975">
        <v>0</v>
      </c>
      <c r="F5" s="2975">
        <v>0</v>
      </c>
      <c r="G5" s="2975" t="s">
        <v>3062</v>
      </c>
      <c r="H5" s="2975"/>
      <c r="I5" s="3001">
        <f t="shared" ref="I5:I68" si="0">C5</f>
        <v>13.48</v>
      </c>
    </row>
    <row r="6" spans="1:9" ht="20.100000000000001" customHeight="1">
      <c r="A6" s="2968">
        <v>3</v>
      </c>
      <c r="B6" s="3412" t="s">
        <v>3948</v>
      </c>
      <c r="C6" s="2974">
        <v>13.48</v>
      </c>
      <c r="D6" s="2975">
        <v>13.48</v>
      </c>
      <c r="E6" s="2975">
        <v>0</v>
      </c>
      <c r="F6" s="2975">
        <v>0</v>
      </c>
      <c r="G6" s="2975" t="s">
        <v>3062</v>
      </c>
      <c r="H6" s="2975"/>
      <c r="I6" s="3001">
        <f t="shared" si="0"/>
        <v>13.48</v>
      </c>
    </row>
    <row r="7" spans="1:9" ht="20.100000000000001" customHeight="1">
      <c r="A7" s="2968">
        <v>4</v>
      </c>
      <c r="B7" s="3412" t="s">
        <v>3949</v>
      </c>
      <c r="C7" s="2974">
        <v>13.72</v>
      </c>
      <c r="D7" s="2975">
        <v>13.72</v>
      </c>
      <c r="E7" s="2975">
        <v>0</v>
      </c>
      <c r="F7" s="2975">
        <v>0</v>
      </c>
      <c r="G7" s="2975" t="s">
        <v>3062</v>
      </c>
      <c r="H7" s="2975"/>
      <c r="I7" s="3001">
        <f t="shared" si="0"/>
        <v>13.72</v>
      </c>
    </row>
    <row r="8" spans="1:9" ht="20.100000000000001" customHeight="1">
      <c r="A8" s="2968">
        <v>5</v>
      </c>
      <c r="B8" s="3412" t="s">
        <v>3950</v>
      </c>
      <c r="C8" s="2974">
        <v>13.72</v>
      </c>
      <c r="D8" s="2975">
        <v>13.72</v>
      </c>
      <c r="E8" s="2975">
        <v>0</v>
      </c>
      <c r="F8" s="2975">
        <v>0</v>
      </c>
      <c r="G8" s="2975" t="s">
        <v>3062</v>
      </c>
      <c r="H8" s="2975"/>
      <c r="I8" s="3001">
        <f t="shared" si="0"/>
        <v>13.72</v>
      </c>
    </row>
    <row r="9" spans="1:9" ht="20.100000000000001" customHeight="1">
      <c r="A9" s="2968">
        <v>6</v>
      </c>
      <c r="B9" s="3412" t="s">
        <v>3951</v>
      </c>
      <c r="C9" s="2974">
        <v>13.72</v>
      </c>
      <c r="D9" s="2975">
        <v>13.72</v>
      </c>
      <c r="E9" s="2975">
        <v>0</v>
      </c>
      <c r="F9" s="2975">
        <v>0</v>
      </c>
      <c r="G9" s="2975" t="s">
        <v>3062</v>
      </c>
      <c r="H9" s="2975"/>
      <c r="I9" s="3001">
        <f t="shared" si="0"/>
        <v>13.72</v>
      </c>
    </row>
    <row r="10" spans="1:9" ht="20.100000000000001" customHeight="1">
      <c r="A10" s="2968">
        <v>7</v>
      </c>
      <c r="B10" s="3412" t="s">
        <v>3952</v>
      </c>
      <c r="C10" s="2974">
        <v>13.72</v>
      </c>
      <c r="D10" s="2975">
        <v>13.72</v>
      </c>
      <c r="E10" s="2975">
        <v>0</v>
      </c>
      <c r="F10" s="2975">
        <v>0</v>
      </c>
      <c r="G10" s="2975" t="s">
        <v>3062</v>
      </c>
      <c r="H10" s="2975"/>
      <c r="I10" s="3001">
        <f t="shared" si="0"/>
        <v>13.72</v>
      </c>
    </row>
    <row r="11" spans="1:9" ht="20.100000000000001" customHeight="1">
      <c r="A11" s="2968">
        <v>8</v>
      </c>
      <c r="B11" s="3412" t="s">
        <v>3953</v>
      </c>
      <c r="C11" s="2974">
        <v>13.84</v>
      </c>
      <c r="D11" s="2975">
        <v>13.84</v>
      </c>
      <c r="E11" s="2975">
        <v>0</v>
      </c>
      <c r="F11" s="2975">
        <v>0</v>
      </c>
      <c r="G11" s="2975" t="s">
        <v>3062</v>
      </c>
      <c r="H11" s="2975"/>
      <c r="I11" s="3001">
        <f t="shared" si="0"/>
        <v>13.84</v>
      </c>
    </row>
    <row r="12" spans="1:9" ht="20.100000000000001" customHeight="1">
      <c r="A12" s="2968">
        <v>9</v>
      </c>
      <c r="B12" s="3412" t="s">
        <v>3954</v>
      </c>
      <c r="C12" s="2974">
        <v>13.84</v>
      </c>
      <c r="D12" s="2975">
        <v>13.84</v>
      </c>
      <c r="E12" s="2975">
        <v>0</v>
      </c>
      <c r="F12" s="2975">
        <v>0</v>
      </c>
      <c r="G12" s="2975" t="s">
        <v>3062</v>
      </c>
      <c r="H12" s="2975"/>
      <c r="I12" s="3001">
        <f t="shared" si="0"/>
        <v>13.84</v>
      </c>
    </row>
    <row r="13" spans="1:9" ht="20.100000000000001" customHeight="1">
      <c r="A13" s="2968">
        <v>10</v>
      </c>
      <c r="B13" s="3412" t="s">
        <v>3955</v>
      </c>
      <c r="C13" s="2974">
        <v>13.84</v>
      </c>
      <c r="D13" s="2975">
        <v>13.84</v>
      </c>
      <c r="E13" s="2975">
        <v>0</v>
      </c>
      <c r="F13" s="2975">
        <v>0</v>
      </c>
      <c r="G13" s="2975" t="s">
        <v>3062</v>
      </c>
      <c r="H13" s="2975"/>
      <c r="I13" s="3001">
        <f t="shared" si="0"/>
        <v>13.84</v>
      </c>
    </row>
    <row r="14" spans="1:9" ht="20.100000000000001" customHeight="1">
      <c r="A14" s="2968">
        <v>11</v>
      </c>
      <c r="B14" s="3412" t="s">
        <v>3956</v>
      </c>
      <c r="C14" s="2974">
        <v>13.84</v>
      </c>
      <c r="D14" s="2975">
        <v>13.84</v>
      </c>
      <c r="E14" s="2975">
        <v>0</v>
      </c>
      <c r="F14" s="2975">
        <v>0</v>
      </c>
      <c r="G14" s="2975" t="s">
        <v>3062</v>
      </c>
      <c r="H14" s="2975"/>
      <c r="I14" s="3001">
        <f t="shared" si="0"/>
        <v>13.84</v>
      </c>
    </row>
    <row r="15" spans="1:9" ht="20.100000000000001" customHeight="1">
      <c r="A15" s="2968">
        <v>12</v>
      </c>
      <c r="B15" s="3412" t="s">
        <v>3957</v>
      </c>
      <c r="C15" s="2974">
        <v>13.84</v>
      </c>
      <c r="D15" s="2975">
        <v>13.84</v>
      </c>
      <c r="E15" s="2975">
        <v>0</v>
      </c>
      <c r="F15" s="2975">
        <v>0</v>
      </c>
      <c r="G15" s="2975" t="s">
        <v>3062</v>
      </c>
      <c r="H15" s="2975"/>
      <c r="I15" s="3001">
        <f t="shared" si="0"/>
        <v>13.84</v>
      </c>
    </row>
    <row r="16" spans="1:9" ht="20.100000000000001" customHeight="1">
      <c r="A16" s="2968">
        <v>13</v>
      </c>
      <c r="B16" s="3412" t="s">
        <v>3958</v>
      </c>
      <c r="C16" s="2974">
        <v>13.77</v>
      </c>
      <c r="D16" s="2975">
        <v>13.77</v>
      </c>
      <c r="E16" s="2975">
        <v>0</v>
      </c>
      <c r="F16" s="2975">
        <v>0</v>
      </c>
      <c r="G16" s="2975" t="s">
        <v>3062</v>
      </c>
      <c r="H16" s="2975"/>
      <c r="I16" s="3001">
        <f t="shared" si="0"/>
        <v>13.77</v>
      </c>
    </row>
    <row r="17" spans="1:9" ht="20.100000000000001" customHeight="1">
      <c r="A17" s="2968">
        <v>14</v>
      </c>
      <c r="B17" s="3412" t="s">
        <v>3959</v>
      </c>
      <c r="C17" s="2974">
        <v>13.77</v>
      </c>
      <c r="D17" s="2975">
        <v>13.77</v>
      </c>
      <c r="E17" s="2975">
        <v>0</v>
      </c>
      <c r="F17" s="2975">
        <v>0</v>
      </c>
      <c r="G17" s="2975" t="s">
        <v>3062</v>
      </c>
      <c r="H17" s="2975"/>
      <c r="I17" s="3001">
        <f t="shared" si="0"/>
        <v>13.77</v>
      </c>
    </row>
    <row r="18" spans="1:9" ht="20.100000000000001" customHeight="1">
      <c r="A18" s="2968">
        <v>15</v>
      </c>
      <c r="B18" s="3412" t="s">
        <v>3960</v>
      </c>
      <c r="C18" s="2974">
        <v>13.67</v>
      </c>
      <c r="D18" s="2975">
        <v>13.67</v>
      </c>
      <c r="E18" s="2975">
        <v>0</v>
      </c>
      <c r="F18" s="2975">
        <v>0</v>
      </c>
      <c r="G18" s="2975" t="s">
        <v>3062</v>
      </c>
      <c r="H18" s="2975"/>
      <c r="I18" s="3001">
        <f t="shared" si="0"/>
        <v>13.67</v>
      </c>
    </row>
    <row r="19" spans="1:9" ht="20.100000000000001" customHeight="1">
      <c r="A19" s="2968">
        <v>16</v>
      </c>
      <c r="B19" s="3412" t="s">
        <v>3961</v>
      </c>
      <c r="C19" s="2974">
        <v>13.67</v>
      </c>
      <c r="D19" s="2975">
        <v>13.67</v>
      </c>
      <c r="E19" s="2975">
        <v>0</v>
      </c>
      <c r="F19" s="2975">
        <v>0</v>
      </c>
      <c r="G19" s="2975" t="s">
        <v>3062</v>
      </c>
      <c r="H19" s="2975"/>
      <c r="I19" s="3001">
        <f t="shared" si="0"/>
        <v>13.67</v>
      </c>
    </row>
    <row r="20" spans="1:9" ht="20.100000000000001" customHeight="1">
      <c r="A20" s="2968">
        <v>17</v>
      </c>
      <c r="B20" s="3412" t="s">
        <v>3962</v>
      </c>
      <c r="C20" s="2974">
        <v>13.84</v>
      </c>
      <c r="D20" s="2975">
        <v>13.84</v>
      </c>
      <c r="E20" s="2975">
        <v>0</v>
      </c>
      <c r="F20" s="2975">
        <v>0</v>
      </c>
      <c r="G20" s="2975" t="s">
        <v>3062</v>
      </c>
      <c r="H20" s="2975"/>
      <c r="I20" s="3001">
        <f t="shared" si="0"/>
        <v>13.84</v>
      </c>
    </row>
    <row r="21" spans="1:9" ht="20.100000000000001" customHeight="1">
      <c r="A21" s="2968">
        <v>18</v>
      </c>
      <c r="B21" s="3412" t="s">
        <v>3963</v>
      </c>
      <c r="C21" s="2974">
        <v>13.67</v>
      </c>
      <c r="D21" s="2975">
        <v>13.67</v>
      </c>
      <c r="E21" s="2975">
        <v>0</v>
      </c>
      <c r="F21" s="2975">
        <v>0</v>
      </c>
      <c r="G21" s="2975" t="s">
        <v>3062</v>
      </c>
      <c r="H21" s="2975"/>
      <c r="I21" s="3001">
        <f t="shared" si="0"/>
        <v>13.67</v>
      </c>
    </row>
    <row r="22" spans="1:9" ht="20.100000000000001" customHeight="1">
      <c r="A22" s="2968">
        <v>19</v>
      </c>
      <c r="B22" s="3412" t="s">
        <v>3964</v>
      </c>
      <c r="C22" s="2974">
        <v>13.67</v>
      </c>
      <c r="D22" s="2975">
        <v>13.67</v>
      </c>
      <c r="E22" s="2975">
        <v>0</v>
      </c>
      <c r="F22" s="2975">
        <v>0</v>
      </c>
      <c r="G22" s="2975" t="s">
        <v>3062</v>
      </c>
      <c r="H22" s="2975"/>
      <c r="I22" s="3001">
        <f t="shared" si="0"/>
        <v>13.67</v>
      </c>
    </row>
    <row r="23" spans="1:9" ht="20.100000000000001" customHeight="1">
      <c r="A23" s="2968">
        <v>20</v>
      </c>
      <c r="B23" s="3412" t="s">
        <v>3965</v>
      </c>
      <c r="C23" s="2974">
        <v>13.84</v>
      </c>
      <c r="D23" s="2975">
        <v>13.84</v>
      </c>
      <c r="E23" s="2975">
        <v>0</v>
      </c>
      <c r="F23" s="2975">
        <v>0</v>
      </c>
      <c r="G23" s="2975" t="s">
        <v>3062</v>
      </c>
      <c r="H23" s="2975"/>
      <c r="I23" s="3001">
        <f t="shared" si="0"/>
        <v>13.84</v>
      </c>
    </row>
    <row r="24" spans="1:9" ht="20.100000000000001" customHeight="1">
      <c r="A24" s="2968">
        <v>21</v>
      </c>
      <c r="B24" s="3412" t="s">
        <v>3966</v>
      </c>
      <c r="C24" s="2974">
        <v>13.67</v>
      </c>
      <c r="D24" s="2975">
        <v>13.67</v>
      </c>
      <c r="E24" s="2975">
        <v>0</v>
      </c>
      <c r="F24" s="2975">
        <v>0</v>
      </c>
      <c r="G24" s="2975" t="s">
        <v>3062</v>
      </c>
      <c r="H24" s="2975"/>
      <c r="I24" s="3001">
        <f t="shared" si="0"/>
        <v>13.67</v>
      </c>
    </row>
    <row r="25" spans="1:9" ht="20.100000000000001" customHeight="1">
      <c r="A25" s="2968">
        <v>22</v>
      </c>
      <c r="B25" s="3412" t="s">
        <v>3967</v>
      </c>
      <c r="C25" s="2974">
        <v>13.6</v>
      </c>
      <c r="D25" s="2975">
        <v>13.6</v>
      </c>
      <c r="E25" s="2975">
        <v>0</v>
      </c>
      <c r="F25" s="2975">
        <v>0</v>
      </c>
      <c r="G25" s="2975" t="s">
        <v>3062</v>
      </c>
      <c r="H25" s="2975"/>
      <c r="I25" s="3001">
        <f t="shared" si="0"/>
        <v>13.6</v>
      </c>
    </row>
    <row r="26" spans="1:9" ht="20.100000000000001" customHeight="1">
      <c r="A26" s="2968">
        <v>23</v>
      </c>
      <c r="B26" s="3412" t="s">
        <v>3968</v>
      </c>
      <c r="C26" s="2974">
        <v>13.6</v>
      </c>
      <c r="D26" s="2975">
        <v>13.6</v>
      </c>
      <c r="E26" s="2975">
        <v>0</v>
      </c>
      <c r="F26" s="2975">
        <v>0</v>
      </c>
      <c r="G26" s="2975" t="s">
        <v>3062</v>
      </c>
      <c r="H26" s="2975"/>
      <c r="I26" s="3001">
        <f t="shared" si="0"/>
        <v>13.6</v>
      </c>
    </row>
    <row r="27" spans="1:9" ht="20.100000000000001" customHeight="1">
      <c r="A27" s="2968">
        <v>24</v>
      </c>
      <c r="B27" s="3412" t="s">
        <v>3969</v>
      </c>
      <c r="C27" s="2974">
        <v>13.48</v>
      </c>
      <c r="D27" s="2975">
        <v>13.48</v>
      </c>
      <c r="E27" s="2975">
        <v>0</v>
      </c>
      <c r="F27" s="2975">
        <v>0</v>
      </c>
      <c r="G27" s="2975" t="s">
        <v>3062</v>
      </c>
      <c r="H27" s="2975"/>
      <c r="I27" s="3001">
        <f t="shared" si="0"/>
        <v>13.48</v>
      </c>
    </row>
    <row r="28" spans="1:9" ht="20.100000000000001" customHeight="1">
      <c r="A28" s="2968">
        <v>25</v>
      </c>
      <c r="B28" s="3412" t="s">
        <v>3970</v>
      </c>
      <c r="C28" s="2974">
        <v>13.48</v>
      </c>
      <c r="D28" s="2975">
        <v>13.48</v>
      </c>
      <c r="E28" s="2975">
        <v>0</v>
      </c>
      <c r="F28" s="2975">
        <v>0</v>
      </c>
      <c r="G28" s="2975" t="s">
        <v>3062</v>
      </c>
      <c r="H28" s="2975"/>
      <c r="I28" s="3001">
        <f t="shared" si="0"/>
        <v>13.48</v>
      </c>
    </row>
    <row r="29" spans="1:9" ht="20.100000000000001" customHeight="1">
      <c r="A29" s="2968">
        <v>26</v>
      </c>
      <c r="B29" s="3412" t="s">
        <v>3971</v>
      </c>
      <c r="C29" s="2974">
        <v>13.48</v>
      </c>
      <c r="D29" s="2975">
        <v>13.48</v>
      </c>
      <c r="E29" s="2975">
        <v>0</v>
      </c>
      <c r="F29" s="2975">
        <v>0</v>
      </c>
      <c r="G29" s="2975" t="s">
        <v>3062</v>
      </c>
      <c r="H29" s="2975"/>
      <c r="I29" s="3001">
        <f t="shared" si="0"/>
        <v>13.48</v>
      </c>
    </row>
    <row r="30" spans="1:9" ht="20.100000000000001" customHeight="1">
      <c r="A30" s="2968">
        <v>27</v>
      </c>
      <c r="B30" s="3412" t="s">
        <v>3972</v>
      </c>
      <c r="C30" s="2974">
        <v>13.48</v>
      </c>
      <c r="D30" s="2975">
        <v>13.48</v>
      </c>
      <c r="E30" s="2975">
        <v>0</v>
      </c>
      <c r="F30" s="2975">
        <v>0</v>
      </c>
      <c r="G30" s="2975" t="s">
        <v>3062</v>
      </c>
      <c r="H30" s="2975"/>
      <c r="I30" s="3001">
        <f t="shared" si="0"/>
        <v>13.48</v>
      </c>
    </row>
    <row r="31" spans="1:9" ht="20.100000000000001" customHeight="1">
      <c r="A31" s="2968">
        <v>28</v>
      </c>
      <c r="B31" s="3412" t="s">
        <v>3973</v>
      </c>
      <c r="C31" s="2974">
        <v>13.48</v>
      </c>
      <c r="D31" s="2975">
        <v>13.48</v>
      </c>
      <c r="E31" s="2975">
        <v>0</v>
      </c>
      <c r="F31" s="2975">
        <v>0</v>
      </c>
      <c r="G31" s="2975" t="s">
        <v>3062</v>
      </c>
      <c r="H31" s="2975"/>
      <c r="I31" s="3001">
        <f t="shared" si="0"/>
        <v>13.48</v>
      </c>
    </row>
    <row r="32" spans="1:9" ht="20.100000000000001" customHeight="1">
      <c r="A32" s="2968">
        <v>29</v>
      </c>
      <c r="B32" s="3412" t="s">
        <v>3974</v>
      </c>
      <c r="C32" s="2974">
        <v>13.48</v>
      </c>
      <c r="D32" s="2975">
        <v>13.48</v>
      </c>
      <c r="E32" s="2975">
        <v>0</v>
      </c>
      <c r="F32" s="2975">
        <v>0</v>
      </c>
      <c r="G32" s="2975" t="s">
        <v>3062</v>
      </c>
      <c r="H32" s="2975"/>
      <c r="I32" s="3001">
        <f t="shared" si="0"/>
        <v>13.48</v>
      </c>
    </row>
    <row r="33" spans="1:9" ht="20.100000000000001" customHeight="1">
      <c r="A33" s="2968">
        <v>30</v>
      </c>
      <c r="B33" s="3412" t="s">
        <v>3975</v>
      </c>
      <c r="C33" s="2974">
        <v>13.75</v>
      </c>
      <c r="D33" s="2975">
        <v>13.75</v>
      </c>
      <c r="E33" s="2975">
        <v>0</v>
      </c>
      <c r="F33" s="2975">
        <v>0</v>
      </c>
      <c r="G33" s="2975" t="s">
        <v>3062</v>
      </c>
      <c r="H33" s="2975"/>
      <c r="I33" s="3001">
        <f t="shared" si="0"/>
        <v>13.75</v>
      </c>
    </row>
    <row r="34" spans="1:9" ht="20.100000000000001" customHeight="1">
      <c r="A34" s="2968">
        <v>31</v>
      </c>
      <c r="B34" s="3412" t="s">
        <v>3976</v>
      </c>
      <c r="C34" s="2974">
        <v>13.48</v>
      </c>
      <c r="D34" s="2975">
        <v>13.48</v>
      </c>
      <c r="E34" s="2975">
        <v>0</v>
      </c>
      <c r="F34" s="2975">
        <v>0</v>
      </c>
      <c r="G34" s="2975" t="s">
        <v>3062</v>
      </c>
      <c r="H34" s="2975"/>
      <c r="I34" s="3001">
        <f t="shared" si="0"/>
        <v>13.48</v>
      </c>
    </row>
    <row r="35" spans="1:9" ht="20.100000000000001" customHeight="1">
      <c r="A35" s="2968">
        <v>32</v>
      </c>
      <c r="B35" s="3412" t="s">
        <v>3977</v>
      </c>
      <c r="C35" s="2974">
        <v>13.48</v>
      </c>
      <c r="D35" s="2975">
        <v>13.48</v>
      </c>
      <c r="E35" s="2975">
        <v>0</v>
      </c>
      <c r="F35" s="2975">
        <v>0</v>
      </c>
      <c r="G35" s="2975" t="s">
        <v>3062</v>
      </c>
      <c r="H35" s="2975"/>
      <c r="I35" s="3001">
        <f t="shared" si="0"/>
        <v>13.48</v>
      </c>
    </row>
    <row r="36" spans="1:9" ht="20.100000000000001" customHeight="1">
      <c r="A36" s="2968">
        <v>33</v>
      </c>
      <c r="B36" s="3412" t="s">
        <v>3978</v>
      </c>
      <c r="C36" s="2974">
        <v>13.48</v>
      </c>
      <c r="D36" s="2975">
        <v>13.48</v>
      </c>
      <c r="E36" s="2975">
        <v>0</v>
      </c>
      <c r="F36" s="2975">
        <v>0</v>
      </c>
      <c r="G36" s="2975" t="s">
        <v>3062</v>
      </c>
      <c r="H36" s="2975"/>
      <c r="I36" s="3001">
        <f t="shared" si="0"/>
        <v>13.48</v>
      </c>
    </row>
    <row r="37" spans="1:9" ht="20.100000000000001" customHeight="1">
      <c r="A37" s="2968">
        <v>34</v>
      </c>
      <c r="B37" s="3412" t="s">
        <v>3979</v>
      </c>
      <c r="C37" s="2974">
        <v>13.48</v>
      </c>
      <c r="D37" s="2975">
        <v>13.48</v>
      </c>
      <c r="E37" s="2975">
        <v>0</v>
      </c>
      <c r="F37" s="2975">
        <v>0</v>
      </c>
      <c r="G37" s="2975" t="s">
        <v>3062</v>
      </c>
      <c r="H37" s="2975"/>
      <c r="I37" s="3001">
        <f t="shared" si="0"/>
        <v>13.48</v>
      </c>
    </row>
    <row r="38" spans="1:9" ht="20.100000000000001" customHeight="1">
      <c r="A38" s="2968">
        <v>35</v>
      </c>
      <c r="B38" s="3412" t="s">
        <v>3980</v>
      </c>
      <c r="C38" s="2974">
        <v>13.48</v>
      </c>
      <c r="D38" s="2975">
        <v>13.48</v>
      </c>
      <c r="E38" s="2975">
        <v>0</v>
      </c>
      <c r="F38" s="2975">
        <v>0</v>
      </c>
      <c r="G38" s="2975" t="s">
        <v>3062</v>
      </c>
      <c r="H38" s="2975"/>
      <c r="I38" s="3001">
        <f t="shared" si="0"/>
        <v>13.48</v>
      </c>
    </row>
    <row r="39" spans="1:9" ht="20.100000000000001" customHeight="1">
      <c r="A39" s="2968">
        <v>36</v>
      </c>
      <c r="B39" s="3412" t="s">
        <v>3981</v>
      </c>
      <c r="C39" s="2974">
        <v>13.48</v>
      </c>
      <c r="D39" s="2975">
        <v>13.48</v>
      </c>
      <c r="E39" s="2975">
        <v>0</v>
      </c>
      <c r="F39" s="2975">
        <v>0</v>
      </c>
      <c r="G39" s="2975" t="s">
        <v>3062</v>
      </c>
      <c r="H39" s="2975"/>
      <c r="I39" s="3001">
        <f t="shared" si="0"/>
        <v>13.48</v>
      </c>
    </row>
    <row r="40" spans="1:9" ht="20.100000000000001" customHeight="1">
      <c r="A40" s="2968">
        <v>37</v>
      </c>
      <c r="B40" s="3412" t="s">
        <v>3982</v>
      </c>
      <c r="C40" s="2974">
        <v>13.48</v>
      </c>
      <c r="D40" s="2975">
        <v>13.48</v>
      </c>
      <c r="E40" s="2975">
        <v>0</v>
      </c>
      <c r="F40" s="2975">
        <v>0</v>
      </c>
      <c r="G40" s="2975" t="s">
        <v>3062</v>
      </c>
      <c r="H40" s="2975"/>
      <c r="I40" s="3001">
        <f t="shared" si="0"/>
        <v>13.48</v>
      </c>
    </row>
    <row r="41" spans="1:9" ht="20.100000000000001" customHeight="1">
      <c r="A41" s="2968">
        <v>38</v>
      </c>
      <c r="B41" s="3412" t="s">
        <v>3983</v>
      </c>
      <c r="C41" s="2974">
        <v>13.48</v>
      </c>
      <c r="D41" s="2975">
        <v>13.48</v>
      </c>
      <c r="E41" s="2975">
        <v>0</v>
      </c>
      <c r="F41" s="2975">
        <v>0</v>
      </c>
      <c r="G41" s="2975" t="s">
        <v>3062</v>
      </c>
      <c r="H41" s="2975"/>
      <c r="I41" s="3001">
        <f t="shared" si="0"/>
        <v>13.48</v>
      </c>
    </row>
    <row r="42" spans="1:9" ht="20.100000000000001" customHeight="1">
      <c r="A42" s="2968">
        <v>39</v>
      </c>
      <c r="B42" s="3412" t="s">
        <v>3984</v>
      </c>
      <c r="C42" s="2974">
        <v>13.48</v>
      </c>
      <c r="D42" s="2975">
        <v>13.48</v>
      </c>
      <c r="E42" s="2975">
        <v>0</v>
      </c>
      <c r="F42" s="2975">
        <v>0</v>
      </c>
      <c r="G42" s="2975" t="s">
        <v>3062</v>
      </c>
      <c r="H42" s="2975"/>
      <c r="I42" s="3001">
        <f t="shared" si="0"/>
        <v>13.48</v>
      </c>
    </row>
    <row r="43" spans="1:9" ht="20.100000000000001" customHeight="1">
      <c r="A43" s="2968">
        <v>40</v>
      </c>
      <c r="B43" s="3412" t="s">
        <v>3985</v>
      </c>
      <c r="C43" s="2974">
        <v>13.48</v>
      </c>
      <c r="D43" s="2975">
        <v>13.48</v>
      </c>
      <c r="E43" s="2975">
        <v>0</v>
      </c>
      <c r="F43" s="2975">
        <v>0</v>
      </c>
      <c r="G43" s="2975" t="s">
        <v>3062</v>
      </c>
      <c r="H43" s="2975"/>
      <c r="I43" s="3001">
        <f t="shared" si="0"/>
        <v>13.48</v>
      </c>
    </row>
    <row r="44" spans="1:9" ht="20.100000000000001" customHeight="1">
      <c r="A44" s="2968">
        <v>41</v>
      </c>
      <c r="B44" s="3412" t="s">
        <v>3986</v>
      </c>
      <c r="C44" s="2974">
        <v>13.48</v>
      </c>
      <c r="D44" s="2975">
        <v>13.48</v>
      </c>
      <c r="E44" s="2975">
        <v>0</v>
      </c>
      <c r="F44" s="2975">
        <v>0</v>
      </c>
      <c r="G44" s="2975" t="s">
        <v>3062</v>
      </c>
      <c r="H44" s="2975"/>
      <c r="I44" s="3001">
        <f t="shared" si="0"/>
        <v>13.48</v>
      </c>
    </row>
    <row r="45" spans="1:9" ht="20.100000000000001" customHeight="1">
      <c r="A45" s="2968">
        <v>42</v>
      </c>
      <c r="B45" s="3412" t="s">
        <v>3987</v>
      </c>
      <c r="C45" s="2974">
        <v>13.48</v>
      </c>
      <c r="D45" s="2975">
        <v>13.48</v>
      </c>
      <c r="E45" s="2975">
        <v>0</v>
      </c>
      <c r="F45" s="2975">
        <v>0</v>
      </c>
      <c r="G45" s="2975" t="s">
        <v>3062</v>
      </c>
      <c r="H45" s="2975"/>
      <c r="I45" s="3001">
        <f t="shared" si="0"/>
        <v>13.48</v>
      </c>
    </row>
    <row r="46" spans="1:9" ht="20.100000000000001" customHeight="1">
      <c r="A46" s="2968">
        <v>43</v>
      </c>
      <c r="B46" s="3412" t="s">
        <v>3988</v>
      </c>
      <c r="C46" s="2974">
        <v>13.48</v>
      </c>
      <c r="D46" s="2975">
        <v>13.48</v>
      </c>
      <c r="E46" s="2975">
        <v>0</v>
      </c>
      <c r="F46" s="2975">
        <v>0</v>
      </c>
      <c r="G46" s="2975" t="s">
        <v>3062</v>
      </c>
      <c r="H46" s="2975"/>
      <c r="I46" s="3001">
        <f t="shared" si="0"/>
        <v>13.48</v>
      </c>
    </row>
    <row r="47" spans="1:9" ht="20.100000000000001" customHeight="1">
      <c r="A47" s="2968">
        <v>44</v>
      </c>
      <c r="B47" s="3412" t="s">
        <v>3989</v>
      </c>
      <c r="C47" s="2974">
        <v>13.48</v>
      </c>
      <c r="D47" s="2975">
        <v>13.48</v>
      </c>
      <c r="E47" s="2975">
        <v>0</v>
      </c>
      <c r="F47" s="2975">
        <v>0</v>
      </c>
      <c r="G47" s="2975" t="s">
        <v>3062</v>
      </c>
      <c r="H47" s="2975"/>
      <c r="I47" s="3001">
        <f t="shared" si="0"/>
        <v>13.48</v>
      </c>
    </row>
    <row r="48" spans="1:9" ht="20.100000000000001" customHeight="1">
      <c r="A48" s="2968">
        <v>45</v>
      </c>
      <c r="B48" s="3412" t="s">
        <v>3990</v>
      </c>
      <c r="C48" s="2974">
        <v>13.48</v>
      </c>
      <c r="D48" s="2975">
        <v>13.48</v>
      </c>
      <c r="E48" s="2975">
        <v>0</v>
      </c>
      <c r="F48" s="2975">
        <v>0</v>
      </c>
      <c r="G48" s="2975" t="s">
        <v>3062</v>
      </c>
      <c r="H48" s="2975"/>
      <c r="I48" s="3001">
        <f t="shared" si="0"/>
        <v>13.48</v>
      </c>
    </row>
    <row r="49" spans="1:9" ht="20.100000000000001" customHeight="1">
      <c r="A49" s="2968">
        <v>46</v>
      </c>
      <c r="B49" s="3412" t="s">
        <v>3991</v>
      </c>
      <c r="C49" s="2974">
        <v>13.48</v>
      </c>
      <c r="D49" s="2975">
        <v>13.48</v>
      </c>
      <c r="E49" s="2975">
        <v>0</v>
      </c>
      <c r="F49" s="2975">
        <v>0</v>
      </c>
      <c r="G49" s="2975" t="s">
        <v>3062</v>
      </c>
      <c r="H49" s="2975"/>
      <c r="I49" s="3001">
        <f t="shared" si="0"/>
        <v>13.48</v>
      </c>
    </row>
    <row r="50" spans="1:9" ht="20.100000000000001" customHeight="1">
      <c r="A50" s="2968">
        <v>47</v>
      </c>
      <c r="B50" s="3412" t="s">
        <v>3992</v>
      </c>
      <c r="C50" s="2974">
        <v>13.75</v>
      </c>
      <c r="D50" s="2975">
        <v>13.75</v>
      </c>
      <c r="E50" s="2975">
        <v>0</v>
      </c>
      <c r="F50" s="2975">
        <v>0</v>
      </c>
      <c r="G50" s="2975" t="s">
        <v>3062</v>
      </c>
      <c r="H50" s="2975"/>
      <c r="I50" s="3001">
        <f t="shared" si="0"/>
        <v>13.75</v>
      </c>
    </row>
    <row r="51" spans="1:9" ht="20.100000000000001" customHeight="1">
      <c r="A51" s="2968">
        <v>48</v>
      </c>
      <c r="B51" s="3412" t="s">
        <v>3993</v>
      </c>
      <c r="C51" s="2974">
        <v>13.48</v>
      </c>
      <c r="D51" s="2975">
        <v>13.48</v>
      </c>
      <c r="E51" s="2975">
        <v>0</v>
      </c>
      <c r="F51" s="2975">
        <v>0</v>
      </c>
      <c r="G51" s="2975" t="s">
        <v>3062</v>
      </c>
      <c r="H51" s="2975"/>
      <c r="I51" s="3001">
        <f t="shared" si="0"/>
        <v>13.48</v>
      </c>
    </row>
    <row r="52" spans="1:9" ht="20.100000000000001" customHeight="1">
      <c r="A52" s="2968">
        <v>49</v>
      </c>
      <c r="B52" s="3412" t="s">
        <v>3994</v>
      </c>
      <c r="C52" s="2974">
        <v>13.48</v>
      </c>
      <c r="D52" s="2975">
        <v>13.48</v>
      </c>
      <c r="E52" s="2975">
        <v>0</v>
      </c>
      <c r="F52" s="2975">
        <v>0</v>
      </c>
      <c r="G52" s="2975" t="s">
        <v>3062</v>
      </c>
      <c r="H52" s="2975"/>
      <c r="I52" s="3001">
        <f t="shared" si="0"/>
        <v>13.48</v>
      </c>
    </row>
    <row r="53" spans="1:9" ht="20.100000000000001" customHeight="1">
      <c r="A53" s="2968">
        <v>50</v>
      </c>
      <c r="B53" s="3412" t="s">
        <v>3995</v>
      </c>
      <c r="C53" s="2974">
        <v>13.48</v>
      </c>
      <c r="D53" s="2975">
        <v>13.48</v>
      </c>
      <c r="E53" s="2975">
        <v>0</v>
      </c>
      <c r="F53" s="2975">
        <v>0</v>
      </c>
      <c r="G53" s="2975" t="s">
        <v>3062</v>
      </c>
      <c r="H53" s="2975"/>
      <c r="I53" s="3001">
        <f t="shared" si="0"/>
        <v>13.48</v>
      </c>
    </row>
    <row r="54" spans="1:9" ht="20.100000000000001" customHeight="1">
      <c r="A54" s="2968">
        <v>51</v>
      </c>
      <c r="B54" s="3412" t="s">
        <v>3996</v>
      </c>
      <c r="C54" s="2974">
        <v>13.48</v>
      </c>
      <c r="D54" s="2975">
        <v>13.48</v>
      </c>
      <c r="E54" s="2975">
        <v>0</v>
      </c>
      <c r="F54" s="2975">
        <v>0</v>
      </c>
      <c r="G54" s="2975" t="s">
        <v>3062</v>
      </c>
      <c r="H54" s="2975"/>
      <c r="I54" s="3001">
        <f t="shared" si="0"/>
        <v>13.48</v>
      </c>
    </row>
    <row r="55" spans="1:9" ht="20.100000000000001" customHeight="1">
      <c r="A55" s="2968">
        <v>52</v>
      </c>
      <c r="B55" s="3412" t="s">
        <v>3997</v>
      </c>
      <c r="C55" s="2974">
        <v>13.48</v>
      </c>
      <c r="D55" s="2975">
        <v>13.48</v>
      </c>
      <c r="E55" s="2975">
        <v>0</v>
      </c>
      <c r="F55" s="2975">
        <v>0</v>
      </c>
      <c r="G55" s="2975" t="s">
        <v>3062</v>
      </c>
      <c r="H55" s="2975"/>
      <c r="I55" s="3001">
        <f t="shared" si="0"/>
        <v>13.48</v>
      </c>
    </row>
    <row r="56" spans="1:9" ht="20.100000000000001" customHeight="1">
      <c r="A56" s="2968">
        <v>53</v>
      </c>
      <c r="B56" s="3412" t="s">
        <v>3998</v>
      </c>
      <c r="C56" s="2974">
        <v>13.48</v>
      </c>
      <c r="D56" s="2975">
        <v>13.48</v>
      </c>
      <c r="E56" s="2975">
        <v>0</v>
      </c>
      <c r="F56" s="2975">
        <v>0</v>
      </c>
      <c r="G56" s="2975" t="s">
        <v>3062</v>
      </c>
      <c r="H56" s="2975"/>
      <c r="I56" s="3001">
        <f t="shared" si="0"/>
        <v>13.48</v>
      </c>
    </row>
    <row r="57" spans="1:9" ht="20.100000000000001" customHeight="1">
      <c r="A57" s="2968">
        <v>54</v>
      </c>
      <c r="B57" s="3412" t="s">
        <v>3999</v>
      </c>
      <c r="C57" s="2974">
        <v>13.55</v>
      </c>
      <c r="D57" s="2975">
        <v>13.55</v>
      </c>
      <c r="E57" s="2975">
        <v>0</v>
      </c>
      <c r="F57" s="2975">
        <v>0</v>
      </c>
      <c r="G57" s="2975" t="s">
        <v>3062</v>
      </c>
      <c r="H57" s="2975"/>
      <c r="I57" s="3001">
        <f t="shared" si="0"/>
        <v>13.55</v>
      </c>
    </row>
    <row r="58" spans="1:9" ht="20.100000000000001" customHeight="1">
      <c r="A58" s="2968">
        <v>55</v>
      </c>
      <c r="B58" s="3412" t="s">
        <v>4000</v>
      </c>
      <c r="C58" s="2974">
        <v>13.55</v>
      </c>
      <c r="D58" s="2975">
        <v>13.55</v>
      </c>
      <c r="E58" s="2975">
        <v>0</v>
      </c>
      <c r="F58" s="2975">
        <v>0</v>
      </c>
      <c r="G58" s="2975" t="s">
        <v>3062</v>
      </c>
      <c r="H58" s="2975"/>
      <c r="I58" s="3001">
        <f t="shared" si="0"/>
        <v>13.55</v>
      </c>
    </row>
    <row r="59" spans="1:9" ht="20.100000000000001" customHeight="1">
      <c r="A59" s="2968">
        <v>56</v>
      </c>
      <c r="B59" s="3412" t="s">
        <v>4001</v>
      </c>
      <c r="C59" s="2974">
        <v>13.55</v>
      </c>
      <c r="D59" s="2975">
        <v>13.55</v>
      </c>
      <c r="E59" s="2975">
        <v>0</v>
      </c>
      <c r="F59" s="2975">
        <v>0</v>
      </c>
      <c r="G59" s="2975" t="s">
        <v>3062</v>
      </c>
      <c r="H59" s="2975"/>
      <c r="I59" s="3001">
        <f t="shared" si="0"/>
        <v>13.55</v>
      </c>
    </row>
    <row r="60" spans="1:9" ht="20.100000000000001" customHeight="1">
      <c r="A60" s="2968">
        <v>57</v>
      </c>
      <c r="B60" s="3412" t="s">
        <v>4002</v>
      </c>
      <c r="C60" s="2974">
        <v>13.55</v>
      </c>
      <c r="D60" s="2975">
        <v>13.55</v>
      </c>
      <c r="E60" s="2975">
        <v>0</v>
      </c>
      <c r="F60" s="2975">
        <v>0</v>
      </c>
      <c r="G60" s="2975" t="s">
        <v>3062</v>
      </c>
      <c r="H60" s="2975"/>
      <c r="I60" s="3001">
        <f t="shared" si="0"/>
        <v>13.55</v>
      </c>
    </row>
    <row r="61" spans="1:9" ht="20.100000000000001" customHeight="1">
      <c r="A61" s="2968">
        <v>58</v>
      </c>
      <c r="B61" s="3412" t="s">
        <v>3063</v>
      </c>
      <c r="C61" s="2974">
        <v>13.55</v>
      </c>
      <c r="D61" s="2975">
        <v>13.55</v>
      </c>
      <c r="E61" s="2975">
        <v>0</v>
      </c>
      <c r="F61" s="2975">
        <v>0</v>
      </c>
      <c r="G61" s="2975" t="s">
        <v>3062</v>
      </c>
      <c r="H61" s="2975"/>
      <c r="I61" s="3001">
        <f t="shared" si="0"/>
        <v>13.55</v>
      </c>
    </row>
    <row r="62" spans="1:9" ht="20.100000000000001" customHeight="1">
      <c r="A62" s="2968">
        <v>59</v>
      </c>
      <c r="B62" s="3412" t="s">
        <v>3064</v>
      </c>
      <c r="C62" s="2974">
        <v>13.55</v>
      </c>
      <c r="D62" s="2975">
        <v>13.55</v>
      </c>
      <c r="E62" s="2975">
        <v>0</v>
      </c>
      <c r="F62" s="2975">
        <v>0</v>
      </c>
      <c r="G62" s="2975" t="s">
        <v>3062</v>
      </c>
      <c r="H62" s="2975"/>
      <c r="I62" s="3001">
        <f t="shared" si="0"/>
        <v>13.55</v>
      </c>
    </row>
    <row r="63" spans="1:9" ht="20.100000000000001" customHeight="1">
      <c r="A63" s="2968">
        <v>60</v>
      </c>
      <c r="B63" s="3412" t="s">
        <v>3065</v>
      </c>
      <c r="C63" s="2974">
        <v>13.55</v>
      </c>
      <c r="D63" s="2975">
        <v>13.55</v>
      </c>
      <c r="E63" s="2975">
        <v>0</v>
      </c>
      <c r="F63" s="2975">
        <v>0</v>
      </c>
      <c r="G63" s="2975" t="s">
        <v>3062</v>
      </c>
      <c r="H63" s="2975"/>
      <c r="I63" s="3001">
        <f t="shared" si="0"/>
        <v>13.55</v>
      </c>
    </row>
    <row r="64" spans="1:9" ht="20.100000000000001" customHeight="1">
      <c r="A64" s="2968">
        <v>61</v>
      </c>
      <c r="B64" s="3412" t="s">
        <v>3066</v>
      </c>
      <c r="C64" s="2974">
        <v>13.48</v>
      </c>
      <c r="D64" s="2975">
        <v>13.48</v>
      </c>
      <c r="E64" s="2975">
        <v>0</v>
      </c>
      <c r="F64" s="2975">
        <v>0</v>
      </c>
      <c r="G64" s="2975" t="s">
        <v>3062</v>
      </c>
      <c r="H64" s="2975"/>
      <c r="I64" s="3001">
        <f t="shared" si="0"/>
        <v>13.48</v>
      </c>
    </row>
    <row r="65" spans="1:9" ht="20.100000000000001" customHeight="1">
      <c r="A65" s="2968">
        <v>62</v>
      </c>
      <c r="B65" s="3412" t="s">
        <v>3067</v>
      </c>
      <c r="C65" s="2974">
        <v>13.48</v>
      </c>
      <c r="D65" s="2975">
        <v>13.48</v>
      </c>
      <c r="E65" s="2975">
        <v>0</v>
      </c>
      <c r="F65" s="2975">
        <v>0</v>
      </c>
      <c r="G65" s="2975" t="s">
        <v>3062</v>
      </c>
      <c r="H65" s="2975"/>
      <c r="I65" s="3001">
        <f t="shared" si="0"/>
        <v>13.48</v>
      </c>
    </row>
    <row r="66" spans="1:9" ht="20.100000000000001" customHeight="1">
      <c r="A66" s="2968">
        <v>63</v>
      </c>
      <c r="B66" s="3412" t="s">
        <v>3068</v>
      </c>
      <c r="C66" s="2974">
        <v>13.48</v>
      </c>
      <c r="D66" s="2975">
        <v>13.48</v>
      </c>
      <c r="E66" s="2975">
        <v>0</v>
      </c>
      <c r="F66" s="2975">
        <v>0</v>
      </c>
      <c r="G66" s="2975" t="s">
        <v>3062</v>
      </c>
      <c r="H66" s="2975"/>
      <c r="I66" s="3001">
        <f t="shared" si="0"/>
        <v>13.48</v>
      </c>
    </row>
    <row r="67" spans="1:9" ht="20.100000000000001" customHeight="1">
      <c r="A67" s="2968">
        <v>64</v>
      </c>
      <c r="B67" s="3412" t="s">
        <v>3069</v>
      </c>
      <c r="C67" s="2974">
        <v>13.48</v>
      </c>
      <c r="D67" s="2975">
        <v>13.48</v>
      </c>
      <c r="E67" s="2975">
        <v>0</v>
      </c>
      <c r="F67" s="2975">
        <v>0</v>
      </c>
      <c r="G67" s="2975" t="s">
        <v>3062</v>
      </c>
      <c r="H67" s="2975"/>
      <c r="I67" s="3001">
        <f t="shared" si="0"/>
        <v>13.48</v>
      </c>
    </row>
    <row r="68" spans="1:9" ht="20.100000000000001" customHeight="1">
      <c r="A68" s="2968">
        <v>65</v>
      </c>
      <c r="B68" s="3412" t="s">
        <v>3070</v>
      </c>
      <c r="C68" s="2974">
        <v>13.48</v>
      </c>
      <c r="D68" s="2975">
        <v>13.48</v>
      </c>
      <c r="E68" s="2975">
        <v>0</v>
      </c>
      <c r="F68" s="2975">
        <v>0</v>
      </c>
      <c r="G68" s="2975" t="s">
        <v>3062</v>
      </c>
      <c r="H68" s="2975"/>
      <c r="I68" s="3001">
        <f t="shared" si="0"/>
        <v>13.48</v>
      </c>
    </row>
    <row r="69" spans="1:9" ht="20.100000000000001" customHeight="1">
      <c r="A69" s="2968">
        <v>66</v>
      </c>
      <c r="B69" s="3412" t="s">
        <v>3071</v>
      </c>
      <c r="C69" s="2974">
        <v>13.48</v>
      </c>
      <c r="D69" s="2975">
        <v>13.48</v>
      </c>
      <c r="E69" s="2975">
        <v>0</v>
      </c>
      <c r="F69" s="2975">
        <v>0</v>
      </c>
      <c r="G69" s="2975" t="s">
        <v>3062</v>
      </c>
      <c r="H69" s="2975"/>
      <c r="I69" s="3001">
        <f t="shared" ref="I69:I132" si="1">C69</f>
        <v>13.48</v>
      </c>
    </row>
    <row r="70" spans="1:9" ht="20.100000000000001" customHeight="1">
      <c r="A70" s="2968">
        <v>67</v>
      </c>
      <c r="B70" s="3412" t="s">
        <v>3072</v>
      </c>
      <c r="C70" s="2974">
        <v>13.48</v>
      </c>
      <c r="D70" s="2975">
        <v>13.48</v>
      </c>
      <c r="E70" s="2975">
        <v>0</v>
      </c>
      <c r="F70" s="2975">
        <v>0</v>
      </c>
      <c r="G70" s="2975" t="s">
        <v>3062</v>
      </c>
      <c r="H70" s="2975"/>
      <c r="I70" s="3001">
        <f t="shared" si="1"/>
        <v>13.48</v>
      </c>
    </row>
    <row r="71" spans="1:9" ht="20.100000000000001" customHeight="1">
      <c r="A71" s="2968">
        <v>68</v>
      </c>
      <c r="B71" s="3412" t="s">
        <v>3073</v>
      </c>
      <c r="C71" s="2974">
        <v>13.48</v>
      </c>
      <c r="D71" s="2975">
        <v>13.48</v>
      </c>
      <c r="E71" s="2975">
        <v>0</v>
      </c>
      <c r="F71" s="2975">
        <v>0</v>
      </c>
      <c r="G71" s="2975" t="s">
        <v>3062</v>
      </c>
      <c r="H71" s="2975"/>
      <c r="I71" s="3001">
        <f t="shared" si="1"/>
        <v>13.48</v>
      </c>
    </row>
    <row r="72" spans="1:9" ht="20.100000000000001" customHeight="1">
      <c r="A72" s="2968">
        <v>69</v>
      </c>
      <c r="B72" s="3412" t="s">
        <v>3074</v>
      </c>
      <c r="C72" s="2974">
        <v>13.48</v>
      </c>
      <c r="D72" s="2975">
        <v>13.48</v>
      </c>
      <c r="E72" s="2975">
        <v>0</v>
      </c>
      <c r="F72" s="2975">
        <v>0</v>
      </c>
      <c r="G72" s="2975" t="s">
        <v>3062</v>
      </c>
      <c r="H72" s="2975"/>
      <c r="I72" s="3001">
        <f t="shared" si="1"/>
        <v>13.48</v>
      </c>
    </row>
    <row r="73" spans="1:9" ht="20.100000000000001" customHeight="1">
      <c r="A73" s="2968">
        <v>70</v>
      </c>
      <c r="B73" s="3412" t="s">
        <v>3075</v>
      </c>
      <c r="C73" s="2974">
        <v>13.48</v>
      </c>
      <c r="D73" s="2975">
        <v>13.48</v>
      </c>
      <c r="E73" s="2975">
        <v>0</v>
      </c>
      <c r="F73" s="2975">
        <v>0</v>
      </c>
      <c r="G73" s="2975" t="s">
        <v>3062</v>
      </c>
      <c r="H73" s="2975"/>
      <c r="I73" s="3001">
        <f t="shared" si="1"/>
        <v>13.48</v>
      </c>
    </row>
    <row r="74" spans="1:9" ht="20.100000000000001" customHeight="1">
      <c r="A74" s="2968">
        <v>71</v>
      </c>
      <c r="B74" s="3412" t="s">
        <v>3076</v>
      </c>
      <c r="C74" s="2974">
        <v>13.48</v>
      </c>
      <c r="D74" s="2975">
        <v>13.48</v>
      </c>
      <c r="E74" s="2975">
        <v>0</v>
      </c>
      <c r="F74" s="2975">
        <v>0</v>
      </c>
      <c r="G74" s="2975" t="s">
        <v>3062</v>
      </c>
      <c r="H74" s="2975"/>
      <c r="I74" s="3001">
        <f t="shared" si="1"/>
        <v>13.48</v>
      </c>
    </row>
    <row r="75" spans="1:9" ht="20.100000000000001" customHeight="1">
      <c r="A75" s="2968">
        <v>72</v>
      </c>
      <c r="B75" s="3412" t="s">
        <v>3077</v>
      </c>
      <c r="C75" s="2974">
        <v>13.48</v>
      </c>
      <c r="D75" s="2975">
        <v>13.48</v>
      </c>
      <c r="E75" s="2975">
        <v>0</v>
      </c>
      <c r="F75" s="2975">
        <v>0</v>
      </c>
      <c r="G75" s="2975" t="s">
        <v>3062</v>
      </c>
      <c r="H75" s="2975"/>
      <c r="I75" s="3001">
        <f t="shared" si="1"/>
        <v>13.48</v>
      </c>
    </row>
    <row r="76" spans="1:9" ht="20.100000000000001" customHeight="1">
      <c r="A76" s="2968">
        <v>73</v>
      </c>
      <c r="B76" s="3412" t="s">
        <v>3078</v>
      </c>
      <c r="C76" s="2974">
        <v>13.48</v>
      </c>
      <c r="D76" s="2975">
        <v>13.48</v>
      </c>
      <c r="E76" s="2975">
        <v>0</v>
      </c>
      <c r="F76" s="2975">
        <v>0</v>
      </c>
      <c r="G76" s="2975" t="s">
        <v>3062</v>
      </c>
      <c r="H76" s="2975"/>
      <c r="I76" s="3001">
        <f t="shared" si="1"/>
        <v>13.48</v>
      </c>
    </row>
    <row r="77" spans="1:9" ht="20.100000000000001" customHeight="1">
      <c r="A77" s="2968">
        <v>74</v>
      </c>
      <c r="B77" s="3412" t="s">
        <v>3079</v>
      </c>
      <c r="C77" s="2974">
        <v>13.48</v>
      </c>
      <c r="D77" s="2975">
        <v>13.48</v>
      </c>
      <c r="E77" s="2975">
        <v>0</v>
      </c>
      <c r="F77" s="2975">
        <v>0</v>
      </c>
      <c r="G77" s="2975" t="s">
        <v>3062</v>
      </c>
      <c r="H77" s="2975"/>
      <c r="I77" s="3001">
        <f t="shared" si="1"/>
        <v>13.48</v>
      </c>
    </row>
    <row r="78" spans="1:9" ht="20.100000000000001" customHeight="1">
      <c r="A78" s="2968">
        <v>75</v>
      </c>
      <c r="B78" s="3412" t="s">
        <v>3080</v>
      </c>
      <c r="C78" s="2974">
        <v>13.48</v>
      </c>
      <c r="D78" s="2975">
        <v>13.48</v>
      </c>
      <c r="E78" s="2975">
        <v>0</v>
      </c>
      <c r="F78" s="2975">
        <v>0</v>
      </c>
      <c r="G78" s="2975" t="s">
        <v>3062</v>
      </c>
      <c r="H78" s="2975"/>
      <c r="I78" s="3001">
        <f t="shared" si="1"/>
        <v>13.48</v>
      </c>
    </row>
    <row r="79" spans="1:9" ht="20.100000000000001" customHeight="1">
      <c r="A79" s="2968">
        <v>76</v>
      </c>
      <c r="B79" s="3412" t="s">
        <v>3081</v>
      </c>
      <c r="C79" s="2974">
        <v>13.48</v>
      </c>
      <c r="D79" s="2975">
        <v>13.48</v>
      </c>
      <c r="E79" s="2975">
        <v>0</v>
      </c>
      <c r="F79" s="2975">
        <v>0</v>
      </c>
      <c r="G79" s="2975" t="s">
        <v>3062</v>
      </c>
      <c r="H79" s="2975"/>
      <c r="I79" s="3001">
        <f t="shared" si="1"/>
        <v>13.48</v>
      </c>
    </row>
    <row r="80" spans="1:9" ht="20.100000000000001" customHeight="1">
      <c r="A80" s="2968">
        <v>77</v>
      </c>
      <c r="B80" s="3412" t="s">
        <v>3082</v>
      </c>
      <c r="C80" s="2974">
        <v>13.48</v>
      </c>
      <c r="D80" s="2975">
        <v>13.48</v>
      </c>
      <c r="E80" s="2975">
        <v>0</v>
      </c>
      <c r="F80" s="2975">
        <v>0</v>
      </c>
      <c r="G80" s="2975" t="s">
        <v>3062</v>
      </c>
      <c r="H80" s="2975"/>
      <c r="I80" s="3001">
        <f t="shared" si="1"/>
        <v>13.48</v>
      </c>
    </row>
    <row r="81" spans="1:9" ht="20.100000000000001" customHeight="1">
      <c r="A81" s="2968">
        <v>78</v>
      </c>
      <c r="B81" s="3412" t="s">
        <v>3083</v>
      </c>
      <c r="C81" s="2974">
        <v>13.48</v>
      </c>
      <c r="D81" s="2975">
        <v>13.48</v>
      </c>
      <c r="E81" s="2975">
        <v>0</v>
      </c>
      <c r="F81" s="2975">
        <v>0</v>
      </c>
      <c r="G81" s="2975" t="s">
        <v>3062</v>
      </c>
      <c r="H81" s="2975"/>
      <c r="I81" s="3001">
        <f t="shared" si="1"/>
        <v>13.48</v>
      </c>
    </row>
    <row r="82" spans="1:9" ht="20.100000000000001" customHeight="1">
      <c r="A82" s="2968">
        <v>79</v>
      </c>
      <c r="B82" s="3412" t="s">
        <v>3084</v>
      </c>
      <c r="C82" s="2974">
        <v>13.48</v>
      </c>
      <c r="D82" s="2975">
        <v>13.48</v>
      </c>
      <c r="E82" s="2975">
        <v>0</v>
      </c>
      <c r="F82" s="2975">
        <v>0</v>
      </c>
      <c r="G82" s="2975" t="s">
        <v>3062</v>
      </c>
      <c r="H82" s="2975"/>
      <c r="I82" s="3001">
        <f t="shared" si="1"/>
        <v>13.48</v>
      </c>
    </row>
    <row r="83" spans="1:9" ht="20.100000000000001" customHeight="1">
      <c r="A83" s="2968">
        <v>80</v>
      </c>
      <c r="B83" s="3412" t="s">
        <v>4003</v>
      </c>
      <c r="C83" s="2974">
        <v>13.48</v>
      </c>
      <c r="D83" s="2975">
        <v>13.48</v>
      </c>
      <c r="E83" s="2975">
        <v>0</v>
      </c>
      <c r="F83" s="2975">
        <v>0</v>
      </c>
      <c r="G83" s="2975" t="s">
        <v>3062</v>
      </c>
      <c r="H83" s="2975"/>
      <c r="I83" s="3001">
        <f t="shared" si="1"/>
        <v>13.48</v>
      </c>
    </row>
    <row r="84" spans="1:9" ht="20.100000000000001" customHeight="1">
      <c r="A84" s="2968">
        <v>81</v>
      </c>
      <c r="B84" s="3412" t="s">
        <v>4004</v>
      </c>
      <c r="C84" s="2974">
        <v>13.48</v>
      </c>
      <c r="D84" s="2975">
        <v>13.48</v>
      </c>
      <c r="E84" s="2975">
        <v>0</v>
      </c>
      <c r="F84" s="2975">
        <v>0</v>
      </c>
      <c r="G84" s="2975" t="s">
        <v>3062</v>
      </c>
      <c r="H84" s="2975"/>
      <c r="I84" s="3001">
        <f t="shared" si="1"/>
        <v>13.48</v>
      </c>
    </row>
    <row r="85" spans="1:9" ht="20.100000000000001" customHeight="1">
      <c r="A85" s="2968">
        <v>82</v>
      </c>
      <c r="B85" s="3412" t="s">
        <v>4005</v>
      </c>
      <c r="C85" s="2974">
        <v>13.28</v>
      </c>
      <c r="D85" s="2975">
        <v>13.28</v>
      </c>
      <c r="E85" s="2975">
        <v>0</v>
      </c>
      <c r="F85" s="2975">
        <v>0</v>
      </c>
      <c r="G85" s="2975" t="s">
        <v>3062</v>
      </c>
      <c r="H85" s="2975"/>
      <c r="I85" s="3001">
        <f t="shared" si="1"/>
        <v>13.28</v>
      </c>
    </row>
    <row r="86" spans="1:9" ht="20.100000000000001" customHeight="1">
      <c r="A86" s="2968">
        <v>83</v>
      </c>
      <c r="B86" s="3412" t="s">
        <v>4006</v>
      </c>
      <c r="C86" s="2974">
        <v>13.28</v>
      </c>
      <c r="D86" s="2975">
        <v>13.28</v>
      </c>
      <c r="E86" s="2975">
        <v>0</v>
      </c>
      <c r="F86" s="2975">
        <v>0</v>
      </c>
      <c r="G86" s="2975" t="s">
        <v>3062</v>
      </c>
      <c r="H86" s="2975"/>
      <c r="I86" s="3001">
        <f t="shared" si="1"/>
        <v>13.28</v>
      </c>
    </row>
    <row r="87" spans="1:9" ht="20.100000000000001" customHeight="1">
      <c r="A87" s="2968">
        <v>84</v>
      </c>
      <c r="B87" s="3412" t="s">
        <v>4007</v>
      </c>
      <c r="C87" s="2974">
        <v>13.28</v>
      </c>
      <c r="D87" s="2975">
        <v>13.28</v>
      </c>
      <c r="E87" s="2975">
        <v>0</v>
      </c>
      <c r="F87" s="2975">
        <v>0</v>
      </c>
      <c r="G87" s="2975" t="s">
        <v>3062</v>
      </c>
      <c r="H87" s="2975"/>
      <c r="I87" s="3001">
        <f t="shared" si="1"/>
        <v>13.28</v>
      </c>
    </row>
    <row r="88" spans="1:9" ht="20.100000000000001" customHeight="1">
      <c r="A88" s="2968">
        <v>85</v>
      </c>
      <c r="B88" s="3412" t="s">
        <v>4008</v>
      </c>
      <c r="C88" s="2974">
        <v>13.28</v>
      </c>
      <c r="D88" s="2975">
        <v>13.28</v>
      </c>
      <c r="E88" s="2975">
        <v>0</v>
      </c>
      <c r="F88" s="2975">
        <v>0</v>
      </c>
      <c r="G88" s="2975" t="s">
        <v>3062</v>
      </c>
      <c r="H88" s="2975"/>
      <c r="I88" s="3001">
        <f t="shared" si="1"/>
        <v>13.28</v>
      </c>
    </row>
    <row r="89" spans="1:9" ht="20.100000000000001" customHeight="1">
      <c r="A89" s="2968">
        <v>86</v>
      </c>
      <c r="B89" s="3412" t="s">
        <v>4009</v>
      </c>
      <c r="C89" s="2974">
        <v>11.39</v>
      </c>
      <c r="D89" s="2975">
        <v>11.39</v>
      </c>
      <c r="E89" s="2975">
        <v>0</v>
      </c>
      <c r="F89" s="2975">
        <v>0</v>
      </c>
      <c r="G89" s="2975" t="s">
        <v>3062</v>
      </c>
      <c r="H89" s="2975"/>
      <c r="I89" s="3001">
        <f t="shared" si="1"/>
        <v>11.39</v>
      </c>
    </row>
    <row r="90" spans="1:9" ht="20.100000000000001" customHeight="1">
      <c r="A90" s="2968">
        <v>87</v>
      </c>
      <c r="B90" s="3412" t="s">
        <v>4010</v>
      </c>
      <c r="C90" s="2974">
        <v>13.28</v>
      </c>
      <c r="D90" s="2975">
        <v>13.28</v>
      </c>
      <c r="E90" s="2975">
        <v>0</v>
      </c>
      <c r="F90" s="2975">
        <v>0</v>
      </c>
      <c r="G90" s="2975" t="s">
        <v>3062</v>
      </c>
      <c r="H90" s="2975"/>
      <c r="I90" s="3001">
        <f t="shared" si="1"/>
        <v>13.28</v>
      </c>
    </row>
    <row r="91" spans="1:9" ht="20.100000000000001" customHeight="1">
      <c r="A91" s="2968">
        <v>88</v>
      </c>
      <c r="B91" s="3412" t="s">
        <v>4011</v>
      </c>
      <c r="C91" s="2974">
        <v>12.45</v>
      </c>
      <c r="D91" s="2975">
        <v>12.45</v>
      </c>
      <c r="E91" s="2975">
        <v>0</v>
      </c>
      <c r="F91" s="2975">
        <v>0</v>
      </c>
      <c r="G91" s="2975" t="s">
        <v>3062</v>
      </c>
      <c r="H91" s="2975"/>
      <c r="I91" s="3001">
        <f t="shared" si="1"/>
        <v>12.45</v>
      </c>
    </row>
    <row r="92" spans="1:9" ht="20.100000000000001" customHeight="1">
      <c r="A92" s="2968">
        <v>89</v>
      </c>
      <c r="B92" s="3412" t="s">
        <v>4012</v>
      </c>
      <c r="C92" s="2974">
        <v>13.28</v>
      </c>
      <c r="D92" s="2975">
        <v>13.28</v>
      </c>
      <c r="E92" s="2975">
        <v>0</v>
      </c>
      <c r="F92" s="2975">
        <v>0</v>
      </c>
      <c r="G92" s="2975" t="s">
        <v>3062</v>
      </c>
      <c r="H92" s="2975"/>
      <c r="I92" s="3001">
        <f t="shared" si="1"/>
        <v>13.28</v>
      </c>
    </row>
    <row r="93" spans="1:9" ht="20.100000000000001" customHeight="1">
      <c r="A93" s="2968">
        <v>90</v>
      </c>
      <c r="B93" s="3412" t="s">
        <v>4013</v>
      </c>
      <c r="C93" s="2974">
        <v>13.28</v>
      </c>
      <c r="D93" s="2975">
        <v>13.28</v>
      </c>
      <c r="E93" s="2975">
        <v>0</v>
      </c>
      <c r="F93" s="2975">
        <v>0</v>
      </c>
      <c r="G93" s="2975" t="s">
        <v>3062</v>
      </c>
      <c r="H93" s="2975"/>
      <c r="I93" s="3001">
        <f t="shared" si="1"/>
        <v>13.28</v>
      </c>
    </row>
    <row r="94" spans="1:9" ht="20.100000000000001" customHeight="1">
      <c r="A94" s="2968">
        <v>91</v>
      </c>
      <c r="B94" s="3412" t="s">
        <v>4014</v>
      </c>
      <c r="C94" s="2974">
        <v>13.28</v>
      </c>
      <c r="D94" s="2975">
        <v>13.28</v>
      </c>
      <c r="E94" s="2975">
        <v>0</v>
      </c>
      <c r="F94" s="2975">
        <v>0</v>
      </c>
      <c r="G94" s="2975" t="s">
        <v>3062</v>
      </c>
      <c r="H94" s="2975"/>
      <c r="I94" s="3001">
        <f t="shared" si="1"/>
        <v>13.28</v>
      </c>
    </row>
    <row r="95" spans="1:9" ht="20.100000000000001" customHeight="1">
      <c r="A95" s="2968">
        <v>92</v>
      </c>
      <c r="B95" s="3412" t="s">
        <v>4015</v>
      </c>
      <c r="C95" s="2974">
        <v>13.28</v>
      </c>
      <c r="D95" s="2975">
        <v>13.28</v>
      </c>
      <c r="E95" s="2975">
        <v>0</v>
      </c>
      <c r="F95" s="2975">
        <v>0</v>
      </c>
      <c r="G95" s="2975" t="s">
        <v>3062</v>
      </c>
      <c r="H95" s="2975"/>
      <c r="I95" s="3001">
        <f t="shared" si="1"/>
        <v>13.28</v>
      </c>
    </row>
    <row r="96" spans="1:9" ht="20.100000000000001" customHeight="1">
      <c r="A96" s="2968">
        <v>93</v>
      </c>
      <c r="B96" s="3412" t="s">
        <v>4016</v>
      </c>
      <c r="C96" s="2974">
        <v>13.28</v>
      </c>
      <c r="D96" s="2975">
        <v>13.28</v>
      </c>
      <c r="E96" s="2975">
        <v>0</v>
      </c>
      <c r="F96" s="2975">
        <v>0</v>
      </c>
      <c r="G96" s="2975" t="s">
        <v>3062</v>
      </c>
      <c r="H96" s="2975"/>
      <c r="I96" s="3001">
        <f t="shared" si="1"/>
        <v>13.28</v>
      </c>
    </row>
    <row r="97" spans="1:9" ht="20.100000000000001" customHeight="1">
      <c r="A97" s="2968">
        <v>94</v>
      </c>
      <c r="B97" s="3412" t="s">
        <v>4017</v>
      </c>
      <c r="C97" s="2974">
        <v>13.23</v>
      </c>
      <c r="D97" s="2975">
        <v>13.23</v>
      </c>
      <c r="E97" s="2975">
        <v>0</v>
      </c>
      <c r="F97" s="2975">
        <v>0</v>
      </c>
      <c r="G97" s="2975" t="s">
        <v>3062</v>
      </c>
      <c r="H97" s="2975"/>
      <c r="I97" s="3001">
        <f t="shared" si="1"/>
        <v>13.23</v>
      </c>
    </row>
    <row r="98" spans="1:9" ht="20.100000000000001" customHeight="1">
      <c r="A98" s="2968">
        <v>95</v>
      </c>
      <c r="B98" s="3412" t="s">
        <v>4018</v>
      </c>
      <c r="C98" s="2974">
        <v>13.23</v>
      </c>
      <c r="D98" s="2975">
        <v>13.23</v>
      </c>
      <c r="E98" s="2975">
        <v>0</v>
      </c>
      <c r="F98" s="2975">
        <v>0</v>
      </c>
      <c r="G98" s="2975" t="s">
        <v>3062</v>
      </c>
      <c r="H98" s="2975"/>
      <c r="I98" s="3001">
        <f t="shared" si="1"/>
        <v>13.23</v>
      </c>
    </row>
    <row r="99" spans="1:9" ht="20.100000000000001" customHeight="1">
      <c r="A99" s="2968">
        <v>96</v>
      </c>
      <c r="B99" s="3412" t="s">
        <v>4019</v>
      </c>
      <c r="C99" s="2974">
        <v>13.23</v>
      </c>
      <c r="D99" s="2975">
        <v>13.23</v>
      </c>
      <c r="E99" s="2975">
        <v>0</v>
      </c>
      <c r="F99" s="2975">
        <v>0</v>
      </c>
      <c r="G99" s="2975" t="s">
        <v>3062</v>
      </c>
      <c r="H99" s="2975"/>
      <c r="I99" s="3001">
        <f t="shared" si="1"/>
        <v>13.23</v>
      </c>
    </row>
    <row r="100" spans="1:9" ht="20.100000000000001" customHeight="1">
      <c r="A100" s="2968">
        <v>97</v>
      </c>
      <c r="B100" s="3412" t="s">
        <v>4020</v>
      </c>
      <c r="C100" s="2974">
        <v>13.23</v>
      </c>
      <c r="D100" s="2975">
        <v>13.23</v>
      </c>
      <c r="E100" s="2975">
        <v>0</v>
      </c>
      <c r="F100" s="2975">
        <v>0</v>
      </c>
      <c r="G100" s="2975" t="s">
        <v>3062</v>
      </c>
      <c r="H100" s="2975"/>
      <c r="I100" s="3001">
        <f t="shared" si="1"/>
        <v>13.23</v>
      </c>
    </row>
    <row r="101" spans="1:9" ht="20.100000000000001" customHeight="1">
      <c r="A101" s="2968">
        <v>98</v>
      </c>
      <c r="B101" s="3412" t="s">
        <v>4021</v>
      </c>
      <c r="C101" s="2974">
        <v>13.23</v>
      </c>
      <c r="D101" s="2975">
        <v>13.23</v>
      </c>
      <c r="E101" s="2975">
        <v>0</v>
      </c>
      <c r="F101" s="2975">
        <v>0</v>
      </c>
      <c r="G101" s="2975" t="s">
        <v>3062</v>
      </c>
      <c r="H101" s="2975"/>
      <c r="I101" s="3001">
        <f t="shared" si="1"/>
        <v>13.23</v>
      </c>
    </row>
    <row r="102" spans="1:9" ht="20.100000000000001" customHeight="1">
      <c r="A102" s="2968">
        <v>99</v>
      </c>
      <c r="B102" s="3412" t="s">
        <v>4022</v>
      </c>
      <c r="C102" s="2974">
        <v>13.23</v>
      </c>
      <c r="D102" s="2975">
        <v>13.23</v>
      </c>
      <c r="E102" s="2975">
        <v>0</v>
      </c>
      <c r="F102" s="2975">
        <v>0</v>
      </c>
      <c r="G102" s="2975" t="s">
        <v>3062</v>
      </c>
      <c r="H102" s="2975"/>
      <c r="I102" s="3001">
        <f t="shared" si="1"/>
        <v>13.23</v>
      </c>
    </row>
    <row r="103" spans="1:9" ht="20.100000000000001" customHeight="1">
      <c r="A103" s="2968">
        <v>100</v>
      </c>
      <c r="B103" s="3412" t="s">
        <v>4023</v>
      </c>
      <c r="C103" s="2974">
        <v>11.52</v>
      </c>
      <c r="D103" s="2975">
        <v>11.52</v>
      </c>
      <c r="E103" s="2975">
        <v>0</v>
      </c>
      <c r="F103" s="2975">
        <v>0</v>
      </c>
      <c r="G103" s="2975" t="s">
        <v>3062</v>
      </c>
      <c r="H103" s="2975"/>
      <c r="I103" s="3001">
        <f t="shared" si="1"/>
        <v>11.52</v>
      </c>
    </row>
    <row r="104" spans="1:9" ht="20.100000000000001" customHeight="1">
      <c r="A104" s="2968">
        <v>101</v>
      </c>
      <c r="B104" s="3412" t="s">
        <v>4024</v>
      </c>
      <c r="C104" s="2974">
        <v>13.23</v>
      </c>
      <c r="D104" s="2975">
        <v>13.23</v>
      </c>
      <c r="E104" s="2975">
        <v>0</v>
      </c>
      <c r="F104" s="2975">
        <v>0</v>
      </c>
      <c r="G104" s="2975" t="s">
        <v>3062</v>
      </c>
      <c r="H104" s="2975"/>
      <c r="I104" s="3001">
        <f t="shared" si="1"/>
        <v>13.23</v>
      </c>
    </row>
    <row r="105" spans="1:9" ht="20.100000000000001" customHeight="1">
      <c r="A105" s="2968">
        <v>102</v>
      </c>
      <c r="B105" s="3412" t="s">
        <v>4025</v>
      </c>
      <c r="C105" s="2974">
        <v>13.23</v>
      </c>
      <c r="D105" s="2975">
        <v>13.23</v>
      </c>
      <c r="E105" s="2975">
        <v>0</v>
      </c>
      <c r="F105" s="2975">
        <v>0</v>
      </c>
      <c r="G105" s="2975" t="s">
        <v>3062</v>
      </c>
      <c r="H105" s="2975"/>
      <c r="I105" s="3001">
        <f t="shared" si="1"/>
        <v>13.23</v>
      </c>
    </row>
    <row r="106" spans="1:9" ht="20.100000000000001" customHeight="1">
      <c r="A106" s="2968">
        <v>103</v>
      </c>
      <c r="B106" s="3412" t="s">
        <v>4026</v>
      </c>
      <c r="C106" s="2974">
        <v>13.23</v>
      </c>
      <c r="D106" s="2975">
        <v>13.23</v>
      </c>
      <c r="E106" s="2975">
        <v>0</v>
      </c>
      <c r="F106" s="2975">
        <v>0</v>
      </c>
      <c r="G106" s="2975" t="s">
        <v>3062</v>
      </c>
      <c r="H106" s="2975"/>
      <c r="I106" s="3001">
        <f t="shared" si="1"/>
        <v>13.23</v>
      </c>
    </row>
    <row r="107" spans="1:9" ht="20.100000000000001" customHeight="1">
      <c r="A107" s="2968">
        <v>104</v>
      </c>
      <c r="B107" s="3412" t="s">
        <v>4027</v>
      </c>
      <c r="C107" s="2974">
        <v>13.23</v>
      </c>
      <c r="D107" s="2975">
        <v>13.23</v>
      </c>
      <c r="E107" s="2975">
        <v>0</v>
      </c>
      <c r="F107" s="2975">
        <v>0</v>
      </c>
      <c r="G107" s="2975" t="s">
        <v>3062</v>
      </c>
      <c r="H107" s="2976"/>
      <c r="I107" s="3001">
        <f t="shared" si="1"/>
        <v>13.23</v>
      </c>
    </row>
    <row r="108" spans="1:9" ht="20.100000000000001" customHeight="1">
      <c r="A108" s="2968">
        <v>105</v>
      </c>
      <c r="B108" s="3412" t="s">
        <v>4028</v>
      </c>
      <c r="C108" s="2974">
        <v>13.84</v>
      </c>
      <c r="D108" s="2975">
        <v>13.84</v>
      </c>
      <c r="E108" s="2975">
        <v>0</v>
      </c>
      <c r="F108" s="2975">
        <v>0</v>
      </c>
      <c r="G108" s="2975" t="s">
        <v>3062</v>
      </c>
      <c r="H108" s="2976"/>
      <c r="I108" s="3001">
        <f t="shared" si="1"/>
        <v>13.84</v>
      </c>
    </row>
    <row r="109" spans="1:9" ht="20.100000000000001" customHeight="1">
      <c r="A109" s="2968">
        <v>106</v>
      </c>
      <c r="B109" s="3412" t="s">
        <v>4029</v>
      </c>
      <c r="C109" s="2974">
        <v>13.48</v>
      </c>
      <c r="D109" s="2975">
        <v>13.48</v>
      </c>
      <c r="E109" s="2975">
        <v>0</v>
      </c>
      <c r="F109" s="2975">
        <v>0</v>
      </c>
      <c r="G109" s="2975" t="s">
        <v>3062</v>
      </c>
      <c r="H109" s="2976"/>
      <c r="I109" s="3001">
        <f t="shared" si="1"/>
        <v>13.48</v>
      </c>
    </row>
    <row r="110" spans="1:9" ht="20.100000000000001" customHeight="1">
      <c r="A110" s="2968">
        <v>107</v>
      </c>
      <c r="B110" s="3412" t="s">
        <v>4030</v>
      </c>
      <c r="C110" s="2974">
        <v>13.48</v>
      </c>
      <c r="D110" s="2975">
        <v>13.48</v>
      </c>
      <c r="E110" s="2975">
        <v>0</v>
      </c>
      <c r="F110" s="2975">
        <v>0</v>
      </c>
      <c r="G110" s="2975" t="s">
        <v>3062</v>
      </c>
      <c r="H110" s="2976"/>
      <c r="I110" s="3001">
        <f t="shared" si="1"/>
        <v>13.48</v>
      </c>
    </row>
    <row r="111" spans="1:9" ht="20.100000000000001" customHeight="1">
      <c r="A111" s="2968">
        <v>108</v>
      </c>
      <c r="B111" s="3412" t="s">
        <v>4031</v>
      </c>
      <c r="C111" s="2974">
        <v>13.48</v>
      </c>
      <c r="D111" s="2975">
        <v>13.48</v>
      </c>
      <c r="E111" s="2975">
        <v>0</v>
      </c>
      <c r="F111" s="2975">
        <v>0</v>
      </c>
      <c r="G111" s="2975" t="s">
        <v>3062</v>
      </c>
      <c r="H111" s="2976"/>
      <c r="I111" s="3001">
        <f t="shared" si="1"/>
        <v>13.48</v>
      </c>
    </row>
    <row r="112" spans="1:9" ht="20.100000000000001" customHeight="1">
      <c r="A112" s="2968">
        <v>109</v>
      </c>
      <c r="B112" s="3412" t="s">
        <v>4032</v>
      </c>
      <c r="C112" s="2974">
        <v>13.28</v>
      </c>
      <c r="D112" s="2975">
        <v>13.28</v>
      </c>
      <c r="E112" s="2975">
        <v>0</v>
      </c>
      <c r="F112" s="2975">
        <v>0</v>
      </c>
      <c r="G112" s="2975" t="s">
        <v>3062</v>
      </c>
      <c r="H112" s="2976"/>
      <c r="I112" s="3001">
        <f t="shared" si="1"/>
        <v>13.28</v>
      </c>
    </row>
    <row r="113" spans="1:9" ht="20.100000000000001" customHeight="1">
      <c r="A113" s="2968">
        <v>110</v>
      </c>
      <c r="B113" s="3412" t="s">
        <v>4033</v>
      </c>
      <c r="C113" s="2974">
        <v>13.28</v>
      </c>
      <c r="D113" s="2975">
        <v>13.28</v>
      </c>
      <c r="E113" s="2975">
        <v>0</v>
      </c>
      <c r="F113" s="2975">
        <v>0</v>
      </c>
      <c r="G113" s="2975" t="s">
        <v>3062</v>
      </c>
      <c r="H113" s="2976"/>
      <c r="I113" s="3001">
        <f t="shared" si="1"/>
        <v>13.28</v>
      </c>
    </row>
    <row r="114" spans="1:9" ht="20.100000000000001" customHeight="1">
      <c r="A114" s="2968">
        <v>111</v>
      </c>
      <c r="B114" s="3412" t="s">
        <v>4034</v>
      </c>
      <c r="C114" s="2974">
        <v>13.28</v>
      </c>
      <c r="D114" s="2975">
        <v>13.28</v>
      </c>
      <c r="E114" s="2975">
        <v>0</v>
      </c>
      <c r="F114" s="2975">
        <v>0</v>
      </c>
      <c r="G114" s="2975" t="s">
        <v>3062</v>
      </c>
      <c r="H114" s="2976"/>
      <c r="I114" s="3001">
        <f t="shared" si="1"/>
        <v>13.28</v>
      </c>
    </row>
    <row r="115" spans="1:9" ht="20.100000000000001" customHeight="1">
      <c r="A115" s="2968">
        <v>112</v>
      </c>
      <c r="B115" s="3412" t="s">
        <v>4035</v>
      </c>
      <c r="C115" s="2974">
        <v>13.35</v>
      </c>
      <c r="D115" s="2975">
        <v>13.35</v>
      </c>
      <c r="E115" s="2975">
        <v>0</v>
      </c>
      <c r="F115" s="2975">
        <v>0</v>
      </c>
      <c r="G115" s="2975" t="s">
        <v>3062</v>
      </c>
      <c r="H115" s="2976"/>
      <c r="I115" s="3001">
        <f t="shared" si="1"/>
        <v>13.35</v>
      </c>
    </row>
    <row r="116" spans="1:9" ht="20.100000000000001" customHeight="1">
      <c r="A116" s="2968">
        <v>113</v>
      </c>
      <c r="B116" s="3412" t="s">
        <v>4036</v>
      </c>
      <c r="C116" s="2974">
        <v>13.35</v>
      </c>
      <c r="D116" s="2975">
        <v>13.35</v>
      </c>
      <c r="E116" s="2975">
        <v>0</v>
      </c>
      <c r="F116" s="2975">
        <v>0</v>
      </c>
      <c r="G116" s="2975" t="s">
        <v>3062</v>
      </c>
      <c r="H116" s="2976"/>
      <c r="I116" s="3001">
        <f t="shared" si="1"/>
        <v>13.35</v>
      </c>
    </row>
    <row r="117" spans="1:9" ht="20.100000000000001" customHeight="1">
      <c r="A117" s="2968">
        <v>114</v>
      </c>
      <c r="B117" s="3412" t="s">
        <v>4037</v>
      </c>
      <c r="C117" s="2974">
        <v>13.35</v>
      </c>
      <c r="D117" s="2975">
        <v>13.35</v>
      </c>
      <c r="E117" s="2975">
        <v>0</v>
      </c>
      <c r="F117" s="2975">
        <v>0</v>
      </c>
      <c r="G117" s="2975" t="s">
        <v>3062</v>
      </c>
      <c r="H117" s="2976"/>
      <c r="I117" s="3001">
        <f t="shared" si="1"/>
        <v>13.35</v>
      </c>
    </row>
    <row r="118" spans="1:9" ht="20.100000000000001" customHeight="1">
      <c r="A118" s="2968">
        <v>115</v>
      </c>
      <c r="B118" s="3412" t="s">
        <v>4038</v>
      </c>
      <c r="C118" s="2974">
        <v>13.48</v>
      </c>
      <c r="D118" s="2975">
        <v>13.48</v>
      </c>
      <c r="E118" s="2975">
        <v>0</v>
      </c>
      <c r="F118" s="2975">
        <v>0</v>
      </c>
      <c r="G118" s="2975" t="s">
        <v>3062</v>
      </c>
      <c r="H118" s="2976"/>
      <c r="I118" s="3001">
        <f t="shared" si="1"/>
        <v>13.48</v>
      </c>
    </row>
    <row r="119" spans="1:9" ht="20.100000000000001" customHeight="1">
      <c r="A119" s="2968">
        <v>116</v>
      </c>
      <c r="B119" s="3412" t="s">
        <v>4039</v>
      </c>
      <c r="C119" s="2974">
        <v>13.48</v>
      </c>
      <c r="D119" s="2975">
        <v>13.48</v>
      </c>
      <c r="E119" s="2975">
        <v>0</v>
      </c>
      <c r="F119" s="2975">
        <v>0</v>
      </c>
      <c r="G119" s="2977" t="s">
        <v>3062</v>
      </c>
      <c r="H119" s="2978"/>
      <c r="I119" s="3001">
        <f t="shared" si="1"/>
        <v>13.48</v>
      </c>
    </row>
    <row r="120" spans="1:9" ht="20.100000000000001" customHeight="1">
      <c r="A120" s="2968">
        <v>117</v>
      </c>
      <c r="B120" s="3413" t="s">
        <v>4040</v>
      </c>
      <c r="C120" s="2979">
        <v>13.48</v>
      </c>
      <c r="D120" s="2979">
        <v>13.48</v>
      </c>
      <c r="E120" s="2979">
        <v>0</v>
      </c>
      <c r="F120" s="2979">
        <v>0</v>
      </c>
      <c r="G120" s="2976" t="s">
        <v>3062</v>
      </c>
      <c r="H120" s="2976"/>
      <c r="I120" s="3001">
        <f t="shared" si="1"/>
        <v>13.48</v>
      </c>
    </row>
    <row r="121" spans="1:9" ht="20.100000000000001" customHeight="1">
      <c r="A121" s="2968">
        <v>118</v>
      </c>
      <c r="B121" s="3413" t="s">
        <v>4041</v>
      </c>
      <c r="C121" s="2979">
        <v>13.6</v>
      </c>
      <c r="D121" s="2979">
        <v>13.6</v>
      </c>
      <c r="E121" s="2979">
        <v>0</v>
      </c>
      <c r="F121" s="2979">
        <v>0</v>
      </c>
      <c r="G121" s="2976" t="s">
        <v>3062</v>
      </c>
      <c r="H121" s="2976"/>
      <c r="I121" s="3001">
        <f t="shared" si="1"/>
        <v>13.6</v>
      </c>
    </row>
    <row r="122" spans="1:9" ht="20.100000000000001" customHeight="1">
      <c r="A122" s="2968">
        <v>119</v>
      </c>
      <c r="B122" s="3413" t="s">
        <v>4042</v>
      </c>
      <c r="C122" s="2979">
        <v>13.6</v>
      </c>
      <c r="D122" s="2979">
        <v>13.6</v>
      </c>
      <c r="E122" s="2979">
        <v>0</v>
      </c>
      <c r="F122" s="2979">
        <v>0</v>
      </c>
      <c r="G122" s="2976" t="s">
        <v>3062</v>
      </c>
      <c r="H122" s="2976"/>
      <c r="I122" s="3001">
        <f t="shared" si="1"/>
        <v>13.6</v>
      </c>
    </row>
    <row r="123" spans="1:9" ht="20.100000000000001" customHeight="1">
      <c r="A123" s="2968">
        <v>120</v>
      </c>
      <c r="B123" s="3413" t="s">
        <v>4043</v>
      </c>
      <c r="C123" s="2979">
        <v>13.6</v>
      </c>
      <c r="D123" s="2979">
        <v>13.6</v>
      </c>
      <c r="E123" s="2979">
        <v>0</v>
      </c>
      <c r="F123" s="2979">
        <v>0</v>
      </c>
      <c r="G123" s="2976" t="s">
        <v>3062</v>
      </c>
      <c r="H123" s="2976"/>
      <c r="I123" s="3001">
        <f t="shared" si="1"/>
        <v>13.6</v>
      </c>
    </row>
    <row r="124" spans="1:9" ht="20.100000000000001" customHeight="1">
      <c r="A124" s="2968">
        <v>121</v>
      </c>
      <c r="B124" s="3413" t="s">
        <v>4044</v>
      </c>
      <c r="C124" s="2979">
        <v>13.28</v>
      </c>
      <c r="D124" s="2979">
        <v>13.28</v>
      </c>
      <c r="E124" s="2979">
        <v>0</v>
      </c>
      <c r="F124" s="2979">
        <v>0</v>
      </c>
      <c r="G124" s="2976" t="s">
        <v>3062</v>
      </c>
      <c r="H124" s="2976"/>
      <c r="I124" s="3001">
        <f t="shared" si="1"/>
        <v>13.28</v>
      </c>
    </row>
    <row r="125" spans="1:9" ht="20.100000000000001" customHeight="1">
      <c r="A125" s="2968">
        <v>122</v>
      </c>
      <c r="B125" s="3413" t="s">
        <v>4045</v>
      </c>
      <c r="C125" s="2979">
        <v>13.28</v>
      </c>
      <c r="D125" s="2979">
        <v>13.28</v>
      </c>
      <c r="E125" s="2979">
        <v>0</v>
      </c>
      <c r="F125" s="2979">
        <v>0</v>
      </c>
      <c r="G125" s="2976" t="s">
        <v>3062</v>
      </c>
      <c r="H125" s="2976"/>
      <c r="I125" s="3001">
        <f t="shared" si="1"/>
        <v>13.28</v>
      </c>
    </row>
    <row r="126" spans="1:9" ht="20.100000000000001" customHeight="1">
      <c r="A126" s="2968">
        <v>123</v>
      </c>
      <c r="B126" s="3413" t="s">
        <v>4046</v>
      </c>
      <c r="C126" s="2979">
        <v>13.28</v>
      </c>
      <c r="D126" s="2979">
        <v>13.28</v>
      </c>
      <c r="E126" s="2979">
        <v>0</v>
      </c>
      <c r="F126" s="2979">
        <v>0</v>
      </c>
      <c r="G126" s="2976" t="s">
        <v>3062</v>
      </c>
      <c r="H126" s="2976"/>
      <c r="I126" s="3001">
        <f t="shared" si="1"/>
        <v>13.28</v>
      </c>
    </row>
    <row r="127" spans="1:9" ht="20.100000000000001" customHeight="1">
      <c r="A127" s="2968">
        <v>124</v>
      </c>
      <c r="B127" s="3413" t="s">
        <v>4047</v>
      </c>
      <c r="C127" s="2979">
        <v>13.28</v>
      </c>
      <c r="D127" s="2979">
        <v>13.28</v>
      </c>
      <c r="E127" s="2979">
        <v>0</v>
      </c>
      <c r="F127" s="2979">
        <v>0</v>
      </c>
      <c r="G127" s="2976" t="s">
        <v>3062</v>
      </c>
      <c r="H127" s="2976"/>
      <c r="I127" s="3001">
        <f t="shared" si="1"/>
        <v>13.28</v>
      </c>
    </row>
    <row r="128" spans="1:9" ht="20.100000000000001" customHeight="1">
      <c r="A128" s="2968">
        <v>125</v>
      </c>
      <c r="B128" s="3413" t="s">
        <v>4048</v>
      </c>
      <c r="C128" s="2979">
        <v>13.28</v>
      </c>
      <c r="D128" s="2979">
        <v>13.28</v>
      </c>
      <c r="E128" s="2979">
        <v>0</v>
      </c>
      <c r="F128" s="2979">
        <v>0</v>
      </c>
      <c r="G128" s="2976" t="s">
        <v>3062</v>
      </c>
      <c r="H128" s="2976"/>
      <c r="I128" s="3001">
        <f t="shared" si="1"/>
        <v>13.28</v>
      </c>
    </row>
    <row r="129" spans="1:9" ht="20.100000000000001" customHeight="1">
      <c r="A129" s="2968">
        <v>126</v>
      </c>
      <c r="B129" s="3413" t="s">
        <v>4049</v>
      </c>
      <c r="C129" s="2979">
        <v>13.28</v>
      </c>
      <c r="D129" s="2979">
        <v>13.28</v>
      </c>
      <c r="E129" s="2979">
        <v>0</v>
      </c>
      <c r="F129" s="2979">
        <v>0</v>
      </c>
      <c r="G129" s="2976" t="s">
        <v>3062</v>
      </c>
      <c r="H129" s="2976"/>
      <c r="I129" s="3001">
        <f t="shared" si="1"/>
        <v>13.28</v>
      </c>
    </row>
    <row r="130" spans="1:9" ht="20.100000000000001" customHeight="1">
      <c r="A130" s="2968">
        <v>127</v>
      </c>
      <c r="B130" s="3413" t="s">
        <v>4050</v>
      </c>
      <c r="C130" s="2979">
        <v>13.28</v>
      </c>
      <c r="D130" s="2979">
        <v>13.28</v>
      </c>
      <c r="E130" s="2979">
        <v>0</v>
      </c>
      <c r="F130" s="2979">
        <v>0</v>
      </c>
      <c r="G130" s="2976" t="s">
        <v>3062</v>
      </c>
      <c r="H130" s="2976"/>
      <c r="I130" s="3001">
        <f t="shared" si="1"/>
        <v>13.28</v>
      </c>
    </row>
    <row r="131" spans="1:9" ht="20.100000000000001" customHeight="1">
      <c r="A131" s="2968">
        <v>128</v>
      </c>
      <c r="B131" s="3413" t="s">
        <v>4051</v>
      </c>
      <c r="C131" s="2979">
        <v>13.28</v>
      </c>
      <c r="D131" s="2979">
        <v>13.28</v>
      </c>
      <c r="E131" s="2979">
        <v>0</v>
      </c>
      <c r="F131" s="2979">
        <v>0</v>
      </c>
      <c r="G131" s="2976" t="s">
        <v>3062</v>
      </c>
      <c r="H131" s="2976"/>
      <c r="I131" s="3001">
        <f t="shared" si="1"/>
        <v>13.28</v>
      </c>
    </row>
    <row r="132" spans="1:9" ht="20.100000000000001" customHeight="1">
      <c r="A132" s="2968">
        <v>129</v>
      </c>
      <c r="B132" s="3413" t="s">
        <v>4052</v>
      </c>
      <c r="C132" s="2979">
        <v>13.28</v>
      </c>
      <c r="D132" s="2979">
        <v>13.28</v>
      </c>
      <c r="E132" s="2979">
        <v>0</v>
      </c>
      <c r="F132" s="2979">
        <v>0</v>
      </c>
      <c r="G132" s="2976" t="s">
        <v>3062</v>
      </c>
      <c r="H132" s="2976"/>
      <c r="I132" s="3001">
        <f t="shared" si="1"/>
        <v>13.28</v>
      </c>
    </row>
    <row r="133" spans="1:9" ht="20.100000000000001" customHeight="1">
      <c r="A133" s="2968">
        <v>130</v>
      </c>
      <c r="B133" s="3413" t="s">
        <v>4053</v>
      </c>
      <c r="C133" s="2979">
        <v>13.3</v>
      </c>
      <c r="D133" s="2979">
        <v>13.3</v>
      </c>
      <c r="E133" s="2979">
        <v>0</v>
      </c>
      <c r="F133" s="2979">
        <v>0</v>
      </c>
      <c r="G133" s="2976" t="s">
        <v>3062</v>
      </c>
      <c r="H133" s="2976"/>
      <c r="I133" s="3001">
        <f t="shared" ref="I133:I196" si="2">C133</f>
        <v>13.3</v>
      </c>
    </row>
    <row r="134" spans="1:9" ht="20.100000000000001" customHeight="1">
      <c r="A134" s="2968">
        <v>131</v>
      </c>
      <c r="B134" s="3413" t="s">
        <v>4054</v>
      </c>
      <c r="C134" s="2979">
        <v>13.44</v>
      </c>
      <c r="D134" s="2979">
        <v>13.44</v>
      </c>
      <c r="E134" s="2979">
        <v>0</v>
      </c>
      <c r="F134" s="2979">
        <v>0</v>
      </c>
      <c r="G134" s="2976" t="s">
        <v>3062</v>
      </c>
      <c r="H134" s="2976"/>
      <c r="I134" s="3001">
        <f t="shared" si="2"/>
        <v>13.44</v>
      </c>
    </row>
    <row r="135" spans="1:9" ht="20.100000000000001" customHeight="1">
      <c r="A135" s="2968">
        <v>132</v>
      </c>
      <c r="B135" s="3413" t="s">
        <v>4055</v>
      </c>
      <c r="C135" s="2979">
        <v>13.58</v>
      </c>
      <c r="D135" s="2979">
        <v>13.58</v>
      </c>
      <c r="E135" s="2979">
        <v>0</v>
      </c>
      <c r="F135" s="2979">
        <v>0</v>
      </c>
      <c r="G135" s="2976" t="s">
        <v>3062</v>
      </c>
      <c r="H135" s="2976"/>
      <c r="I135" s="3001">
        <f t="shared" si="2"/>
        <v>13.58</v>
      </c>
    </row>
    <row r="136" spans="1:9" ht="20.100000000000001" customHeight="1">
      <c r="A136" s="2968">
        <v>133</v>
      </c>
      <c r="B136" s="3413" t="s">
        <v>4056</v>
      </c>
      <c r="C136" s="2979">
        <v>13.48</v>
      </c>
      <c r="D136" s="2979">
        <v>13.48</v>
      </c>
      <c r="E136" s="2979">
        <v>0</v>
      </c>
      <c r="F136" s="2979">
        <v>0</v>
      </c>
      <c r="G136" s="2976" t="s">
        <v>3062</v>
      </c>
      <c r="H136" s="2976"/>
      <c r="I136" s="3001">
        <f t="shared" si="2"/>
        <v>13.48</v>
      </c>
    </row>
    <row r="137" spans="1:9" ht="20.100000000000001" customHeight="1">
      <c r="A137" s="2968">
        <v>134</v>
      </c>
      <c r="B137" s="3413" t="s">
        <v>4057</v>
      </c>
      <c r="C137" s="2979">
        <v>13.48</v>
      </c>
      <c r="D137" s="2979">
        <v>13.48</v>
      </c>
      <c r="E137" s="2979">
        <v>0</v>
      </c>
      <c r="F137" s="2979">
        <v>0</v>
      </c>
      <c r="G137" s="2976" t="s">
        <v>3062</v>
      </c>
      <c r="H137" s="2976"/>
      <c r="I137" s="3001">
        <f t="shared" si="2"/>
        <v>13.48</v>
      </c>
    </row>
    <row r="138" spans="1:9" ht="20.100000000000001" customHeight="1">
      <c r="A138" s="2968">
        <v>135</v>
      </c>
      <c r="B138" s="3413" t="s">
        <v>4058</v>
      </c>
      <c r="C138" s="2979">
        <v>13.48</v>
      </c>
      <c r="D138" s="2979">
        <v>13.48</v>
      </c>
      <c r="E138" s="2979">
        <v>0</v>
      </c>
      <c r="F138" s="2979">
        <v>0</v>
      </c>
      <c r="G138" s="2976" t="s">
        <v>3062</v>
      </c>
      <c r="H138" s="2976"/>
      <c r="I138" s="3001">
        <f t="shared" si="2"/>
        <v>13.48</v>
      </c>
    </row>
    <row r="139" spans="1:9" ht="20.100000000000001" customHeight="1">
      <c r="A139" s="2968">
        <v>136</v>
      </c>
      <c r="B139" s="3413" t="s">
        <v>4059</v>
      </c>
      <c r="C139" s="2979">
        <v>13.28</v>
      </c>
      <c r="D139" s="2979">
        <v>13.28</v>
      </c>
      <c r="E139" s="2979">
        <v>0</v>
      </c>
      <c r="F139" s="2979">
        <v>0</v>
      </c>
      <c r="G139" s="2976" t="s">
        <v>3062</v>
      </c>
      <c r="H139" s="2976"/>
      <c r="I139" s="3001">
        <f t="shared" si="2"/>
        <v>13.28</v>
      </c>
    </row>
    <row r="140" spans="1:9" ht="20.100000000000001" customHeight="1">
      <c r="A140" s="2968">
        <v>137</v>
      </c>
      <c r="B140" s="3413" t="s">
        <v>4060</v>
      </c>
      <c r="C140" s="2979">
        <v>11.76</v>
      </c>
      <c r="D140" s="2979">
        <v>11.76</v>
      </c>
      <c r="E140" s="2979">
        <v>0</v>
      </c>
      <c r="F140" s="2979">
        <v>0</v>
      </c>
      <c r="G140" s="2976" t="s">
        <v>3062</v>
      </c>
      <c r="H140" s="2976"/>
      <c r="I140" s="3001">
        <f t="shared" si="2"/>
        <v>11.76</v>
      </c>
    </row>
    <row r="141" spans="1:9" ht="20.100000000000001" customHeight="1">
      <c r="A141" s="2968">
        <v>138</v>
      </c>
      <c r="B141" s="3413" t="s">
        <v>4061</v>
      </c>
      <c r="C141" s="2979">
        <v>13.28</v>
      </c>
      <c r="D141" s="2979">
        <v>13.28</v>
      </c>
      <c r="E141" s="2979">
        <v>0</v>
      </c>
      <c r="F141" s="2979">
        <v>0</v>
      </c>
      <c r="G141" s="2976" t="s">
        <v>3062</v>
      </c>
      <c r="H141" s="2976"/>
      <c r="I141" s="3001">
        <f t="shared" si="2"/>
        <v>13.28</v>
      </c>
    </row>
    <row r="142" spans="1:9" ht="20.100000000000001" customHeight="1">
      <c r="A142" s="2968">
        <v>139</v>
      </c>
      <c r="B142" s="3413" t="s">
        <v>4062</v>
      </c>
      <c r="C142" s="2979">
        <v>13.28</v>
      </c>
      <c r="D142" s="2979">
        <v>13.28</v>
      </c>
      <c r="E142" s="2979">
        <v>0</v>
      </c>
      <c r="F142" s="2979">
        <v>0</v>
      </c>
      <c r="G142" s="2976" t="s">
        <v>3062</v>
      </c>
      <c r="H142" s="2976"/>
      <c r="I142" s="3001">
        <f t="shared" si="2"/>
        <v>13.28</v>
      </c>
    </row>
    <row r="143" spans="1:9" ht="20.100000000000001" customHeight="1">
      <c r="A143" s="2968">
        <v>140</v>
      </c>
      <c r="B143" s="3413" t="s">
        <v>4063</v>
      </c>
      <c r="C143" s="2979">
        <v>13.28</v>
      </c>
      <c r="D143" s="2979">
        <v>13.28</v>
      </c>
      <c r="E143" s="2979">
        <v>0</v>
      </c>
      <c r="F143" s="2979">
        <v>0</v>
      </c>
      <c r="G143" s="2976" t="s">
        <v>3062</v>
      </c>
      <c r="H143" s="2976"/>
      <c r="I143" s="3001">
        <f t="shared" si="2"/>
        <v>13.28</v>
      </c>
    </row>
    <row r="144" spans="1:9" ht="20.100000000000001" customHeight="1">
      <c r="A144" s="2968">
        <v>141</v>
      </c>
      <c r="B144" s="3413" t="s">
        <v>4064</v>
      </c>
      <c r="C144" s="2979">
        <v>13.28</v>
      </c>
      <c r="D144" s="2979">
        <v>13.28</v>
      </c>
      <c r="E144" s="2979">
        <v>0</v>
      </c>
      <c r="F144" s="2979">
        <v>0</v>
      </c>
      <c r="G144" s="2976" t="s">
        <v>3062</v>
      </c>
      <c r="H144" s="2976"/>
      <c r="I144" s="3001">
        <f t="shared" si="2"/>
        <v>13.28</v>
      </c>
    </row>
    <row r="145" spans="1:9" ht="20.100000000000001" customHeight="1">
      <c r="A145" s="2968">
        <v>142</v>
      </c>
      <c r="B145" s="3413" t="s">
        <v>4065</v>
      </c>
      <c r="C145" s="2979">
        <v>13.28</v>
      </c>
      <c r="D145" s="2979">
        <v>13.28</v>
      </c>
      <c r="E145" s="2979">
        <v>0</v>
      </c>
      <c r="F145" s="2979">
        <v>0</v>
      </c>
      <c r="G145" s="2976" t="s">
        <v>3062</v>
      </c>
      <c r="H145" s="2976"/>
      <c r="I145" s="3001">
        <f t="shared" si="2"/>
        <v>13.28</v>
      </c>
    </row>
    <row r="146" spans="1:9" ht="20.100000000000001" customHeight="1">
      <c r="A146" s="2968">
        <v>143</v>
      </c>
      <c r="B146" s="3413" t="s">
        <v>4066</v>
      </c>
      <c r="C146" s="2979">
        <v>13.28</v>
      </c>
      <c r="D146" s="2979">
        <v>13.28</v>
      </c>
      <c r="E146" s="2979">
        <v>0</v>
      </c>
      <c r="F146" s="2979">
        <v>0</v>
      </c>
      <c r="G146" s="2976" t="s">
        <v>3062</v>
      </c>
      <c r="H146" s="2976"/>
      <c r="I146" s="3001">
        <f t="shared" si="2"/>
        <v>13.28</v>
      </c>
    </row>
    <row r="147" spans="1:9" ht="20.100000000000001" customHeight="1">
      <c r="A147" s="2968">
        <v>144</v>
      </c>
      <c r="B147" s="3413" t="s">
        <v>4067</v>
      </c>
      <c r="C147" s="2979">
        <v>13.3</v>
      </c>
      <c r="D147" s="2979">
        <v>13.3</v>
      </c>
      <c r="E147" s="2979">
        <v>0</v>
      </c>
      <c r="F147" s="2979">
        <v>0</v>
      </c>
      <c r="G147" s="2976" t="s">
        <v>3062</v>
      </c>
      <c r="H147" s="2976"/>
      <c r="I147" s="3001">
        <f t="shared" si="2"/>
        <v>13.3</v>
      </c>
    </row>
    <row r="148" spans="1:9" ht="20.100000000000001" customHeight="1">
      <c r="A148" s="2968">
        <v>145</v>
      </c>
      <c r="B148" s="3413" t="s">
        <v>4068</v>
      </c>
      <c r="C148" s="2979">
        <v>11.76</v>
      </c>
      <c r="D148" s="2979">
        <v>11.76</v>
      </c>
      <c r="E148" s="2979">
        <v>0</v>
      </c>
      <c r="F148" s="2979">
        <v>0</v>
      </c>
      <c r="G148" s="2976" t="s">
        <v>3062</v>
      </c>
      <c r="H148" s="2976"/>
      <c r="I148" s="3001">
        <f t="shared" si="2"/>
        <v>11.76</v>
      </c>
    </row>
    <row r="149" spans="1:9" ht="20.100000000000001" customHeight="1">
      <c r="A149" s="2968">
        <v>146</v>
      </c>
      <c r="B149" s="3413" t="s">
        <v>4069</v>
      </c>
      <c r="C149" s="2979">
        <v>13.28</v>
      </c>
      <c r="D149" s="2979">
        <v>13.28</v>
      </c>
      <c r="E149" s="2979">
        <v>0</v>
      </c>
      <c r="F149" s="2979">
        <v>0</v>
      </c>
      <c r="G149" s="2976" t="s">
        <v>3062</v>
      </c>
      <c r="H149" s="2976"/>
      <c r="I149" s="3001">
        <f t="shared" si="2"/>
        <v>13.28</v>
      </c>
    </row>
    <row r="150" spans="1:9" ht="20.100000000000001" customHeight="1">
      <c r="A150" s="2968">
        <v>147</v>
      </c>
      <c r="B150" s="3413" t="s">
        <v>4070</v>
      </c>
      <c r="C150" s="2979">
        <v>13.82</v>
      </c>
      <c r="D150" s="2979">
        <v>13.82</v>
      </c>
      <c r="E150" s="2979">
        <v>0</v>
      </c>
      <c r="F150" s="2979">
        <v>0</v>
      </c>
      <c r="G150" s="2976" t="s">
        <v>3062</v>
      </c>
      <c r="H150" s="2976"/>
      <c r="I150" s="3001">
        <f t="shared" si="2"/>
        <v>13.82</v>
      </c>
    </row>
    <row r="151" spans="1:9" ht="20.100000000000001" customHeight="1">
      <c r="A151" s="2968">
        <v>148</v>
      </c>
      <c r="B151" s="3413" t="s">
        <v>4071</v>
      </c>
      <c r="C151" s="2979">
        <v>12.74</v>
      </c>
      <c r="D151" s="2979">
        <v>12.74</v>
      </c>
      <c r="E151" s="2979">
        <v>0</v>
      </c>
      <c r="F151" s="2979">
        <v>0</v>
      </c>
      <c r="G151" s="2976" t="s">
        <v>3062</v>
      </c>
      <c r="H151" s="2976"/>
      <c r="I151" s="3001">
        <f t="shared" si="2"/>
        <v>12.74</v>
      </c>
    </row>
    <row r="152" spans="1:9" ht="20.100000000000001" customHeight="1">
      <c r="A152" s="2968">
        <v>149</v>
      </c>
      <c r="B152" s="3413" t="s">
        <v>4072</v>
      </c>
      <c r="C152" s="2979">
        <v>13.28</v>
      </c>
      <c r="D152" s="2979">
        <v>13.28</v>
      </c>
      <c r="E152" s="2979">
        <v>0</v>
      </c>
      <c r="F152" s="2979">
        <v>0</v>
      </c>
      <c r="G152" s="2976" t="s">
        <v>3062</v>
      </c>
      <c r="H152" s="2976"/>
      <c r="I152" s="3001">
        <f t="shared" si="2"/>
        <v>13.28</v>
      </c>
    </row>
    <row r="153" spans="1:9" ht="20.100000000000001" customHeight="1">
      <c r="A153" s="2968">
        <v>150</v>
      </c>
      <c r="B153" s="3413" t="s">
        <v>4073</v>
      </c>
      <c r="C153" s="2979">
        <v>13.28</v>
      </c>
      <c r="D153" s="2979">
        <v>13.28</v>
      </c>
      <c r="E153" s="2979">
        <v>0</v>
      </c>
      <c r="F153" s="2979">
        <v>0</v>
      </c>
      <c r="G153" s="2976" t="s">
        <v>3062</v>
      </c>
      <c r="H153" s="2976"/>
      <c r="I153" s="3001">
        <f t="shared" si="2"/>
        <v>13.28</v>
      </c>
    </row>
    <row r="154" spans="1:9" ht="20.100000000000001" customHeight="1">
      <c r="A154" s="2968">
        <v>151</v>
      </c>
      <c r="B154" s="3413" t="s">
        <v>4074</v>
      </c>
      <c r="C154" s="2979">
        <v>13.01</v>
      </c>
      <c r="D154" s="2979">
        <v>13.01</v>
      </c>
      <c r="E154" s="2979">
        <v>0</v>
      </c>
      <c r="F154" s="2979">
        <v>0</v>
      </c>
      <c r="G154" s="2976" t="s">
        <v>3062</v>
      </c>
      <c r="H154" s="2976"/>
      <c r="I154" s="3001">
        <f t="shared" si="2"/>
        <v>13.01</v>
      </c>
    </row>
    <row r="155" spans="1:9" ht="20.100000000000001" customHeight="1">
      <c r="A155" s="2968">
        <v>152</v>
      </c>
      <c r="B155" s="3413" t="s">
        <v>4075</v>
      </c>
      <c r="C155" s="2979">
        <v>13.55</v>
      </c>
      <c r="D155" s="2979">
        <v>13.55</v>
      </c>
      <c r="E155" s="2979">
        <v>0</v>
      </c>
      <c r="F155" s="2979">
        <v>0</v>
      </c>
      <c r="G155" s="2976" t="s">
        <v>3062</v>
      </c>
      <c r="H155" s="2976"/>
      <c r="I155" s="3001">
        <f t="shared" si="2"/>
        <v>13.55</v>
      </c>
    </row>
    <row r="156" spans="1:9" ht="20.100000000000001" customHeight="1">
      <c r="A156" s="2968">
        <v>153</v>
      </c>
      <c r="B156" s="3413" t="s">
        <v>4076</v>
      </c>
      <c r="C156" s="2979">
        <v>11.64</v>
      </c>
      <c r="D156" s="2979">
        <v>11.64</v>
      </c>
      <c r="E156" s="2979">
        <v>0</v>
      </c>
      <c r="F156" s="2979">
        <v>0</v>
      </c>
      <c r="G156" s="2976" t="s">
        <v>3062</v>
      </c>
      <c r="H156" s="2976"/>
      <c r="I156" s="3001">
        <f t="shared" si="2"/>
        <v>11.64</v>
      </c>
    </row>
    <row r="157" spans="1:9" ht="20.100000000000001" customHeight="1">
      <c r="A157" s="2968">
        <v>154</v>
      </c>
      <c r="B157" s="3413" t="s">
        <v>4077</v>
      </c>
      <c r="C157" s="2979">
        <v>13.28</v>
      </c>
      <c r="D157" s="2979">
        <v>13.28</v>
      </c>
      <c r="E157" s="2979">
        <v>0</v>
      </c>
      <c r="F157" s="2979">
        <v>0</v>
      </c>
      <c r="G157" s="2976" t="s">
        <v>3062</v>
      </c>
      <c r="H157" s="2976"/>
      <c r="I157" s="3001">
        <f t="shared" si="2"/>
        <v>13.28</v>
      </c>
    </row>
    <row r="158" spans="1:9" ht="20.100000000000001" customHeight="1">
      <c r="A158" s="2968">
        <v>155</v>
      </c>
      <c r="B158" s="3413" t="s">
        <v>4078</v>
      </c>
      <c r="C158" s="2979">
        <v>13.28</v>
      </c>
      <c r="D158" s="2979">
        <v>13.28</v>
      </c>
      <c r="E158" s="2979">
        <v>0</v>
      </c>
      <c r="F158" s="2979">
        <v>0</v>
      </c>
      <c r="G158" s="2976" t="s">
        <v>3062</v>
      </c>
      <c r="H158" s="2976"/>
      <c r="I158" s="3001">
        <f t="shared" si="2"/>
        <v>13.28</v>
      </c>
    </row>
    <row r="159" spans="1:9" ht="20.100000000000001" customHeight="1">
      <c r="A159" s="2968">
        <v>156</v>
      </c>
      <c r="B159" s="3413" t="s">
        <v>4079</v>
      </c>
      <c r="C159" s="2979">
        <v>13.48</v>
      </c>
      <c r="D159" s="2979">
        <v>13.48</v>
      </c>
      <c r="E159" s="2979">
        <v>0</v>
      </c>
      <c r="F159" s="2979">
        <v>0</v>
      </c>
      <c r="G159" s="2976" t="s">
        <v>3062</v>
      </c>
      <c r="H159" s="2976"/>
      <c r="I159" s="3001">
        <f t="shared" si="2"/>
        <v>13.48</v>
      </c>
    </row>
    <row r="160" spans="1:9" ht="20.100000000000001" customHeight="1">
      <c r="A160" s="2968">
        <v>157</v>
      </c>
      <c r="B160" s="3413" t="s">
        <v>4080</v>
      </c>
      <c r="C160" s="2979">
        <v>13.48</v>
      </c>
      <c r="D160" s="2979">
        <v>13.48</v>
      </c>
      <c r="E160" s="2979">
        <v>0</v>
      </c>
      <c r="F160" s="2979">
        <v>0</v>
      </c>
      <c r="G160" s="2976" t="s">
        <v>3062</v>
      </c>
      <c r="H160" s="2976"/>
      <c r="I160" s="3001">
        <f t="shared" si="2"/>
        <v>13.48</v>
      </c>
    </row>
    <row r="161" spans="1:9" ht="20.100000000000001" customHeight="1">
      <c r="A161" s="2968">
        <v>158</v>
      </c>
      <c r="B161" s="3413" t="s">
        <v>3085</v>
      </c>
      <c r="C161" s="2979">
        <v>13.48</v>
      </c>
      <c r="D161" s="2979">
        <v>13.48</v>
      </c>
      <c r="E161" s="2979">
        <v>0</v>
      </c>
      <c r="F161" s="2979">
        <v>0</v>
      </c>
      <c r="G161" s="2976" t="s">
        <v>3062</v>
      </c>
      <c r="H161" s="2976"/>
      <c r="I161" s="3001">
        <f t="shared" si="2"/>
        <v>13.48</v>
      </c>
    </row>
    <row r="162" spans="1:9" ht="20.100000000000001" customHeight="1">
      <c r="A162" s="2968">
        <v>159</v>
      </c>
      <c r="B162" s="3413" t="s">
        <v>3086</v>
      </c>
      <c r="C162" s="2979">
        <v>13.55</v>
      </c>
      <c r="D162" s="2979">
        <v>13.55</v>
      </c>
      <c r="E162" s="2979">
        <v>0</v>
      </c>
      <c r="F162" s="2979">
        <v>0</v>
      </c>
      <c r="G162" s="2976" t="s">
        <v>3062</v>
      </c>
      <c r="H162" s="2976"/>
      <c r="I162" s="3001">
        <f t="shared" si="2"/>
        <v>13.55</v>
      </c>
    </row>
    <row r="163" spans="1:9" ht="20.100000000000001" customHeight="1">
      <c r="A163" s="2968">
        <v>160</v>
      </c>
      <c r="B163" s="3413" t="s">
        <v>3087</v>
      </c>
      <c r="C163" s="2979">
        <v>13.55</v>
      </c>
      <c r="D163" s="2979">
        <v>13.55</v>
      </c>
      <c r="E163" s="2979">
        <v>0</v>
      </c>
      <c r="F163" s="2979">
        <v>0</v>
      </c>
      <c r="G163" s="2976" t="s">
        <v>3062</v>
      </c>
      <c r="H163" s="2976"/>
      <c r="I163" s="3001">
        <f t="shared" si="2"/>
        <v>13.55</v>
      </c>
    </row>
    <row r="164" spans="1:9" ht="20.100000000000001" customHeight="1">
      <c r="A164" s="2968">
        <v>161</v>
      </c>
      <c r="B164" s="3413" t="s">
        <v>3088</v>
      </c>
      <c r="C164" s="2979">
        <v>13.55</v>
      </c>
      <c r="D164" s="2979">
        <v>13.55</v>
      </c>
      <c r="E164" s="2979">
        <v>0</v>
      </c>
      <c r="F164" s="2979">
        <v>0</v>
      </c>
      <c r="G164" s="2976" t="s">
        <v>3062</v>
      </c>
      <c r="H164" s="2976"/>
      <c r="I164" s="3001">
        <f t="shared" si="2"/>
        <v>13.55</v>
      </c>
    </row>
    <row r="165" spans="1:9" ht="20.100000000000001" customHeight="1">
      <c r="A165" s="2968">
        <v>162</v>
      </c>
      <c r="B165" s="3413" t="s">
        <v>3089</v>
      </c>
      <c r="C165" s="2979">
        <v>13.4</v>
      </c>
      <c r="D165" s="2979">
        <v>13.4</v>
      </c>
      <c r="E165" s="2979">
        <v>0</v>
      </c>
      <c r="F165" s="2979">
        <v>0</v>
      </c>
      <c r="G165" s="2976" t="s">
        <v>3062</v>
      </c>
      <c r="H165" s="2976"/>
      <c r="I165" s="3001">
        <f t="shared" si="2"/>
        <v>13.4</v>
      </c>
    </row>
    <row r="166" spans="1:9" ht="20.100000000000001" customHeight="1">
      <c r="A166" s="2968">
        <v>163</v>
      </c>
      <c r="B166" s="3413" t="s">
        <v>3090</v>
      </c>
      <c r="C166" s="2979">
        <v>13.4</v>
      </c>
      <c r="D166" s="2979">
        <v>13.4</v>
      </c>
      <c r="E166" s="2979">
        <v>0</v>
      </c>
      <c r="F166" s="2979">
        <v>0</v>
      </c>
      <c r="G166" s="2976" t="s">
        <v>3062</v>
      </c>
      <c r="H166" s="2976"/>
      <c r="I166" s="3001">
        <f t="shared" si="2"/>
        <v>13.4</v>
      </c>
    </row>
    <row r="167" spans="1:9" ht="20.100000000000001" customHeight="1">
      <c r="A167" s="2968">
        <v>164</v>
      </c>
      <c r="B167" s="3413" t="s">
        <v>3091</v>
      </c>
      <c r="C167" s="2979">
        <v>13.4</v>
      </c>
      <c r="D167" s="2979">
        <v>13.4</v>
      </c>
      <c r="E167" s="2979">
        <v>0</v>
      </c>
      <c r="F167" s="2979">
        <v>0</v>
      </c>
      <c r="G167" s="2976" t="s">
        <v>3062</v>
      </c>
      <c r="H167" s="2976"/>
      <c r="I167" s="3001">
        <f t="shared" si="2"/>
        <v>13.4</v>
      </c>
    </row>
    <row r="168" spans="1:9" ht="20.100000000000001" customHeight="1">
      <c r="A168" s="2968">
        <v>165</v>
      </c>
      <c r="B168" s="3413" t="s">
        <v>3092</v>
      </c>
      <c r="C168" s="2979">
        <v>13.6</v>
      </c>
      <c r="D168" s="2979">
        <v>13.6</v>
      </c>
      <c r="E168" s="2979">
        <v>0</v>
      </c>
      <c r="F168" s="2979">
        <v>0</v>
      </c>
      <c r="G168" s="2976" t="s">
        <v>3062</v>
      </c>
      <c r="H168" s="2976"/>
      <c r="I168" s="3001">
        <f t="shared" si="2"/>
        <v>13.6</v>
      </c>
    </row>
    <row r="169" spans="1:9" ht="20.100000000000001" customHeight="1">
      <c r="A169" s="2968">
        <v>166</v>
      </c>
      <c r="B169" s="3413" t="s">
        <v>3093</v>
      </c>
      <c r="C169" s="2979">
        <v>13.6</v>
      </c>
      <c r="D169" s="2979">
        <v>13.6</v>
      </c>
      <c r="E169" s="2979">
        <v>0</v>
      </c>
      <c r="F169" s="2979">
        <v>0</v>
      </c>
      <c r="G169" s="2976" t="s">
        <v>3062</v>
      </c>
      <c r="H169" s="2976"/>
      <c r="I169" s="3001">
        <f t="shared" si="2"/>
        <v>13.6</v>
      </c>
    </row>
    <row r="170" spans="1:9" ht="20.100000000000001" customHeight="1">
      <c r="A170" s="2968">
        <v>167</v>
      </c>
      <c r="B170" s="3413" t="s">
        <v>3094</v>
      </c>
      <c r="C170" s="2979">
        <v>13.6</v>
      </c>
      <c r="D170" s="2979">
        <v>13.6</v>
      </c>
      <c r="E170" s="2979">
        <v>0</v>
      </c>
      <c r="F170" s="2979">
        <v>0</v>
      </c>
      <c r="G170" s="2976" t="s">
        <v>3062</v>
      </c>
      <c r="H170" s="2976"/>
      <c r="I170" s="3001">
        <f t="shared" si="2"/>
        <v>13.6</v>
      </c>
    </row>
    <row r="171" spans="1:9" ht="20.100000000000001" customHeight="1">
      <c r="A171" s="2968">
        <v>168</v>
      </c>
      <c r="B171" s="3413" t="s">
        <v>3095</v>
      </c>
      <c r="C171" s="2979">
        <v>13.48</v>
      </c>
      <c r="D171" s="2979">
        <v>13.48</v>
      </c>
      <c r="E171" s="2979">
        <v>0</v>
      </c>
      <c r="F171" s="2979">
        <v>0</v>
      </c>
      <c r="G171" s="2976" t="s">
        <v>3062</v>
      </c>
      <c r="H171" s="2976"/>
      <c r="I171" s="3001">
        <f t="shared" si="2"/>
        <v>13.48</v>
      </c>
    </row>
    <row r="172" spans="1:9" ht="20.100000000000001" customHeight="1">
      <c r="A172" s="2968">
        <v>169</v>
      </c>
      <c r="B172" s="3413" t="s">
        <v>3096</v>
      </c>
      <c r="C172" s="2979">
        <v>13.48</v>
      </c>
      <c r="D172" s="2979">
        <v>13.48</v>
      </c>
      <c r="E172" s="2979">
        <v>0</v>
      </c>
      <c r="F172" s="2979">
        <v>0</v>
      </c>
      <c r="G172" s="2976" t="s">
        <v>3062</v>
      </c>
      <c r="H172" s="2976"/>
      <c r="I172" s="3001">
        <f t="shared" si="2"/>
        <v>13.48</v>
      </c>
    </row>
    <row r="173" spans="1:9" ht="20.100000000000001" customHeight="1">
      <c r="A173" s="2968">
        <v>170</v>
      </c>
      <c r="B173" s="3413" t="s">
        <v>3097</v>
      </c>
      <c r="C173" s="2979">
        <v>13.48</v>
      </c>
      <c r="D173" s="2979">
        <v>13.48</v>
      </c>
      <c r="E173" s="2979">
        <v>0</v>
      </c>
      <c r="F173" s="2979">
        <v>0</v>
      </c>
      <c r="G173" s="2976" t="s">
        <v>3062</v>
      </c>
      <c r="H173" s="2976"/>
      <c r="I173" s="3001">
        <f t="shared" si="2"/>
        <v>13.48</v>
      </c>
    </row>
    <row r="174" spans="1:9" ht="20.100000000000001" customHeight="1">
      <c r="A174" s="2968">
        <v>171</v>
      </c>
      <c r="B174" s="3413" t="s">
        <v>3098</v>
      </c>
      <c r="C174" s="2979">
        <v>13.86</v>
      </c>
      <c r="D174" s="2979">
        <v>13.86</v>
      </c>
      <c r="E174" s="2979">
        <v>0</v>
      </c>
      <c r="F174" s="2979">
        <v>0</v>
      </c>
      <c r="G174" s="2976" t="s">
        <v>3062</v>
      </c>
      <c r="H174" s="2976"/>
      <c r="I174" s="3001">
        <f t="shared" si="2"/>
        <v>13.86</v>
      </c>
    </row>
    <row r="175" spans="1:9" ht="20.100000000000001" customHeight="1">
      <c r="A175" s="2968">
        <v>172</v>
      </c>
      <c r="B175" s="3413" t="s">
        <v>3099</v>
      </c>
      <c r="C175" s="2979">
        <v>14.03</v>
      </c>
      <c r="D175" s="2979">
        <v>14.03</v>
      </c>
      <c r="E175" s="2979">
        <v>0</v>
      </c>
      <c r="F175" s="2979">
        <v>0</v>
      </c>
      <c r="G175" s="2976" t="s">
        <v>3062</v>
      </c>
      <c r="H175" s="2976"/>
      <c r="I175" s="3001">
        <f t="shared" si="2"/>
        <v>14.03</v>
      </c>
    </row>
    <row r="176" spans="1:9" ht="20.100000000000001" customHeight="1">
      <c r="A176" s="2968">
        <v>173</v>
      </c>
      <c r="B176" s="3413" t="s">
        <v>3100</v>
      </c>
      <c r="C176" s="2979">
        <v>13.3</v>
      </c>
      <c r="D176" s="2979">
        <v>13.3</v>
      </c>
      <c r="E176" s="2979">
        <v>0</v>
      </c>
      <c r="F176" s="2979">
        <v>0</v>
      </c>
      <c r="G176" s="2976" t="s">
        <v>3062</v>
      </c>
      <c r="H176" s="2976"/>
      <c r="I176" s="3001">
        <f t="shared" si="2"/>
        <v>13.3</v>
      </c>
    </row>
    <row r="177" spans="1:9" ht="20.100000000000001" customHeight="1">
      <c r="A177" s="2968">
        <v>174</v>
      </c>
      <c r="B177" s="3413" t="s">
        <v>3101</v>
      </c>
      <c r="C177" s="2979">
        <v>13.3</v>
      </c>
      <c r="D177" s="2979">
        <v>13.3</v>
      </c>
      <c r="E177" s="2979">
        <v>0</v>
      </c>
      <c r="F177" s="2979">
        <v>0</v>
      </c>
      <c r="G177" s="2976" t="s">
        <v>3062</v>
      </c>
      <c r="H177" s="2976"/>
      <c r="I177" s="3001">
        <f t="shared" si="2"/>
        <v>13.3</v>
      </c>
    </row>
    <row r="178" spans="1:9" ht="20.100000000000001" customHeight="1">
      <c r="A178" s="2968">
        <v>175</v>
      </c>
      <c r="B178" s="3413" t="s">
        <v>3102</v>
      </c>
      <c r="C178" s="2979">
        <v>13.3</v>
      </c>
      <c r="D178" s="2979">
        <v>13.3</v>
      </c>
      <c r="E178" s="2979">
        <v>0</v>
      </c>
      <c r="F178" s="2979">
        <v>0</v>
      </c>
      <c r="G178" s="2976" t="s">
        <v>3062</v>
      </c>
      <c r="H178" s="2976"/>
      <c r="I178" s="3001">
        <f t="shared" si="2"/>
        <v>13.3</v>
      </c>
    </row>
    <row r="179" spans="1:9" ht="20.100000000000001" customHeight="1">
      <c r="A179" s="2968">
        <v>176</v>
      </c>
      <c r="B179" s="3413" t="s">
        <v>3103</v>
      </c>
      <c r="C179" s="2979">
        <v>13.3</v>
      </c>
      <c r="D179" s="2979">
        <v>13.3</v>
      </c>
      <c r="E179" s="2979">
        <v>0</v>
      </c>
      <c r="F179" s="2979">
        <v>0</v>
      </c>
      <c r="G179" s="2976" t="s">
        <v>3062</v>
      </c>
      <c r="H179" s="2976"/>
      <c r="I179" s="3001">
        <f t="shared" si="2"/>
        <v>13.3</v>
      </c>
    </row>
    <row r="180" spans="1:9" ht="20.100000000000001" customHeight="1">
      <c r="A180" s="2968">
        <v>177</v>
      </c>
      <c r="B180" s="3413" t="s">
        <v>3104</v>
      </c>
      <c r="C180" s="2979">
        <v>13.3</v>
      </c>
      <c r="D180" s="2979">
        <v>13.3</v>
      </c>
      <c r="E180" s="2979">
        <v>0</v>
      </c>
      <c r="F180" s="2979">
        <v>0</v>
      </c>
      <c r="G180" s="2976" t="s">
        <v>3062</v>
      </c>
      <c r="H180" s="2976"/>
      <c r="I180" s="3001">
        <f t="shared" si="2"/>
        <v>13.3</v>
      </c>
    </row>
    <row r="181" spans="1:9" ht="20.100000000000001" customHeight="1">
      <c r="A181" s="2968">
        <v>178</v>
      </c>
      <c r="B181" s="3413" t="s">
        <v>3105</v>
      </c>
      <c r="C181" s="2979">
        <v>13.3</v>
      </c>
      <c r="D181" s="2979">
        <v>13.3</v>
      </c>
      <c r="E181" s="2979">
        <v>0</v>
      </c>
      <c r="F181" s="2979">
        <v>0</v>
      </c>
      <c r="G181" s="2976" t="s">
        <v>3062</v>
      </c>
      <c r="H181" s="2976"/>
      <c r="I181" s="3001">
        <f t="shared" si="2"/>
        <v>13.3</v>
      </c>
    </row>
    <row r="182" spans="1:9" ht="20.100000000000001" customHeight="1">
      <c r="A182" s="2968">
        <v>179</v>
      </c>
      <c r="B182" s="3413" t="s">
        <v>4081</v>
      </c>
      <c r="C182" s="2979">
        <v>13.3</v>
      </c>
      <c r="D182" s="2979">
        <v>13.3</v>
      </c>
      <c r="E182" s="2979">
        <v>0</v>
      </c>
      <c r="F182" s="2979">
        <v>0</v>
      </c>
      <c r="G182" s="2976" t="s">
        <v>3062</v>
      </c>
      <c r="H182" s="2976"/>
      <c r="I182" s="3001">
        <f t="shared" si="2"/>
        <v>13.3</v>
      </c>
    </row>
    <row r="183" spans="1:9" ht="20.100000000000001" customHeight="1">
      <c r="A183" s="2968">
        <v>180</v>
      </c>
      <c r="B183" s="3413" t="s">
        <v>4082</v>
      </c>
      <c r="C183" s="2979">
        <v>13.3</v>
      </c>
      <c r="D183" s="2979">
        <v>13.3</v>
      </c>
      <c r="E183" s="2979">
        <v>0</v>
      </c>
      <c r="F183" s="2979">
        <v>0</v>
      </c>
      <c r="G183" s="2976" t="s">
        <v>3062</v>
      </c>
      <c r="H183" s="2976"/>
      <c r="I183" s="3001">
        <f t="shared" si="2"/>
        <v>13.3</v>
      </c>
    </row>
    <row r="184" spans="1:9" ht="20.100000000000001" customHeight="1">
      <c r="A184" s="2968">
        <v>181</v>
      </c>
      <c r="B184" s="3413" t="s">
        <v>4083</v>
      </c>
      <c r="C184" s="2979">
        <v>11.52</v>
      </c>
      <c r="D184" s="2979">
        <v>11.52</v>
      </c>
      <c r="E184" s="2979">
        <v>0</v>
      </c>
      <c r="F184" s="2979">
        <v>0</v>
      </c>
      <c r="G184" s="2976" t="s">
        <v>3062</v>
      </c>
      <c r="H184" s="2976"/>
      <c r="I184" s="3001">
        <f t="shared" si="2"/>
        <v>11.52</v>
      </c>
    </row>
    <row r="185" spans="1:9" ht="20.100000000000001" customHeight="1">
      <c r="A185" s="2968">
        <v>182</v>
      </c>
      <c r="B185" s="3413" t="s">
        <v>4084</v>
      </c>
      <c r="C185" s="2979">
        <v>13.23</v>
      </c>
      <c r="D185" s="2979">
        <v>13.23</v>
      </c>
      <c r="E185" s="2979">
        <v>0</v>
      </c>
      <c r="F185" s="2979">
        <v>0</v>
      </c>
      <c r="G185" s="2976" t="s">
        <v>3062</v>
      </c>
      <c r="H185" s="2976"/>
      <c r="I185" s="3001">
        <f t="shared" si="2"/>
        <v>13.23</v>
      </c>
    </row>
    <row r="186" spans="1:9" ht="20.100000000000001" customHeight="1">
      <c r="A186" s="2968">
        <v>183</v>
      </c>
      <c r="B186" s="3413" t="s">
        <v>4085</v>
      </c>
      <c r="C186" s="2979">
        <v>13.23</v>
      </c>
      <c r="D186" s="2979">
        <v>13.23</v>
      </c>
      <c r="E186" s="2979">
        <v>0</v>
      </c>
      <c r="F186" s="2979">
        <v>0</v>
      </c>
      <c r="G186" s="2976" t="s">
        <v>3062</v>
      </c>
      <c r="H186" s="2976"/>
      <c r="I186" s="3001">
        <f t="shared" si="2"/>
        <v>13.23</v>
      </c>
    </row>
    <row r="187" spans="1:9" ht="20.100000000000001" customHeight="1">
      <c r="A187" s="2968">
        <v>184</v>
      </c>
      <c r="B187" s="3413" t="s">
        <v>4086</v>
      </c>
      <c r="C187" s="2979">
        <v>13.23</v>
      </c>
      <c r="D187" s="2979">
        <v>13.23</v>
      </c>
      <c r="E187" s="2979">
        <v>0</v>
      </c>
      <c r="F187" s="2979">
        <v>0</v>
      </c>
      <c r="G187" s="2976" t="s">
        <v>3062</v>
      </c>
      <c r="H187" s="2976"/>
      <c r="I187" s="3001">
        <f t="shared" si="2"/>
        <v>13.23</v>
      </c>
    </row>
    <row r="188" spans="1:9" ht="20.100000000000001" customHeight="1">
      <c r="A188" s="2968">
        <v>185</v>
      </c>
      <c r="B188" s="3413" t="s">
        <v>4087</v>
      </c>
      <c r="C188" s="2979">
        <v>13.47</v>
      </c>
      <c r="D188" s="2979">
        <v>13.47</v>
      </c>
      <c r="E188" s="2979">
        <v>0</v>
      </c>
      <c r="F188" s="2979">
        <v>0</v>
      </c>
      <c r="G188" s="2976" t="s">
        <v>3062</v>
      </c>
      <c r="H188" s="2976"/>
      <c r="I188" s="3001">
        <f t="shared" si="2"/>
        <v>13.47</v>
      </c>
    </row>
    <row r="189" spans="1:9" ht="20.100000000000001" customHeight="1">
      <c r="A189" s="2968">
        <v>186</v>
      </c>
      <c r="B189" s="3413" t="s">
        <v>4088</v>
      </c>
      <c r="C189" s="2979">
        <v>13.47</v>
      </c>
      <c r="D189" s="2979">
        <v>13.47</v>
      </c>
      <c r="E189" s="2979">
        <v>0</v>
      </c>
      <c r="F189" s="2979">
        <v>0</v>
      </c>
      <c r="G189" s="2976" t="s">
        <v>3062</v>
      </c>
      <c r="H189" s="2976"/>
      <c r="I189" s="3001">
        <f t="shared" si="2"/>
        <v>13.47</v>
      </c>
    </row>
    <row r="190" spans="1:9" ht="20.100000000000001" customHeight="1">
      <c r="A190" s="2968">
        <v>187</v>
      </c>
      <c r="B190" s="3413" t="s">
        <v>4089</v>
      </c>
      <c r="C190" s="2979">
        <v>13.47</v>
      </c>
      <c r="D190" s="2979">
        <v>13.47</v>
      </c>
      <c r="E190" s="2979">
        <v>0</v>
      </c>
      <c r="F190" s="2979">
        <v>0</v>
      </c>
      <c r="G190" s="2976" t="s">
        <v>3062</v>
      </c>
      <c r="H190" s="2976"/>
      <c r="I190" s="3001">
        <f t="shared" si="2"/>
        <v>13.47</v>
      </c>
    </row>
    <row r="191" spans="1:9" ht="20.100000000000001" customHeight="1">
      <c r="A191" s="2968">
        <v>188</v>
      </c>
      <c r="B191" s="3413" t="s">
        <v>4090</v>
      </c>
      <c r="C191" s="2979">
        <v>13.47</v>
      </c>
      <c r="D191" s="2979">
        <v>13.47</v>
      </c>
      <c r="E191" s="2979">
        <v>0</v>
      </c>
      <c r="F191" s="2979">
        <v>0</v>
      </c>
      <c r="G191" s="2976" t="s">
        <v>3062</v>
      </c>
      <c r="H191" s="2976"/>
      <c r="I191" s="3001">
        <f t="shared" si="2"/>
        <v>13.47</v>
      </c>
    </row>
    <row r="192" spans="1:9" ht="20.100000000000001" customHeight="1">
      <c r="A192" s="2968">
        <v>189</v>
      </c>
      <c r="B192" s="3413" t="s">
        <v>4091</v>
      </c>
      <c r="C192" s="2979">
        <v>13.47</v>
      </c>
      <c r="D192" s="2979">
        <v>13.47</v>
      </c>
      <c r="E192" s="2979">
        <v>0</v>
      </c>
      <c r="F192" s="2979">
        <v>0</v>
      </c>
      <c r="G192" s="2976" t="s">
        <v>3062</v>
      </c>
      <c r="H192" s="2976"/>
      <c r="I192" s="3001">
        <f t="shared" si="2"/>
        <v>13.47</v>
      </c>
    </row>
    <row r="193" spans="1:9" ht="20.100000000000001" customHeight="1">
      <c r="A193" s="2968">
        <v>190</v>
      </c>
      <c r="B193" s="3413" t="s">
        <v>4092</v>
      </c>
      <c r="C193" s="2979">
        <v>13.47</v>
      </c>
      <c r="D193" s="2979">
        <v>13.47</v>
      </c>
      <c r="E193" s="2979">
        <v>0</v>
      </c>
      <c r="F193" s="2979">
        <v>0</v>
      </c>
      <c r="G193" s="2976" t="s">
        <v>3062</v>
      </c>
      <c r="H193" s="2976"/>
      <c r="I193" s="3001">
        <f t="shared" si="2"/>
        <v>13.47</v>
      </c>
    </row>
    <row r="194" spans="1:9" ht="20.100000000000001" customHeight="1">
      <c r="A194" s="2968">
        <v>191</v>
      </c>
      <c r="B194" s="3413" t="s">
        <v>4093</v>
      </c>
      <c r="C194" s="2979">
        <v>13.48</v>
      </c>
      <c r="D194" s="2979">
        <v>13.48</v>
      </c>
      <c r="E194" s="2979">
        <v>0</v>
      </c>
      <c r="F194" s="2979">
        <v>0</v>
      </c>
      <c r="G194" s="2976" t="s">
        <v>3062</v>
      </c>
      <c r="H194" s="2976"/>
      <c r="I194" s="3001">
        <f t="shared" si="2"/>
        <v>13.48</v>
      </c>
    </row>
    <row r="195" spans="1:9" ht="20.100000000000001" customHeight="1">
      <c r="A195" s="2968">
        <v>192</v>
      </c>
      <c r="B195" s="3413" t="s">
        <v>4094</v>
      </c>
      <c r="C195" s="2979">
        <v>13.48</v>
      </c>
      <c r="D195" s="2979">
        <v>13.48</v>
      </c>
      <c r="E195" s="2979">
        <v>0</v>
      </c>
      <c r="F195" s="2979">
        <v>0</v>
      </c>
      <c r="G195" s="2976" t="s">
        <v>3062</v>
      </c>
      <c r="H195" s="2976"/>
      <c r="I195" s="3001">
        <f t="shared" si="2"/>
        <v>13.48</v>
      </c>
    </row>
    <row r="196" spans="1:9" ht="20.100000000000001" customHeight="1">
      <c r="A196" s="2968">
        <v>193</v>
      </c>
      <c r="B196" s="3413" t="s">
        <v>4095</v>
      </c>
      <c r="C196" s="2979">
        <v>13.47</v>
      </c>
      <c r="D196" s="2979">
        <v>13.47</v>
      </c>
      <c r="E196" s="2979">
        <v>0</v>
      </c>
      <c r="F196" s="2979">
        <v>0</v>
      </c>
      <c r="G196" s="2976" t="s">
        <v>3062</v>
      </c>
      <c r="H196" s="2976"/>
      <c r="I196" s="3001">
        <f t="shared" si="2"/>
        <v>13.47</v>
      </c>
    </row>
    <row r="197" spans="1:9" ht="20.100000000000001" customHeight="1">
      <c r="A197" s="2968">
        <v>194</v>
      </c>
      <c r="B197" s="3413" t="s">
        <v>4096</v>
      </c>
      <c r="C197" s="2979">
        <v>13.47</v>
      </c>
      <c r="D197" s="2979">
        <v>13.47</v>
      </c>
      <c r="E197" s="2979">
        <v>0</v>
      </c>
      <c r="F197" s="2979">
        <v>0</v>
      </c>
      <c r="G197" s="2976" t="s">
        <v>3062</v>
      </c>
      <c r="H197" s="2976"/>
      <c r="I197" s="3001">
        <f t="shared" ref="I197:I206" si="3">C197</f>
        <v>13.47</v>
      </c>
    </row>
    <row r="198" spans="1:9" ht="20.100000000000001" customHeight="1">
      <c r="A198" s="2968">
        <v>195</v>
      </c>
      <c r="B198" s="3413" t="s">
        <v>4097</v>
      </c>
      <c r="C198" s="2979">
        <v>13.47</v>
      </c>
      <c r="D198" s="2979">
        <v>13.47</v>
      </c>
      <c r="E198" s="2979">
        <v>0</v>
      </c>
      <c r="F198" s="2979">
        <v>0</v>
      </c>
      <c r="G198" s="2976" t="s">
        <v>3062</v>
      </c>
      <c r="H198" s="2976"/>
      <c r="I198" s="3001">
        <f t="shared" si="3"/>
        <v>13.47</v>
      </c>
    </row>
    <row r="199" spans="1:9" ht="20.100000000000001" customHeight="1">
      <c r="A199" s="2968">
        <v>196</v>
      </c>
      <c r="B199" s="3413" t="s">
        <v>4098</v>
      </c>
      <c r="C199" s="2979">
        <v>13.47</v>
      </c>
      <c r="D199" s="2979">
        <v>13.47</v>
      </c>
      <c r="E199" s="2979">
        <v>0</v>
      </c>
      <c r="F199" s="2979">
        <v>0</v>
      </c>
      <c r="G199" s="2976" t="s">
        <v>3062</v>
      </c>
      <c r="H199" s="2976"/>
      <c r="I199" s="3001">
        <f t="shared" si="3"/>
        <v>13.47</v>
      </c>
    </row>
    <row r="200" spans="1:9" ht="20.100000000000001" customHeight="1">
      <c r="A200" s="2968">
        <v>197</v>
      </c>
      <c r="B200" s="3413" t="s">
        <v>4099</v>
      </c>
      <c r="C200" s="2979">
        <v>13.47</v>
      </c>
      <c r="D200" s="2979">
        <v>13.47</v>
      </c>
      <c r="E200" s="2979">
        <v>0</v>
      </c>
      <c r="F200" s="2979">
        <v>0</v>
      </c>
      <c r="G200" s="2976" t="s">
        <v>3062</v>
      </c>
      <c r="H200" s="2976"/>
      <c r="I200" s="3001">
        <f t="shared" si="3"/>
        <v>13.47</v>
      </c>
    </row>
    <row r="201" spans="1:9" ht="20.100000000000001" customHeight="1">
      <c r="A201" s="2968">
        <v>198</v>
      </c>
      <c r="B201" s="3413" t="s">
        <v>4100</v>
      </c>
      <c r="C201" s="2979">
        <v>13.47</v>
      </c>
      <c r="D201" s="2979">
        <v>13.47</v>
      </c>
      <c r="E201" s="2979">
        <v>0</v>
      </c>
      <c r="F201" s="2979">
        <v>0</v>
      </c>
      <c r="G201" s="2976" t="s">
        <v>3062</v>
      </c>
      <c r="H201" s="2976"/>
      <c r="I201" s="3001">
        <f t="shared" si="3"/>
        <v>13.47</v>
      </c>
    </row>
    <row r="202" spans="1:9" ht="20.100000000000001" customHeight="1">
      <c r="A202" s="2968">
        <v>199</v>
      </c>
      <c r="B202" s="3413" t="s">
        <v>4101</v>
      </c>
      <c r="C202" s="2979">
        <v>13.84</v>
      </c>
      <c r="D202" s="2979">
        <v>13.84</v>
      </c>
      <c r="E202" s="2979">
        <v>0</v>
      </c>
      <c r="F202" s="2979">
        <v>0</v>
      </c>
      <c r="G202" s="2976" t="s">
        <v>3062</v>
      </c>
      <c r="H202" s="2976"/>
      <c r="I202" s="3001">
        <f t="shared" si="3"/>
        <v>13.84</v>
      </c>
    </row>
    <row r="203" spans="1:9" ht="20.100000000000001" customHeight="1">
      <c r="A203" s="2968">
        <v>200</v>
      </c>
      <c r="B203" s="3413" t="s">
        <v>4102</v>
      </c>
      <c r="C203" s="2979">
        <v>13.48</v>
      </c>
      <c r="D203" s="2979">
        <v>13.48</v>
      </c>
      <c r="E203" s="2979">
        <v>0</v>
      </c>
      <c r="F203" s="2979">
        <v>0</v>
      </c>
      <c r="G203" s="2976" t="s">
        <v>3062</v>
      </c>
      <c r="H203" s="2976"/>
      <c r="I203" s="3001">
        <f t="shared" si="3"/>
        <v>13.48</v>
      </c>
    </row>
    <row r="204" spans="1:9" ht="20.100000000000001" customHeight="1">
      <c r="A204" s="2968">
        <v>201</v>
      </c>
      <c r="B204" s="3413" t="s">
        <v>4103</v>
      </c>
      <c r="C204" s="2979">
        <v>13.48</v>
      </c>
      <c r="D204" s="2979">
        <v>13.48</v>
      </c>
      <c r="E204" s="2979">
        <v>0</v>
      </c>
      <c r="F204" s="2979">
        <v>0</v>
      </c>
      <c r="G204" s="2976" t="s">
        <v>3062</v>
      </c>
      <c r="H204" s="2976"/>
      <c r="I204" s="3001">
        <f t="shared" si="3"/>
        <v>13.48</v>
      </c>
    </row>
    <row r="205" spans="1:9" ht="20.100000000000001" customHeight="1">
      <c r="A205" s="2968">
        <v>202</v>
      </c>
      <c r="B205" s="3413" t="s">
        <v>4104</v>
      </c>
      <c r="C205" s="2979">
        <v>13.48</v>
      </c>
      <c r="D205" s="2979">
        <v>13.48</v>
      </c>
      <c r="E205" s="2979">
        <v>0</v>
      </c>
      <c r="F205" s="2979">
        <v>0</v>
      </c>
      <c r="G205" s="2976" t="s">
        <v>3062</v>
      </c>
      <c r="H205" s="2976"/>
      <c r="I205" s="3001">
        <f t="shared" si="3"/>
        <v>13.48</v>
      </c>
    </row>
    <row r="206" spans="1:9" ht="20.100000000000001" customHeight="1">
      <c r="A206" s="2968">
        <v>203</v>
      </c>
      <c r="B206" s="3413" t="s">
        <v>4105</v>
      </c>
      <c r="C206" s="2979">
        <v>13.48</v>
      </c>
      <c r="D206" s="2979">
        <v>13.48</v>
      </c>
      <c r="E206" s="2979">
        <v>0</v>
      </c>
      <c r="F206" s="2979">
        <v>0</v>
      </c>
      <c r="G206" s="2976" t="s">
        <v>3062</v>
      </c>
      <c r="H206" s="2976"/>
      <c r="I206" s="3001">
        <f t="shared" si="3"/>
        <v>13.48</v>
      </c>
    </row>
    <row r="207" spans="1:9" ht="20.100000000000001" customHeight="1">
      <c r="A207" s="3416" t="s">
        <v>3050</v>
      </c>
      <c r="B207" s="3417"/>
      <c r="C207" s="2979">
        <f>SUM(C4:C206)</f>
        <v>2719.64</v>
      </c>
      <c r="D207" s="2979">
        <f>SUM(D4:D206)</f>
        <v>2719.64</v>
      </c>
      <c r="E207" s="2979"/>
      <c r="F207" s="2979"/>
      <c r="G207" s="2976"/>
      <c r="H207" s="2976"/>
      <c r="I207" s="3001">
        <f>SUM(I4:I206)</f>
        <v>2719.64</v>
      </c>
    </row>
  </sheetData>
  <mergeCells count="3">
    <mergeCell ref="B1:H1"/>
    <mergeCell ref="B2:G2"/>
    <mergeCell ref="A207:B207"/>
  </mergeCells>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1" sqref="F1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5"/>
      <c r="C1" s="1395"/>
      <c r="D1" s="1395"/>
      <c r="E1" s="1395"/>
      <c r="F1" s="1395"/>
      <c r="G1" s="1395"/>
      <c r="H1" s="1395"/>
      <c r="I1" s="1395"/>
      <c r="J1" s="1395"/>
      <c r="K1" s="1395"/>
      <c r="L1" s="1395"/>
      <c r="M1" s="1395"/>
      <c r="N1" s="1395"/>
      <c r="O1" s="1395"/>
      <c r="P1" s="1395"/>
    </row>
    <row r="2" spans="1:16" ht="15">
      <c r="A2" s="3166" t="s">
        <v>1937</v>
      </c>
      <c r="B2" s="3166"/>
      <c r="C2" s="3166"/>
      <c r="D2" s="970" t="s">
        <v>1913</v>
      </c>
      <c r="E2" s="2224" t="s">
        <v>1914</v>
      </c>
      <c r="F2" s="1395"/>
      <c r="G2" s="2225"/>
      <c r="H2" s="2226"/>
      <c r="I2" s="2227" t="s">
        <v>1938</v>
      </c>
      <c r="J2" s="1395"/>
      <c r="K2" s="1395"/>
      <c r="L2" s="1395"/>
      <c r="M2" s="1395"/>
      <c r="N2" s="1430"/>
      <c r="O2" s="1395"/>
      <c r="P2" s="1395"/>
    </row>
    <row r="3" spans="1:16" ht="15.75" thickBot="1">
      <c r="A3" s="3167" t="s">
        <v>1911</v>
      </c>
      <c r="B3" s="3167"/>
      <c r="C3" s="3167"/>
      <c r="D3" s="46">
        <f>'数据-基础表'!AY6</f>
        <v>60760.83</v>
      </c>
      <c r="E3" s="46">
        <f>'数据-基础表'!AZ5</f>
        <v>30792.58</v>
      </c>
      <c r="F3" s="1395"/>
      <c r="G3" s="1402"/>
      <c r="H3" s="1250" t="s">
        <v>1912</v>
      </c>
      <c r="I3" s="55">
        <f>ROUND('数据-基础表'!B3/'数据-基础表'!A3,2)</f>
        <v>0.51</v>
      </c>
      <c r="J3" s="1395"/>
      <c r="K3" s="1395"/>
      <c r="L3" s="1395"/>
      <c r="M3" s="1395"/>
      <c r="N3" s="1430"/>
      <c r="O3" s="1395"/>
      <c r="P3" s="1395"/>
    </row>
    <row r="4" spans="1:16" ht="15">
      <c r="A4" s="3168"/>
      <c r="B4" s="3169"/>
      <c r="C4" s="3170"/>
      <c r="D4" s="2228" t="s">
        <v>1913</v>
      </c>
      <c r="E4" s="2229" t="s">
        <v>1914</v>
      </c>
      <c r="F4" s="1395"/>
      <c r="G4" s="2230" t="s">
        <v>1939</v>
      </c>
      <c r="H4" s="1250" t="s">
        <v>1919</v>
      </c>
      <c r="I4" s="55">
        <f>ROUND(SUMIF('数据-基础表'!I9:AS9,"地上",'数据-基础表'!I5:AS5)/'数据-基础表'!A3,2)</f>
        <v>0.46</v>
      </c>
      <c r="J4" s="1395"/>
      <c r="K4" s="1395"/>
      <c r="L4" s="1395"/>
      <c r="M4" s="1395"/>
      <c r="N4" s="1430"/>
      <c r="O4" s="1395"/>
      <c r="P4" s="1395"/>
    </row>
    <row r="5" spans="1:16">
      <c r="A5" s="47" t="s">
        <v>1915</v>
      </c>
      <c r="B5" s="3171" t="s">
        <v>1916</v>
      </c>
      <c r="C5" s="3171"/>
      <c r="D5" s="48">
        <f>ROUND($D$3*E5/$E$3,2)</f>
        <v>0</v>
      </c>
      <c r="E5" s="49">
        <f>SUMIF('数据-基础表'!$11:$11,"住宅",'数据-基础表'!$5:$5)</f>
        <v>0</v>
      </c>
      <c r="F5" s="1395"/>
      <c r="G5" s="1402"/>
      <c r="H5" s="1250" t="s">
        <v>1912</v>
      </c>
      <c r="I5" s="55">
        <f>ROUND(E31/D31,2)</f>
        <v>0.51</v>
      </c>
      <c r="J5" s="1395"/>
      <c r="K5" s="1395"/>
      <c r="L5" s="1395"/>
      <c r="M5" s="1395"/>
      <c r="N5" s="1395"/>
      <c r="O5" s="1395"/>
      <c r="P5" s="1395"/>
    </row>
    <row r="6" spans="1:16" ht="15" thickBot="1">
      <c r="A6" s="2231"/>
      <c r="B6" s="3171" t="s">
        <v>1917</v>
      </c>
      <c r="C6" s="3171"/>
      <c r="D6" s="48">
        <f>ROUND($D$3*E6/$E$3,2)</f>
        <v>60760.83</v>
      </c>
      <c r="E6" s="49">
        <f>E3-E5</f>
        <v>30792.58</v>
      </c>
      <c r="F6" s="1395"/>
      <c r="G6" s="2232" t="s">
        <v>1918</v>
      </c>
      <c r="H6" s="1402" t="s">
        <v>1919</v>
      </c>
      <c r="I6" s="942">
        <f>ROUND(F31/D31,2)</f>
        <v>0.46</v>
      </c>
      <c r="J6" s="1395"/>
      <c r="K6" s="1395"/>
      <c r="L6" s="1395"/>
      <c r="M6" s="1395"/>
      <c r="N6" s="1395"/>
      <c r="O6" s="1395"/>
      <c r="P6" s="1395"/>
    </row>
    <row r="7" spans="1:16" ht="15">
      <c r="A7" s="3163"/>
      <c r="B7" s="3164"/>
      <c r="C7" s="3165"/>
      <c r="D7" s="2228" t="s">
        <v>1913</v>
      </c>
      <c r="E7" s="2233" t="s">
        <v>1920</v>
      </c>
      <c r="F7" s="1395"/>
      <c r="G7" s="2225" t="s">
        <v>1921</v>
      </c>
      <c r="H7" s="64"/>
      <c r="I7" s="420"/>
      <c r="J7" s="1395"/>
      <c r="K7" s="1395"/>
      <c r="L7" s="1395"/>
      <c r="M7" s="1395"/>
      <c r="N7" s="1395"/>
      <c r="O7" s="1395"/>
      <c r="P7" s="1395"/>
    </row>
    <row r="8" spans="1:16">
      <c r="A8" s="47" t="s">
        <v>1922</v>
      </c>
      <c r="B8" s="50" t="s">
        <v>1923</v>
      </c>
      <c r="C8" s="48" t="s">
        <v>1924</v>
      </c>
      <c r="D8" s="48">
        <f t="shared" ref="D8:D15" si="0">ROUND($D$3*E8/$E$3,2)</f>
        <v>55394.36</v>
      </c>
      <c r="E8" s="51">
        <f>SUMIF('数据-基础表'!BB10:BK10,"地上",'数据-基础表'!BB5:BK5)</f>
        <v>28072.940000000002</v>
      </c>
      <c r="F8" s="1395"/>
      <c r="G8" s="2234"/>
      <c r="H8" s="2234"/>
      <c r="I8" s="1395"/>
      <c r="J8" s="1395"/>
      <c r="K8" s="1395"/>
      <c r="L8" s="1395"/>
      <c r="M8" s="1395"/>
      <c r="N8" s="1395"/>
      <c r="O8" s="1395"/>
      <c r="P8" s="1395"/>
    </row>
    <row r="9" spans="1:16">
      <c r="A9" s="2235"/>
      <c r="B9" s="2236"/>
      <c r="C9" s="48" t="s">
        <v>1925</v>
      </c>
      <c r="D9" s="48">
        <f t="shared" si="0"/>
        <v>0</v>
      </c>
      <c r="E9" s="52">
        <v>0</v>
      </c>
      <c r="F9" s="1395"/>
      <c r="G9" s="2234"/>
      <c r="H9" s="2234"/>
      <c r="I9" s="1395"/>
      <c r="J9" s="1395"/>
      <c r="K9" s="1395"/>
      <c r="L9" s="1395"/>
      <c r="M9" s="1395"/>
      <c r="N9" s="1395"/>
      <c r="O9" s="1395"/>
      <c r="P9" s="1395"/>
    </row>
    <row r="10" spans="1:16">
      <c r="A10" s="2235"/>
      <c r="B10" s="2236"/>
      <c r="C10" s="48" t="s">
        <v>1934</v>
      </c>
      <c r="D10" s="48">
        <f t="shared" si="0"/>
        <v>5366.47</v>
      </c>
      <c r="E10" s="51">
        <f>SUMPRODUCT(('数据-基础表'!BB10:BK10="地下")*('数据-基础表'!BB11:BK11="商业")*('数据-基础表'!BB5:BK5))</f>
        <v>2719.64</v>
      </c>
      <c r="F10" s="1395"/>
      <c r="G10" s="2234"/>
      <c r="H10" s="2234"/>
      <c r="I10" s="1395"/>
      <c r="J10" s="1395"/>
      <c r="K10" s="1395"/>
      <c r="L10" s="1395"/>
      <c r="M10" s="1395"/>
      <c r="N10" s="1395"/>
      <c r="O10" s="1395"/>
      <c r="P10" s="1395"/>
    </row>
    <row r="11" spans="1:16">
      <c r="A11" s="2235"/>
      <c r="B11" s="2236"/>
      <c r="C11" s="48" t="s">
        <v>1926</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1927</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1928</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1940</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1935</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1929</v>
      </c>
      <c r="D16" s="50">
        <f>SUM(D8:D15)</f>
        <v>60760.83</v>
      </c>
      <c r="E16" s="53">
        <f>SUM(E8:E15)</f>
        <v>30792.58</v>
      </c>
      <c r="F16" s="1395"/>
      <c r="G16" s="2234"/>
      <c r="H16" s="2237" t="s">
        <v>1941</v>
      </c>
      <c r="I16" s="2238"/>
      <c r="J16" s="1395"/>
      <c r="K16" s="3160" t="s">
        <v>1941</v>
      </c>
      <c r="L16" s="3161"/>
      <c r="M16" s="3161"/>
      <c r="N16" s="3161"/>
      <c r="O16" s="3161"/>
      <c r="P16" s="3162"/>
    </row>
    <row r="17" spans="1:19" ht="15">
      <c r="A17" s="2239" t="s">
        <v>1942</v>
      </c>
      <c r="B17" s="2240" t="s">
        <v>1943</v>
      </c>
      <c r="C17" s="2241" t="s">
        <v>1944</v>
      </c>
      <c r="D17" s="2242" t="s">
        <v>1932</v>
      </c>
      <c r="E17" s="2243" t="s">
        <v>1933</v>
      </c>
      <c r="F17" s="2244"/>
      <c r="G17" s="2245"/>
      <c r="H17" s="2246" t="s">
        <v>1945</v>
      </c>
      <c r="I17" s="2247" t="s">
        <v>1930</v>
      </c>
      <c r="J17" s="1395"/>
      <c r="K17" s="3157" t="s">
        <v>1946</v>
      </c>
      <c r="L17" s="3158"/>
      <c r="M17" s="3159"/>
      <c r="N17" s="3157" t="s">
        <v>1947</v>
      </c>
      <c r="O17" s="3158"/>
      <c r="P17" s="3159"/>
      <c r="R17" s="2225" t="s">
        <v>1948</v>
      </c>
      <c r="S17" s="64"/>
    </row>
    <row r="18" spans="1:19" ht="15">
      <c r="A18" s="2235"/>
      <c r="B18" s="2248"/>
      <c r="C18" s="2249"/>
      <c r="D18" s="2250"/>
      <c r="E18" s="2251" t="s">
        <v>1949</v>
      </c>
      <c r="F18" s="2252" t="s">
        <v>1950</v>
      </c>
      <c r="G18" s="2253" t="s">
        <v>1951</v>
      </c>
      <c r="H18" s="1265" t="s">
        <v>1952</v>
      </c>
      <c r="I18" s="2254" t="s">
        <v>1953</v>
      </c>
      <c r="J18" s="1395"/>
      <c r="K18" s="1265" t="s">
        <v>1954</v>
      </c>
      <c r="L18" s="2255" t="s">
        <v>1955</v>
      </c>
      <c r="M18" s="1049" t="s">
        <v>1956</v>
      </c>
      <c r="N18" s="1265" t="s">
        <v>1954</v>
      </c>
      <c r="O18" s="2255" t="s">
        <v>1955</v>
      </c>
      <c r="P18" s="1049" t="s">
        <v>1956</v>
      </c>
      <c r="R18" s="1250" t="s">
        <v>1957</v>
      </c>
      <c r="S18" s="1250" t="s">
        <v>1958</v>
      </c>
    </row>
    <row r="19" spans="1:19">
      <c r="A19" s="2256"/>
      <c r="B19" s="50" t="s">
        <v>1931</v>
      </c>
      <c r="C19" s="3005" t="s">
        <v>3317</v>
      </c>
      <c r="D19" s="48">
        <f>ROUND($D$3*E19/$E$3,2)</f>
        <v>55394.36</v>
      </c>
      <c r="E19" s="56">
        <f t="shared" ref="E19:E26" si="1">SUM(F19:G19)</f>
        <v>28072.940000000002</v>
      </c>
      <c r="F19" s="57">
        <f>'数据-基础表'!I13</f>
        <v>28072.940000000002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55394.36</v>
      </c>
      <c r="S19" s="1251">
        <f t="shared" si="5"/>
        <v>28072.940000000002</v>
      </c>
    </row>
    <row r="20" spans="1:19">
      <c r="A20" s="2260"/>
      <c r="B20" s="50" t="s">
        <v>1959</v>
      </c>
      <c r="C20" s="3005" t="s">
        <v>3318</v>
      </c>
      <c r="D20" s="48">
        <f t="shared" ref="D20:D26" si="6">ROUND($D$3*E20/$E$3,2)</f>
        <v>5366.47</v>
      </c>
      <c r="E20" s="56">
        <f t="shared" si="1"/>
        <v>2719.64</v>
      </c>
      <c r="F20" s="57"/>
      <c r="G20" s="58">
        <f>'数据-基础表'!K14</f>
        <v>2719.64</v>
      </c>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5366.47</v>
      </c>
      <c r="S20" s="1251">
        <f t="shared" si="5"/>
        <v>2719.64</v>
      </c>
    </row>
    <row r="21" spans="1:19">
      <c r="A21" s="2260"/>
      <c r="B21" s="50" t="s">
        <v>1959</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1960</v>
      </c>
      <c r="D27" s="1396">
        <f>SUM(D19:D26)</f>
        <v>60760.83</v>
      </c>
      <c r="E27" s="1397">
        <f>IF(SUM(E19:E26)='数据-基础表'!BA5,SUM(E19:E26),IF(F27="地上面积有误","面积有误","地下面积有误"))</f>
        <v>30792.58</v>
      </c>
      <c r="F27" s="1396">
        <f>IF(SUM(F19:F26)=E8,SUM(F19:F26),"地上面积有误")</f>
        <v>28072.940000000002</v>
      </c>
      <c r="G27" s="1398">
        <f>SUM(G19:G26)</f>
        <v>2719.64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60760.83</v>
      </c>
      <c r="S27" s="1250">
        <f>IF(SUM(S19:S26)=$E$3,SUM(S19:S26),SUM(S19:S26)&amp;"误差"&amp;ROUND(SUM(S19:S26)-E3,2))</f>
        <v>30792.58</v>
      </c>
    </row>
    <row r="28" spans="1:19">
      <c r="A28" s="2260"/>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1961</v>
      </c>
      <c r="C29" s="2264"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1964</v>
      </c>
      <c r="D31" s="729">
        <f>D27+D30</f>
        <v>60760.83</v>
      </c>
      <c r="E31" s="729">
        <f>E27+E30</f>
        <v>30792.58</v>
      </c>
      <c r="F31" s="730">
        <f>F27+F30</f>
        <v>28072.940000000002</v>
      </c>
      <c r="G31" s="731">
        <f>G27+G30</f>
        <v>2719.64</v>
      </c>
      <c r="H31" s="1395"/>
      <c r="I31" s="1395"/>
      <c r="J31" s="1395"/>
      <c r="K31" s="1395"/>
      <c r="L31" s="1395"/>
      <c r="M31" s="1395"/>
      <c r="N31" s="1395"/>
      <c r="O31" s="1395"/>
      <c r="P31" s="1395"/>
    </row>
    <row r="32" spans="1:19">
      <c r="A32" s="2230"/>
      <c r="B32" s="2230" t="s">
        <v>1965</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7" t="str">
        <f>项目基本情况!B1</f>
        <v>浙江省宁波市春晓镇183地块3、6、7号楼产权式公寓用房及地下车库用房房地产抵押价值预评估</v>
      </c>
      <c r="C37" s="3057"/>
      <c r="D37" s="3057"/>
      <c r="E37" s="3057"/>
      <c r="F37" s="3057"/>
      <c r="G37" s="3057"/>
      <c r="H37" s="3057"/>
      <c r="I37" s="3057"/>
    </row>
    <row r="38" spans="1:9">
      <c r="A38" s="1019"/>
      <c r="B38" s="1019"/>
    </row>
    <row r="39" spans="1:9">
      <c r="A39" s="1017" t="s">
        <v>818</v>
      </c>
      <c r="B39" s="1017" t="s">
        <v>820</v>
      </c>
    </row>
    <row r="40" spans="1:9">
      <c r="A40" s="1017"/>
      <c r="B40" s="1944" t="str">
        <f>项目基本情况!B5</f>
        <v>中国华融资产管理股份有限公司北京市分公司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康正预评字2018-1-625号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9">
        <f>项目基本情况!D3</f>
        <v>43339</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1" t="s">
        <v>1978</v>
      </c>
      <c r="F5" s="2290" t="s">
        <v>1979</v>
      </c>
      <c r="G5" s="1271" t="s">
        <v>1980</v>
      </c>
      <c r="H5" s="1271" t="s">
        <v>1981</v>
      </c>
      <c r="I5" s="1271" t="s">
        <v>1982</v>
      </c>
      <c r="J5" s="2291" t="s">
        <v>1983</v>
      </c>
      <c r="K5" s="2292" t="s">
        <v>1984</v>
      </c>
      <c r="L5" s="2293" t="s">
        <v>1985</v>
      </c>
      <c r="M5" s="2294" t="s">
        <v>1986</v>
      </c>
      <c r="N5" s="2295" t="s">
        <v>3319</v>
      </c>
      <c r="O5" s="2293" t="s">
        <v>1987</v>
      </c>
      <c r="P5" s="2296" t="s">
        <v>1988</v>
      </c>
      <c r="Q5" s="69" t="s">
        <v>1989</v>
      </c>
      <c r="R5" s="2297" t="s">
        <v>1990</v>
      </c>
      <c r="S5" s="2298" t="s">
        <v>1991</v>
      </c>
      <c r="T5" s="2299" t="s">
        <v>1992</v>
      </c>
      <c r="U5" s="1270" t="s">
        <v>1993</v>
      </c>
      <c r="V5" s="1271" t="s">
        <v>1994</v>
      </c>
      <c r="W5" s="1271" t="s">
        <v>1995</v>
      </c>
      <c r="X5" s="71"/>
      <c r="Y5" s="70" t="s">
        <v>1996</v>
      </c>
      <c r="Z5" s="2300" t="s">
        <v>1993</v>
      </c>
      <c r="AA5" s="1271" t="s">
        <v>1994</v>
      </c>
      <c r="AB5" s="1271" t="s">
        <v>1995</v>
      </c>
      <c r="AC5" s="71"/>
      <c r="AD5" s="71" t="s">
        <v>1996</v>
      </c>
      <c r="AE5" s="1270" t="s">
        <v>1997</v>
      </c>
      <c r="AF5" s="1271" t="s">
        <v>1998</v>
      </c>
      <c r="AG5" s="70" t="s">
        <v>1999</v>
      </c>
      <c r="AH5" s="1270" t="s">
        <v>2000</v>
      </c>
      <c r="AI5" s="2300" t="s">
        <v>2001</v>
      </c>
      <c r="AJ5" s="2300" t="s">
        <v>2002</v>
      </c>
      <c r="AK5" s="1271" t="s">
        <v>2003</v>
      </c>
      <c r="AL5" s="1271" t="s">
        <v>2004</v>
      </c>
      <c r="AM5" s="70" t="s">
        <v>2005</v>
      </c>
      <c r="AN5" s="2301" t="s">
        <v>2006</v>
      </c>
      <c r="AO5" s="2071" t="s">
        <v>2007</v>
      </c>
      <c r="AP5" s="1252" t="s">
        <v>2008</v>
      </c>
      <c r="AQ5" s="2302" t="s">
        <v>2009</v>
      </c>
      <c r="AR5" s="2302"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公寓用房</v>
      </c>
      <c r="B6" s="2304" t="str">
        <f>IF(A6=0,"","经营性")</f>
        <v>经营性</v>
      </c>
      <c r="C6" s="2305" t="s">
        <v>1377</v>
      </c>
      <c r="D6" s="1054">
        <f>SUMIF(项目基本情况!D$12:I$12,C6,项目基本情况!D$14:I$14)</f>
        <v>40</v>
      </c>
      <c r="E6" s="1051">
        <f>IF(B6="","",SUMIF(项目基本情况!D$12:I$12,C6,项目基本情况!D$13:I$13))</f>
        <v>56156</v>
      </c>
      <c r="F6" s="72">
        <f>SUMIF(项目基本情况!D$12:I$12,C6,项目基本情况!D$15:I$15)</f>
        <v>35.11</v>
      </c>
      <c r="G6" s="73">
        <f>IF(ISERROR(ROUND(POWER(1+H6,D6-F6)*(POWER(1+H6,F6)-1)/(POWER(1+H6,D6)-1),3)),0,ROUND(POWER(1+H6,D6-F6)*(POWER(1+H6,F6)-1)/(POWER(1+H6,D6)-1),3))</f>
        <v>0.95499999999999996</v>
      </c>
      <c r="H6" s="802">
        <v>0.05</v>
      </c>
      <c r="I6" s="802">
        <v>5.5E-2</v>
      </c>
      <c r="J6" s="74">
        <v>8.5000000000000006E-2</v>
      </c>
      <c r="K6" s="1254">
        <f>SUMIF('数据-汇总表'!C$19:C$33,A6,'数据-汇总表'!E$19:E$33)</f>
        <v>28072.940000000002</v>
      </c>
      <c r="L6" s="803">
        <v>2500</v>
      </c>
      <c r="M6" s="75">
        <f t="shared" ref="M6:M14" si="0">ROUND(K6*L6/10000,0)</f>
        <v>7018</v>
      </c>
      <c r="N6" s="801">
        <v>0.98</v>
      </c>
      <c r="O6" s="75" t="str">
        <f>IF($N$5="成新度","——",ROUND(M6*N6,0))</f>
        <v>——</v>
      </c>
      <c r="P6" s="76" t="str">
        <f>IF($N$5="成新度","——",M6-O6)</f>
        <v>——</v>
      </c>
      <c r="Q6" s="804">
        <v>0.25</v>
      </c>
      <c r="R6" s="77">
        <f ca="1">SUMIF('数据-汇总表'!C$19:C$33,A6,'数据-汇总表'!R$19:R$27)</f>
        <v>55394.36</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f>N6</f>
        <v>0.98</v>
      </c>
      <c r="Z6" s="81"/>
      <c r="AA6" s="74"/>
      <c r="AB6" s="74"/>
      <c r="AC6" s="1264"/>
      <c r="AD6" s="82"/>
      <c r="AE6" s="1265">
        <f ca="1">IF(AN6="",0,SUMIF(INDIRECT("'"&amp;AN6&amp;"'"&amp;"!E:E"),$AE$5,INDIRECT("'"&amp;AN6&amp;"'"&amp;"!F:F")))</f>
        <v>35.11</v>
      </c>
      <c r="AF6" s="1806"/>
      <c r="AG6" s="147">
        <f>IF(AF6="",0,AE6-AF6)</f>
        <v>0</v>
      </c>
      <c r="AH6" s="83"/>
      <c r="AI6" s="85">
        <v>365</v>
      </c>
      <c r="AJ6" s="86"/>
      <c r="AK6" s="87">
        <v>1.4999999999999999E-2</v>
      </c>
      <c r="AL6" s="88">
        <v>2E-3</v>
      </c>
      <c r="AM6" s="89">
        <v>0.02</v>
      </c>
      <c r="AN6" s="2306" t="s">
        <v>3326</v>
      </c>
      <c r="AO6" s="55">
        <f ca="1">SUMIF(INDIRECT("'"&amp;AN6&amp;"'"&amp;"!A:A"),"总价",INDIRECT("'"&amp;AN6&amp;"'"&amp;"!B:B"))</f>
        <v>26483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3316</v>
      </c>
      <c r="D7" s="1054">
        <f>SUMIF(项目基本情况!D$12:I$12,C7,项目基本情况!D$14:I$14)</f>
        <v>40</v>
      </c>
      <c r="E7" s="1051">
        <f>IF(B7="","",SUMIF(项目基本情况!D$12:I$12,C7,项目基本情况!D$13:I$13))</f>
        <v>56156</v>
      </c>
      <c r="F7" s="72">
        <f>SUMIF(项目基本情况!D$12:I$12,C7,项目基本情况!D$15:I$15)</f>
        <v>35.11</v>
      </c>
      <c r="G7" s="73">
        <f t="shared" ref="G7:G11" si="2">IF(ISERROR(ROUND(POWER(1+H7,D7-F7)*(POWER(1+H7,F7)-1)/(POWER(1+H7,D7)-1),3)),0,ROUND(POWER(1+H7,D7-F7)*(POWER(1+H7,F7)-1)/(POWER(1+H7,D7)-1),3))</f>
        <v>0.94399999999999995</v>
      </c>
      <c r="H7" s="802">
        <v>0.04</v>
      </c>
      <c r="I7" s="802">
        <v>4.4999999999999998E-2</v>
      </c>
      <c r="J7" s="74">
        <v>8.5000000000000006E-2</v>
      </c>
      <c r="K7" s="1254">
        <f>SUMIF('数据-汇总表'!C$19:C$33,A7,'数据-汇总表'!E$19:E$33)</f>
        <v>2719.64</v>
      </c>
      <c r="L7" s="803">
        <v>2000</v>
      </c>
      <c r="M7" s="75">
        <f t="shared" si="0"/>
        <v>544</v>
      </c>
      <c r="N7" s="801">
        <f>N6</f>
        <v>0.98</v>
      </c>
      <c r="O7" s="75" t="str">
        <f t="shared" ref="O7:O14" si="3">IF($N$5="成新度","——",ROUND(M7*N7,0))</f>
        <v>——</v>
      </c>
      <c r="P7" s="76" t="str">
        <f t="shared" ref="P7:P14" si="4">IF($N$5="成新度","——",M7-O7)</f>
        <v>——</v>
      </c>
      <c r="Q7" s="804">
        <v>0.1</v>
      </c>
      <c r="R7" s="77">
        <f ca="1">SUMIF('数据-汇总表'!C$19:C$33,A7,'数据-汇总表'!R$19:R$27)</f>
        <v>5366.47</v>
      </c>
      <c r="S7" s="54">
        <f>IF('数据-汇总表'!$I$17="按面积比例",SUMIF('数据-汇总表'!C$19:C$33,A7,'数据-汇总表'!K$19:K$33),SUMIF('数据-汇总表'!C$19:C$33,A7,'数据-汇总表'!N$19:N$33))</f>
        <v>0</v>
      </c>
      <c r="T7" s="1446">
        <f t="shared" ref="T7:T13" si="5">ROUND($L$14*S7/10000,0)</f>
        <v>0</v>
      </c>
      <c r="U7" s="78">
        <v>500</v>
      </c>
      <c r="V7" s="79">
        <v>0.02</v>
      </c>
      <c r="W7" s="79">
        <v>0.1</v>
      </c>
      <c r="X7" s="1264"/>
      <c r="Y7" s="80">
        <v>0.98</v>
      </c>
      <c r="Z7" s="81"/>
      <c r="AA7" s="74"/>
      <c r="AB7" s="74"/>
      <c r="AC7" s="1264"/>
      <c r="AD7" s="82"/>
      <c r="AE7" s="1265">
        <f t="shared" ref="AE7:AE13" ca="1" si="6">IF(AN7="",0,SUMIF(INDIRECT("'"&amp;AN7&amp;"'"&amp;"!E:E"),$AE$5,INDIRECT("'"&amp;AN7&amp;"'"&amp;"!F:F")))</f>
        <v>35.11</v>
      </c>
      <c r="AF7" s="1806"/>
      <c r="AG7" s="147">
        <f t="shared" ref="AG7:AG13" si="7">IF(AF7="",0,AE7-AF7)</f>
        <v>0</v>
      </c>
      <c r="AH7" s="83">
        <v>203</v>
      </c>
      <c r="AI7" s="85">
        <v>12</v>
      </c>
      <c r="AJ7" s="86"/>
      <c r="AK7" s="87">
        <v>1.4999999999999999E-2</v>
      </c>
      <c r="AL7" s="88">
        <v>1.5E-3</v>
      </c>
      <c r="AM7" s="89">
        <v>0.01</v>
      </c>
      <c r="AN7" s="2306" t="s">
        <v>3333</v>
      </c>
      <c r="AO7" s="55">
        <f t="shared" ref="AO7:AO13" ca="1" si="8">SUMIF(INDIRECT("'"&amp;AN7&amp;"'"&amp;"!A:A"),"总价",INDIRECT("'"&amp;AN7&amp;"'"&amp;"!B:B"))</f>
        <v>1639</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2011</v>
      </c>
      <c r="B14" s="2304" t="s">
        <v>2012</v>
      </c>
      <c r="C14" s="2309"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2013</v>
      </c>
      <c r="B15" s="2304" t="s">
        <v>2012</v>
      </c>
      <c r="C15" s="2309"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2015</v>
      </c>
      <c r="B16" s="97"/>
      <c r="C16" s="1008"/>
      <c r="D16" s="2311"/>
      <c r="E16" s="97"/>
      <c r="F16" s="97"/>
      <c r="G16" s="98">
        <f>ROUND(SUMPRODUCT(G6:G13,K6:K13)/SUMPRODUCT((G6:G13&gt;0)*(K6:K13)),3)</f>
        <v>0.95399999999999996</v>
      </c>
      <c r="H16" s="99">
        <f>ROUND(SUMPRODUCT(H6:H13,K6:K13)/SUMPRODUCT((H6:H13&gt;0)*(K6:K13)),3)</f>
        <v>4.9000000000000002E-2</v>
      </c>
      <c r="I16" s="100"/>
      <c r="J16" s="100"/>
      <c r="K16" s="101">
        <f>SUM(K6:K15)</f>
        <v>30792.58</v>
      </c>
      <c r="L16" s="102">
        <f>ROUND(M16*10000/SUM(K6:K14),0)</f>
        <v>2456</v>
      </c>
      <c r="M16" s="102">
        <f>SUM(M6:M14)</f>
        <v>7562</v>
      </c>
      <c r="N16" s="103">
        <f>ROUND(SUMPRODUCT(M6:M14,N6:N14)/M16,3)</f>
        <v>0.98</v>
      </c>
      <c r="O16" s="102">
        <f>SUM(O6:O14)</f>
        <v>0</v>
      </c>
      <c r="P16" s="102">
        <f>SUM(P6:P14)</f>
        <v>0</v>
      </c>
      <c r="Q16" s="104">
        <f>ROUND(SUMPRODUCT(Q6:Q13,K6:K13)/SUMPRODUCT((Q6:Q13&gt;0)*(K6:K13)),2)</f>
        <v>0.24</v>
      </c>
      <c r="R16" s="1258">
        <f ca="1">SUM(R6:R13)</f>
        <v>60760.83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2017</v>
      </c>
      <c r="B19" s="112">
        <v>0</v>
      </c>
      <c r="C19" s="2274" t="s">
        <v>2018</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2019</v>
      </c>
      <c r="B20" s="113">
        <v>3</v>
      </c>
      <c r="C20" s="2274" t="s">
        <v>2020</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2021</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2022</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2023</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2024</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2025</v>
      </c>
      <c r="B26" s="2317" t="s">
        <v>2026</v>
      </c>
      <c r="C26" s="2318" t="s">
        <v>2027</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2028</v>
      </c>
      <c r="B27" s="116">
        <v>90</v>
      </c>
      <c r="C27" s="1766" t="s">
        <v>2029</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2030</v>
      </c>
      <c r="B28" s="119">
        <v>140</v>
      </c>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2031</v>
      </c>
      <c r="B29" s="121"/>
      <c r="C29" s="1766" t="s">
        <v>2032</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2033</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2034</v>
      </c>
      <c r="B31" s="120">
        <f>B30-B32</f>
        <v>200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2035</v>
      </c>
      <c r="B32" s="725">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2036</v>
      </c>
      <c r="B33" s="726">
        <v>0.03</v>
      </c>
      <c r="C33" s="1765" t="s">
        <v>2037</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2038</v>
      </c>
      <c r="B34" s="122">
        <v>0</v>
      </c>
      <c r="C34" s="1765" t="s">
        <v>2039</v>
      </c>
      <c r="D34" s="2275" t="s">
        <v>2040</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2041</v>
      </c>
      <c r="B35" s="119">
        <v>200</v>
      </c>
      <c r="C35" s="1765" t="s">
        <v>2042</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2043</v>
      </c>
      <c r="B36" s="123">
        <v>1.4999999999999999E-2</v>
      </c>
      <c r="C36" s="1765" t="s">
        <v>2044</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2045</v>
      </c>
      <c r="B37" s="124">
        <v>0.02</v>
      </c>
      <c r="C37" s="1765" t="s">
        <v>2046</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2047</v>
      </c>
      <c r="B38" s="122">
        <v>0.02</v>
      </c>
      <c r="C38" s="1765" t="s">
        <v>2046</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2048</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2049</v>
      </c>
      <c r="B40" s="1303">
        <f ca="1">存贷款利率!G1</f>
        <v>4.7500000000000001E-2</v>
      </c>
      <c r="C40" s="1765" t="s">
        <v>2050</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2051</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2052</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2053</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2054</v>
      </c>
      <c r="B44" s="128">
        <v>7.0000000000000007E-2</v>
      </c>
      <c r="C44" s="1765" t="s">
        <v>2055</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2056</v>
      </c>
      <c r="B45" s="126">
        <v>0.03</v>
      </c>
      <c r="C45" s="1766" t="s">
        <v>2057</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2058</v>
      </c>
      <c r="B46" s="126">
        <v>0.02</v>
      </c>
      <c r="C46" s="1766" t="s">
        <v>2059</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2060</v>
      </c>
      <c r="B47" s="129"/>
      <c r="C47" s="1766" t="s">
        <v>2061</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2062</v>
      </c>
      <c r="B48" s="130">
        <v>0.03</v>
      </c>
      <c r="C48" s="1773" t="s">
        <v>2063</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2064</v>
      </c>
      <c r="B49" s="126">
        <v>5.0000000000000001E-4</v>
      </c>
      <c r="C49" s="1773" t="s">
        <v>2065</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2066</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2067</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2068</v>
      </c>
      <c r="B52" s="133">
        <f>SUMIF(A54:A63,B53,B54:B63)</f>
        <v>10</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2069</v>
      </c>
      <c r="B53" s="2333" t="s">
        <v>56</v>
      </c>
      <c r="C53" s="1430" t="s">
        <v>2070</v>
      </c>
      <c r="D53" s="2334" t="s">
        <v>2071</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2072</v>
      </c>
      <c r="B54" s="84"/>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2073</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2074</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2075</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2076</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2077</v>
      </c>
      <c r="B59" s="84">
        <v>10</v>
      </c>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2078</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2079</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2080</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2081</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1" sqref="F21"/>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172" t="s">
        <v>2082</v>
      </c>
      <c r="B1" s="3173"/>
      <c r="C1" s="3173"/>
      <c r="D1" s="3173"/>
      <c r="E1" s="3173"/>
      <c r="F1" s="3173"/>
      <c r="G1" s="317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27">
      <c r="A3" s="415" t="s">
        <v>2085</v>
      </c>
      <c r="B3" s="1271" t="s">
        <v>2086</v>
      </c>
      <c r="C3" s="2367"/>
      <c r="D3" s="2368"/>
      <c r="E3" s="431" t="s">
        <v>2085</v>
      </c>
      <c r="F3" s="2369" t="s">
        <v>2087</v>
      </c>
      <c r="G3" s="2370"/>
      <c r="H3" s="2365"/>
      <c r="I3" s="2365"/>
      <c r="J3" s="2365"/>
      <c r="K3" s="2365"/>
      <c r="L3" s="2365"/>
      <c r="M3" s="2365"/>
      <c r="N3" s="2365"/>
      <c r="O3" s="2365"/>
      <c r="P3" s="2365"/>
      <c r="Q3" s="2365"/>
      <c r="R3" s="2365"/>
    </row>
    <row r="4" spans="1:29" ht="15">
      <c r="A4" s="431"/>
      <c r="B4" s="1797" t="s">
        <v>2088</v>
      </c>
      <c r="C4" s="3006" t="s">
        <v>3321</v>
      </c>
      <c r="D4" s="2368"/>
      <c r="E4" s="2372"/>
      <c r="F4" s="42" t="s">
        <v>2089</v>
      </c>
      <c r="G4" s="2373"/>
      <c r="H4" s="2365"/>
      <c r="I4" s="2365"/>
      <c r="J4" s="2365"/>
      <c r="K4" s="2365"/>
      <c r="L4" s="2365"/>
      <c r="M4" s="2365"/>
      <c r="N4" s="2365"/>
      <c r="O4" s="2365"/>
      <c r="P4" s="2365"/>
      <c r="Q4" s="2365"/>
      <c r="R4" s="2365"/>
    </row>
    <row r="5" spans="1:29" ht="15">
      <c r="A5" s="431"/>
      <c r="B5" s="1797" t="s">
        <v>2090</v>
      </c>
      <c r="C5" s="2371"/>
      <c r="D5" s="2368"/>
      <c r="E5" s="2372"/>
      <c r="F5" s="1797" t="s">
        <v>2091</v>
      </c>
      <c r="G5" s="2373"/>
      <c r="H5" s="2365"/>
      <c r="I5" s="2365"/>
      <c r="J5" s="2365"/>
      <c r="K5" s="2365"/>
      <c r="L5" s="2365"/>
      <c r="M5" s="2365"/>
      <c r="N5" s="2365"/>
      <c r="O5" s="2365"/>
      <c r="P5" s="2365"/>
      <c r="Q5" s="2365"/>
      <c r="R5" s="2365"/>
    </row>
    <row r="6" spans="1:29" ht="15">
      <c r="A6" s="431"/>
      <c r="B6" s="1797" t="s">
        <v>2092</v>
      </c>
      <c r="C6" s="3007" t="s">
        <v>3320</v>
      </c>
      <c r="D6" s="2368"/>
      <c r="E6" s="2372"/>
      <c r="F6" s="1797" t="s">
        <v>2093</v>
      </c>
      <c r="G6" s="2373"/>
      <c r="H6" s="2365"/>
      <c r="I6" s="2365"/>
      <c r="J6" s="2365"/>
      <c r="K6" s="2365"/>
      <c r="L6" s="2365"/>
      <c r="M6" s="2365"/>
      <c r="N6" s="2365"/>
      <c r="O6" s="2365"/>
      <c r="P6" s="2365"/>
      <c r="Q6" s="2365"/>
      <c r="R6" s="2365"/>
    </row>
    <row r="7" spans="1:29" ht="15.75" thickBot="1">
      <c r="A7" s="431"/>
      <c r="B7" s="1797" t="s">
        <v>2091</v>
      </c>
      <c r="C7" s="3007" t="s">
        <v>3321</v>
      </c>
      <c r="D7" s="2374"/>
      <c r="E7" s="2375"/>
      <c r="F7" s="2376" t="s">
        <v>2094</v>
      </c>
      <c r="G7" s="2377"/>
      <c r="H7" s="2365"/>
      <c r="I7" s="2365"/>
      <c r="J7" s="2365"/>
      <c r="K7" s="2365"/>
      <c r="L7" s="2365"/>
      <c r="M7" s="2365"/>
      <c r="N7" s="2365"/>
      <c r="O7" s="2365"/>
      <c r="P7" s="2365"/>
      <c r="Q7" s="2365"/>
      <c r="R7" s="2365"/>
    </row>
    <row r="8" spans="1:29" ht="15">
      <c r="A8" s="431"/>
      <c r="B8" s="1797" t="s">
        <v>2093</v>
      </c>
      <c r="C8" s="3007" t="s">
        <v>3322</v>
      </c>
      <c r="D8" s="2374"/>
      <c r="E8" s="2374"/>
      <c r="F8" s="1136"/>
      <c r="G8" s="1136"/>
      <c r="H8" s="2365"/>
      <c r="I8" s="2365"/>
      <c r="J8" s="2365"/>
      <c r="K8" s="2365"/>
      <c r="L8" s="2365"/>
      <c r="M8" s="2365"/>
      <c r="N8" s="2365"/>
      <c r="O8" s="2365"/>
      <c r="P8" s="2365"/>
      <c r="Q8" s="2365"/>
      <c r="R8" s="2365"/>
    </row>
    <row r="9" spans="1:29" ht="15">
      <c r="A9" s="431"/>
      <c r="B9" s="1797" t="s">
        <v>2095</v>
      </c>
      <c r="C9" s="3006" t="s">
        <v>3323</v>
      </c>
      <c r="D9" s="2368"/>
      <c r="E9" s="2374"/>
      <c r="F9" s="1136"/>
      <c r="G9" s="1136"/>
      <c r="H9" s="2365"/>
      <c r="I9" s="2365"/>
      <c r="J9" s="2365"/>
      <c r="K9" s="2365"/>
      <c r="L9" s="2365"/>
      <c r="M9" s="2365"/>
      <c r="N9" s="2365"/>
      <c r="O9" s="2365"/>
      <c r="P9" s="2365"/>
      <c r="Q9" s="2365"/>
      <c r="R9" s="2365"/>
    </row>
    <row r="10" spans="1:29" s="117" customFormat="1" ht="15.75" thickBot="1">
      <c r="A10" s="2378"/>
      <c r="B10" s="2379" t="s">
        <v>2096</v>
      </c>
      <c r="C10" s="3008" t="s">
        <v>3324</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2097</v>
      </c>
      <c r="B13" s="2384"/>
      <c r="C13" s="2384"/>
      <c r="D13" s="2391"/>
      <c r="E13" s="2384"/>
      <c r="F13" s="2384"/>
      <c r="G13" s="2384"/>
    </row>
    <row r="14" spans="1:29" ht="15.75" thickBot="1">
      <c r="A14" s="2395"/>
      <c r="B14" s="2396"/>
      <c r="C14" s="2397" t="s">
        <v>2098</v>
      </c>
      <c r="D14" s="2368"/>
      <c r="E14" s="2398"/>
      <c r="F14" s="2398"/>
      <c r="G14" s="2362" t="s">
        <v>2099</v>
      </c>
    </row>
    <row r="15" spans="1:29" ht="27">
      <c r="A15" s="68" t="s">
        <v>2100</v>
      </c>
      <c r="B15" s="1270" t="s">
        <v>2086</v>
      </c>
      <c r="C15" s="2399">
        <f>C3</f>
        <v>0</v>
      </c>
      <c r="D15" s="2368"/>
      <c r="E15" s="2400" t="s">
        <v>2101</v>
      </c>
      <c r="F15" s="1270" t="s">
        <v>2102</v>
      </c>
      <c r="G15" s="135">
        <f>G3</f>
        <v>0</v>
      </c>
    </row>
    <row r="16" spans="1:29" ht="15">
      <c r="A16" s="645"/>
      <c r="B16" s="2401" t="s">
        <v>2088</v>
      </c>
      <c r="C16" s="2402" t="str">
        <f>C4</f>
        <v>较差</v>
      </c>
      <c r="D16" s="2368"/>
      <c r="E16" s="2403"/>
      <c r="F16" s="2404" t="s">
        <v>2089</v>
      </c>
      <c r="G16" s="136">
        <f>G4</f>
        <v>0</v>
      </c>
    </row>
    <row r="17" spans="1:18" ht="15">
      <c r="A17" s="645"/>
      <c r="B17" s="2401" t="s">
        <v>2090</v>
      </c>
      <c r="C17" s="2402">
        <f>C5</f>
        <v>0</v>
      </c>
      <c r="D17" s="2374"/>
      <c r="E17" s="2403"/>
      <c r="F17" s="2404" t="s">
        <v>2103</v>
      </c>
      <c r="G17" s="1571"/>
    </row>
    <row r="18" spans="1:18" ht="15">
      <c r="A18" s="645"/>
      <c r="B18" s="2404" t="s">
        <v>2092</v>
      </c>
      <c r="C18" s="136" t="str">
        <f>C6</f>
        <v>一般</v>
      </c>
      <c r="D18" s="2374"/>
      <c r="E18" s="2403"/>
      <c r="F18" s="2404" t="s">
        <v>2094</v>
      </c>
      <c r="G18" s="136">
        <f>G7</f>
        <v>0</v>
      </c>
    </row>
    <row r="19" spans="1:18" ht="15">
      <c r="A19" s="645"/>
      <c r="B19" s="2404" t="s">
        <v>2104</v>
      </c>
      <c r="C19" s="1571"/>
      <c r="D19" s="2368"/>
      <c r="E19" s="2403"/>
      <c r="F19" s="1797" t="s">
        <v>2091</v>
      </c>
      <c r="G19" s="136">
        <f>G5</f>
        <v>0</v>
      </c>
    </row>
    <row r="20" spans="1:18" ht="15">
      <c r="A20" s="645"/>
      <c r="B20" s="2404" t="s">
        <v>2105</v>
      </c>
      <c r="C20" s="2402" t="str">
        <f>C9</f>
        <v>一般</v>
      </c>
      <c r="D20" s="2374"/>
      <c r="E20" s="2403"/>
      <c r="F20" s="1797" t="s">
        <v>2106</v>
      </c>
      <c r="G20" s="136">
        <f>G6</f>
        <v>0</v>
      </c>
    </row>
    <row r="21" spans="1:18" ht="15">
      <c r="A21" s="645"/>
      <c r="B21" s="1797" t="s">
        <v>2091</v>
      </c>
      <c r="C21" s="136" t="str">
        <f>C7</f>
        <v>较差</v>
      </c>
      <c r="D21" s="2368"/>
      <c r="E21" s="2403"/>
      <c r="F21" s="2404" t="s">
        <v>2107</v>
      </c>
      <c r="G21" s="2405"/>
    </row>
    <row r="22" spans="1:18" ht="13.5" customHeight="1">
      <c r="A22" s="645"/>
      <c r="B22" s="1797" t="s">
        <v>2093</v>
      </c>
      <c r="C22" s="136" t="str">
        <f>C8</f>
        <v>六通</v>
      </c>
      <c r="D22" s="2368"/>
      <c r="E22" s="2403"/>
      <c r="F22" s="2404" t="s">
        <v>2096</v>
      </c>
      <c r="G22" s="1571"/>
    </row>
    <row r="23" spans="1:18" s="2365"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5" customFormat="1" ht="15.75" thickBot="1">
      <c r="A24" s="2409"/>
      <c r="B24" s="2407" t="s">
        <v>2109</v>
      </c>
      <c r="C24" s="137" t="str">
        <f>C10</f>
        <v>次干道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30792.58</v>
      </c>
      <c r="C1" s="1744"/>
      <c r="D1" s="1744"/>
      <c r="E1" s="1744"/>
      <c r="F1" s="1744"/>
      <c r="G1" s="1742"/>
    </row>
    <row r="2" spans="1:10" ht="16.5">
      <c r="A2" s="1745" t="s">
        <v>1353</v>
      </c>
      <c r="B2" s="1745">
        <f>SUM(C14:C23)</f>
        <v>60760.83</v>
      </c>
      <c r="C2" s="1744"/>
      <c r="D2" s="1744"/>
      <c r="E2" s="1744"/>
      <c r="F2" s="1744"/>
      <c r="G2" s="1742"/>
    </row>
    <row r="3" spans="1:10" ht="16.5">
      <c r="A3" s="1745" t="s">
        <v>1362</v>
      </c>
      <c r="B3" s="1746">
        <f>项目基本情况!D3</f>
        <v>43339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28146</v>
      </c>
      <c r="C5" s="1745">
        <f ca="1">ROUND(B5*10000/$B$1,0)</f>
        <v>9141</v>
      </c>
      <c r="D5" s="1745">
        <f ca="1">ROUND(B5*10000/$B$2,0)</f>
        <v>4632</v>
      </c>
      <c r="E5" s="1744"/>
      <c r="F5" s="1742"/>
      <c r="G5" s="1742"/>
    </row>
    <row r="6" spans="1:10" ht="16.5">
      <c r="A6" s="1745" t="s">
        <v>1356</v>
      </c>
      <c r="B6" s="1745">
        <f ca="1">SUM(G14:G23)</f>
        <v>28146</v>
      </c>
      <c r="C6" s="1745">
        <f ca="1">ROUND(B6*10000/$B$1,0)</f>
        <v>9141</v>
      </c>
      <c r="D6" s="1745">
        <f ca="1">ROUND(B6*10000/$B$2,0)</f>
        <v>4632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'结果表（公寓）'!B118</f>
        <v>28072.940000000002</v>
      </c>
      <c r="C14" s="1743">
        <f>'结果表（公寓）'!C118</f>
        <v>55394.36</v>
      </c>
      <c r="D14" s="1743">
        <f ca="1">'结果表（公寓）'!H118</f>
        <v>26095</v>
      </c>
      <c r="E14" s="1743">
        <f ca="1">ROUND(D14*10000/B14,0)</f>
        <v>9295</v>
      </c>
      <c r="F14" s="1743">
        <f ca="1">ROUND(D14*10000/C14,0)</f>
        <v>4711</v>
      </c>
      <c r="G14" s="1743">
        <f ca="1">'结果表（公寓）'!D122</f>
        <v>26095</v>
      </c>
      <c r="H14" s="1743" t="str">
        <f>'结果表（公寓）'!D124</f>
        <v>——</v>
      </c>
      <c r="I14" s="1743" t="str">
        <f>'结果表（公寓）'!D126</f>
        <v>——</v>
      </c>
      <c r="J14" s="1742"/>
    </row>
    <row r="15" spans="1:10" ht="16.5">
      <c r="A15" s="1741" t="s">
        <v>1349</v>
      </c>
      <c r="B15" s="1748">
        <f>'结果表 (车位)'!B118</f>
        <v>2719.64</v>
      </c>
      <c r="C15" s="1748">
        <f>'结果表 (车位)'!C118</f>
        <v>5366.47</v>
      </c>
      <c r="D15" s="1748">
        <f ca="1">'结果表 (车位)'!G19</f>
        <v>2051</v>
      </c>
      <c r="E15" s="1743">
        <f t="shared" ref="E15:E23" ca="1" si="0">ROUND(D15*10000/B15,0)</f>
        <v>7541</v>
      </c>
      <c r="F15" s="1743">
        <f t="shared" ref="F15:F23" ca="1" si="1">ROUND(D15*10000/C15,0)</f>
        <v>3822</v>
      </c>
      <c r="G15" s="1749">
        <f ca="1">D15</f>
        <v>2051</v>
      </c>
      <c r="H15" s="1749" t="s">
        <v>4109</v>
      </c>
      <c r="I15" s="1748" t="s">
        <v>4110</v>
      </c>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E31" sqref="E3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2110</v>
      </c>
      <c r="B1" s="2415"/>
      <c r="C1" s="2416" t="s">
        <v>3309</v>
      </c>
      <c r="D1" s="2415"/>
      <c r="E1" s="2415"/>
      <c r="F1" s="2417" t="s">
        <v>2111</v>
      </c>
      <c r="G1" s="2068" t="s">
        <v>3327</v>
      </c>
      <c r="H1" s="2418" t="str">
        <f>IF(G1="现房","——","估价对象范围")</f>
        <v>——</v>
      </c>
      <c r="I1" s="2419" t="s">
        <v>3328</v>
      </c>
    </row>
    <row r="2" spans="1:12" ht="21.75" customHeight="1" thickBot="1">
      <c r="A2" s="3207" t="str">
        <f>项目基本情况!S2</f>
        <v>浙江省宁波市春晓镇183地块3、6、7号楼产权式公寓用房及地下车库用房房地产</v>
      </c>
      <c r="B2" s="3208"/>
      <c r="C2" s="3208"/>
      <c r="D2" s="3208"/>
      <c r="E2" s="3208"/>
      <c r="F2" s="3208"/>
      <c r="G2" s="3208"/>
      <c r="H2" s="3208"/>
      <c r="I2" s="3209"/>
    </row>
    <row r="3" spans="1:12" ht="12.75">
      <c r="A3" s="3211" t="s">
        <v>2112</v>
      </c>
      <c r="B3" s="3212"/>
      <c r="C3" s="3212"/>
      <c r="D3" s="3212"/>
      <c r="E3" s="3212"/>
      <c r="F3" s="3212"/>
      <c r="G3" s="3212"/>
      <c r="H3" s="3212"/>
      <c r="I3" s="3212"/>
    </row>
    <row r="4" spans="1:12" ht="14.25">
      <c r="A4" s="2422" t="s">
        <v>2113</v>
      </c>
      <c r="B4" s="2423" t="s">
        <v>2114</v>
      </c>
      <c r="C4" s="2424" t="s">
        <v>3325</v>
      </c>
      <c r="D4" s="2424" t="s">
        <v>3326</v>
      </c>
      <c r="E4" s="3204" t="s">
        <v>2115</v>
      </c>
      <c r="F4" s="3205"/>
      <c r="G4" s="3205"/>
      <c r="H4" s="3205"/>
      <c r="I4" s="3213"/>
      <c r="K4" s="2425" t="str">
        <f>IF(ISNUMBER(FIND("比较法",'结果表（公寓）'!C4)),"比较法",IF(ISNUMBER(FIND("成本法",'结果表（公寓）'!C4)),"成本法",IF(ISNUMBER(FIND("假设开发法",'结果表（公寓）'!C4)),"假设开发法",IF(ISNUMBER(FIND("收益法",'结果表（公寓）'!C4)),"收益法","基准地价系数修正法"))))</f>
        <v>成本法</v>
      </c>
      <c r="L4" s="242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87" t="s">
        <v>2116</v>
      </c>
      <c r="B5" s="3101">
        <v>25</v>
      </c>
      <c r="C5" s="3190"/>
      <c r="D5" s="3210"/>
      <c r="E5" s="140" t="s">
        <v>2117</v>
      </c>
      <c r="F5" s="2426"/>
      <c r="G5" s="2426"/>
      <c r="H5" s="2426"/>
      <c r="I5" s="1833"/>
    </row>
    <row r="6" spans="1:12" ht="12.75">
      <c r="A6" s="3187"/>
      <c r="B6" s="3101"/>
      <c r="C6" s="3191"/>
      <c r="D6" s="3210"/>
      <c r="E6" s="140" t="s">
        <v>2118</v>
      </c>
      <c r="F6" s="2426"/>
      <c r="G6" s="2426"/>
      <c r="H6" s="2426"/>
      <c r="I6" s="1833"/>
    </row>
    <row r="7" spans="1:12" ht="12.75">
      <c r="A7" s="3187"/>
      <c r="B7" s="3101"/>
      <c r="C7" s="3192"/>
      <c r="D7" s="3210"/>
      <c r="E7" s="140" t="s">
        <v>2119</v>
      </c>
      <c r="F7" s="2426"/>
      <c r="G7" s="2426"/>
      <c r="H7" s="2426"/>
      <c r="I7" s="1833"/>
    </row>
    <row r="8" spans="1:12" ht="12.75">
      <c r="A8" s="3187" t="s">
        <v>2120</v>
      </c>
      <c r="B8" s="3101">
        <v>15</v>
      </c>
      <c r="C8" s="3190"/>
      <c r="D8" s="3210"/>
      <c r="E8" s="140" t="s">
        <v>2121</v>
      </c>
      <c r="F8" s="2426"/>
      <c r="G8" s="2426"/>
      <c r="H8" s="2426"/>
      <c r="I8" s="1833"/>
    </row>
    <row r="9" spans="1:12" ht="12.75">
      <c r="A9" s="3187"/>
      <c r="B9" s="3101"/>
      <c r="C9" s="3192"/>
      <c r="D9" s="3210"/>
      <c r="E9" s="140" t="s">
        <v>2122</v>
      </c>
      <c r="F9" s="2426"/>
      <c r="G9" s="2426"/>
      <c r="H9" s="2426"/>
      <c r="I9" s="1833"/>
    </row>
    <row r="10" spans="1:12" ht="12.75">
      <c r="A10" s="3187" t="s">
        <v>2123</v>
      </c>
      <c r="B10" s="3101">
        <v>15</v>
      </c>
      <c r="C10" s="3190"/>
      <c r="D10" s="3210"/>
      <c r="E10" s="140" t="s">
        <v>2124</v>
      </c>
      <c r="F10" s="2426"/>
      <c r="G10" s="2426"/>
      <c r="H10" s="2426"/>
      <c r="I10" s="1833"/>
    </row>
    <row r="11" spans="1:12" ht="12.75">
      <c r="A11" s="3187"/>
      <c r="B11" s="3101"/>
      <c r="C11" s="3192"/>
      <c r="D11" s="3210"/>
      <c r="E11" s="140" t="s">
        <v>2125</v>
      </c>
      <c r="F11" s="2426"/>
      <c r="G11" s="2426"/>
      <c r="H11" s="2426"/>
      <c r="I11" s="1833"/>
    </row>
    <row r="12" spans="1:12" ht="12.75">
      <c r="A12" s="3187" t="s">
        <v>2126</v>
      </c>
      <c r="B12" s="3101">
        <v>15</v>
      </c>
      <c r="C12" s="3190"/>
      <c r="D12" s="3210"/>
      <c r="E12" s="140" t="s">
        <v>2127</v>
      </c>
      <c r="F12" s="2426"/>
      <c r="G12" s="2426"/>
      <c r="H12" s="2426"/>
      <c r="I12" s="1833"/>
    </row>
    <row r="13" spans="1:12" ht="12.75">
      <c r="A13" s="3187"/>
      <c r="B13" s="3101"/>
      <c r="C13" s="3192"/>
      <c r="D13" s="3210"/>
      <c r="E13" s="140" t="s">
        <v>2128</v>
      </c>
      <c r="F13" s="2426"/>
      <c r="G13" s="2426"/>
      <c r="H13" s="2426"/>
      <c r="I13" s="1833"/>
    </row>
    <row r="14" spans="1:12" ht="12.75">
      <c r="A14" s="3187" t="s">
        <v>2129</v>
      </c>
      <c r="B14" s="3101">
        <v>30</v>
      </c>
      <c r="C14" s="3190">
        <v>5</v>
      </c>
      <c r="D14" s="3210">
        <v>5</v>
      </c>
      <c r="E14" s="140" t="s">
        <v>2130</v>
      </c>
      <c r="F14" s="2426"/>
      <c r="G14" s="2426"/>
      <c r="H14" s="2426"/>
      <c r="I14" s="1833"/>
    </row>
    <row r="15" spans="1:12" ht="12.75">
      <c r="A15" s="3187"/>
      <c r="B15" s="3101"/>
      <c r="C15" s="3191"/>
      <c r="D15" s="3210"/>
      <c r="E15" s="140" t="s">
        <v>2131</v>
      </c>
      <c r="F15" s="2426"/>
      <c r="G15" s="2426"/>
      <c r="H15" s="2426"/>
      <c r="I15" s="1833"/>
    </row>
    <row r="16" spans="1:12" ht="12.75">
      <c r="A16" s="3187"/>
      <c r="B16" s="3101"/>
      <c r="C16" s="3192"/>
      <c r="D16" s="3210"/>
      <c r="E16" s="140" t="s">
        <v>2132</v>
      </c>
      <c r="F16" s="2426"/>
      <c r="G16" s="2426"/>
      <c r="H16" s="2426"/>
      <c r="I16" s="1833"/>
    </row>
    <row r="17" spans="1:35" ht="15">
      <c r="A17" s="2427" t="s">
        <v>2133</v>
      </c>
      <c r="B17" s="64"/>
      <c r="C17" s="141">
        <f>SUM(C5:C16)</f>
        <v>5</v>
      </c>
      <c r="D17" s="141">
        <f>SUM(D5:D16)</f>
        <v>5</v>
      </c>
      <c r="E17" s="138"/>
      <c r="F17" s="138"/>
      <c r="G17" s="138"/>
      <c r="H17" s="138"/>
      <c r="I17" s="138"/>
      <c r="K17" s="2425"/>
      <c r="L17" s="2428" t="s">
        <v>2134</v>
      </c>
      <c r="M17" s="2428" t="s">
        <v>2135</v>
      </c>
    </row>
    <row r="18" spans="1:35" ht="15.75" thickBot="1">
      <c r="A18" s="2429" t="s">
        <v>2136</v>
      </c>
      <c r="B18" s="2430"/>
      <c r="C18" s="142">
        <f>ROUND(C17/SUM(C17:D17),2)</f>
        <v>0.5</v>
      </c>
      <c r="D18" s="142">
        <f>1-C18</f>
        <v>0.5</v>
      </c>
      <c r="E18" s="138"/>
      <c r="F18" s="138"/>
      <c r="G18" s="138"/>
      <c r="H18" s="138"/>
      <c r="I18" s="138"/>
      <c r="K18" s="2425" t="s">
        <v>2137</v>
      </c>
      <c r="L18" s="2425">
        <f>IF(C1="",'数据-汇总表'!E3,SUMIF(项目类型,C1,'数据-汇总表'!E17:E26)+SUMIF(项目类型,C1,'数据-汇总表'!I17:I26))</f>
        <v>28072.940000000002</v>
      </c>
      <c r="M18" s="2425">
        <f>IF(C1="",'数据-汇总表'!E3,SUMIF(项目类型,C1,'数据-汇总表'!E17:E26))</f>
        <v>28072.940000000002</v>
      </c>
    </row>
    <row r="19" spans="1:35" ht="15">
      <c r="A19" s="2431" t="s">
        <v>2138</v>
      </c>
      <c r="B19" s="2432" t="s">
        <v>2139</v>
      </c>
      <c r="C19" s="143">
        <f ca="1">SUMIF(INDIRECT("'"&amp;C4&amp;"'"&amp;"!A:A"),'结果表（公寓）'!B19,INDIRECT("'"&amp;C4&amp;"'"&amp;"!B:B"))</f>
        <v>25706</v>
      </c>
      <c r="D19" s="144">
        <f ca="1">SUMIF(INDIRECT("'"&amp;D4&amp;"'"&amp;"!A:A"),'结果表（公寓）'!B19,INDIRECT("'"&amp;D4&amp;"'"&amp;"!B:B"))</f>
        <v>26483</v>
      </c>
      <c r="E19" s="2431" t="s">
        <v>2140</v>
      </c>
      <c r="F19" s="2432" t="s">
        <v>2139</v>
      </c>
      <c r="G19" s="145">
        <f ca="1">ROUND(C19*$C$18+D19*$D$18,0)</f>
        <v>26095</v>
      </c>
      <c r="H19" s="2433" t="s">
        <v>2141</v>
      </c>
      <c r="I19" s="138"/>
      <c r="K19" s="2425" t="s">
        <v>2142</v>
      </c>
      <c r="L19" s="2425">
        <f>IF(C1="",'数据-汇总表'!D3,SUMIF(项目类型,C1,'数据-汇总表'!D17:D26)+SUMIF(项目类型,C1,'数据-汇总表'!H17:H27))</f>
        <v>55394.36</v>
      </c>
      <c r="M19" s="2425">
        <f>IF(C1="",'数据-汇总表'!D3,SUMIF(项目类型,C1,'数据-汇总表'!D17:D26))</f>
        <v>55394.36</v>
      </c>
    </row>
    <row r="20" spans="1:35" ht="15">
      <c r="A20" s="2434"/>
      <c r="B20" s="1250" t="s">
        <v>2143</v>
      </c>
      <c r="C20" s="146">
        <f ca="1">SUMIF(INDIRECT("'"&amp;C4&amp;"'"&amp;"!A:A"),'结果表（公寓）'!B20,INDIRECT("'"&amp;C4&amp;"'"&amp;"!B:B"))</f>
        <v>9157</v>
      </c>
      <c r="D20" s="147">
        <f ca="1">SUMIF(INDIRECT("'"&amp;D4&amp;"'"&amp;"!A:A"),'结果表（公寓）'!B20,INDIRECT("'"&amp;D4&amp;"'"&amp;"!B:B"))</f>
        <v>9434</v>
      </c>
      <c r="E20" s="2434"/>
      <c r="F20" s="1250" t="s">
        <v>2143</v>
      </c>
      <c r="G20" s="148">
        <f ca="1">ROUND(C20*$C$18+D20*$D$18,0)</f>
        <v>9296</v>
      </c>
      <c r="H20" s="983" t="s">
        <v>2144</v>
      </c>
      <c r="I20" s="138"/>
    </row>
    <row r="21" spans="1:35" ht="15" customHeight="1" thickBot="1">
      <c r="A21" s="1003"/>
      <c r="B21" s="2435" t="s">
        <v>2145</v>
      </c>
      <c r="C21" s="789">
        <f ca="1">ROUND(C19*10000/L19,0)</f>
        <v>4641</v>
      </c>
      <c r="D21" s="790">
        <f ca="1">ROUND(D19*10000/L19,0)</f>
        <v>4781</v>
      </c>
      <c r="E21" s="1003"/>
      <c r="F21" s="2435" t="s">
        <v>2145</v>
      </c>
      <c r="G21" s="149">
        <f ca="1">ROUND(G19*10000/L19,0)</f>
        <v>4711</v>
      </c>
      <c r="H21" s="2436" t="s">
        <v>2144</v>
      </c>
      <c r="I21" s="138"/>
    </row>
    <row r="22" spans="1:35" ht="15" thickBot="1">
      <c r="A22" s="2278" t="s">
        <v>2146</v>
      </c>
      <c r="B22" s="2437"/>
      <c r="C22" s="2438"/>
      <c r="D22" s="791">
        <f ca="1">IF(C19&lt;D19,D19/C19-1,C19/D19-1)</f>
        <v>3.0226406286470109E-2</v>
      </c>
      <c r="E22" s="138"/>
      <c r="F22" s="138"/>
      <c r="G22" s="138"/>
      <c r="H22" s="138"/>
      <c r="I22" s="138"/>
    </row>
    <row r="23" spans="1:35" ht="13.5" thickBot="1">
      <c r="A23" s="2415"/>
      <c r="B23" s="2415"/>
      <c r="C23" s="2415"/>
      <c r="D23" s="2415"/>
      <c r="E23" s="138"/>
      <c r="F23" s="138"/>
      <c r="G23" s="138"/>
      <c r="H23" s="138"/>
      <c r="I23" s="138"/>
    </row>
    <row r="24" spans="1:35" ht="14.25">
      <c r="A24" s="3181" t="s">
        <v>2147</v>
      </c>
      <c r="B24" s="2432" t="s">
        <v>2139</v>
      </c>
      <c r="C24" s="145">
        <f>IF(B30=0,0,D30)</f>
        <v>0</v>
      </c>
      <c r="D24" s="2439"/>
      <c r="E24" s="138"/>
      <c r="F24" s="138"/>
      <c r="G24" s="138"/>
      <c r="H24" s="138"/>
      <c r="I24" s="138"/>
    </row>
    <row r="25" spans="1:35" ht="14.25">
      <c r="A25" s="3182"/>
      <c r="B25" s="1250"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26095</v>
      </c>
      <c r="D32" s="2446" t="s">
        <v>2154</v>
      </c>
      <c r="E32" s="138"/>
      <c r="F32" s="138"/>
      <c r="G32" s="138"/>
      <c r="H32" s="138"/>
      <c r="I32" s="138"/>
    </row>
    <row r="33" spans="1:15" ht="15">
      <c r="A33" s="960" t="s">
        <v>2155</v>
      </c>
      <c r="B33" s="2447"/>
      <c r="C33" s="2448" t="s">
        <v>3474</v>
      </c>
      <c r="D33" s="2449" t="s">
        <v>3325</v>
      </c>
      <c r="E33" s="2450" t="s">
        <v>2156</v>
      </c>
      <c r="F33" s="2451" t="str">
        <f>IF(D32="楼面单价","取值（单价）","取值（总价）")</f>
        <v>取值（总价）</v>
      </c>
      <c r="G33" s="138"/>
      <c r="H33" s="138"/>
      <c r="I33" s="138"/>
    </row>
    <row r="34" spans="1:15" ht="15">
      <c r="A34" s="2452"/>
      <c r="B34" s="2453" t="s">
        <v>2157</v>
      </c>
      <c r="C34" s="157">
        <f ca="1">IF(C33="自定义",F34,C32-C35)</f>
        <v>14587</v>
      </c>
      <c r="D34" s="1058">
        <f ca="1">IF(C33="自定义",ROUND(C34/C32,3),IF(C33="收益比率",SUMIF(INDIRECT("'"&amp;D33&amp;"'"&amp;"!b:b"),"土地收益比率",INDIRECT("'"&amp;D33&amp;"'"&amp;"!c:c")),SUMIF(INDIRECT("'"&amp;D33&amp;"'"&amp;"!b:b"),"土地成本比率",INDIRECT("'"&amp;D33&amp;"'"&amp;"!c:c"))))</f>
        <v>0.55899999999999994</v>
      </c>
      <c r="E34" s="2454" t="s">
        <v>2158</v>
      </c>
      <c r="F34" s="1738"/>
      <c r="G34" s="138"/>
      <c r="H34" s="138"/>
      <c r="I34" s="138"/>
    </row>
    <row r="35" spans="1:15" ht="15.75" thickBot="1">
      <c r="A35" s="2455"/>
      <c r="B35" s="2456" t="s">
        <v>2159</v>
      </c>
      <c r="C35" s="1444">
        <f ca="1">IF(C33="自定义",F35,ROUND(C32*D35,0))</f>
        <v>11508</v>
      </c>
      <c r="D35" s="1445">
        <f ca="1">IF(C33="自定义",ROUND(C35/C32,3),IF(C33="收益比率",SUMIF(INDIRECT("'"&amp;D33&amp;"'"&amp;"!b:b"),"建筑物收益比率",INDIRECT("'"&amp;D33&amp;"'"&amp;"!c:c")),SUMIF(INDIRECT("'"&amp;D33&amp;"'"&amp;"!b:b"),"建筑物成本比率",INDIRECT("'"&amp;D33&amp;"'"&amp;"!c:c"))))</f>
        <v>0.441</v>
      </c>
      <c r="E35" s="2457" t="s">
        <v>2160</v>
      </c>
      <c r="F35" s="163"/>
      <c r="G35" s="138"/>
      <c r="H35" s="138"/>
      <c r="I35" s="138"/>
    </row>
    <row r="36" spans="1:15" ht="15.75" thickBot="1">
      <c r="A36" s="3199" t="s">
        <v>2161</v>
      </c>
      <c r="B36" s="2458" t="s">
        <v>2162</v>
      </c>
      <c r="C36" s="154"/>
      <c r="D36" s="2459"/>
      <c r="E36" s="2460"/>
      <c r="F36" s="2461"/>
      <c r="G36" s="138"/>
      <c r="H36" s="138"/>
      <c r="I36" s="138"/>
    </row>
    <row r="37" spans="1:15" ht="15.75" thickBot="1">
      <c r="A37" s="3200"/>
      <c r="B37" s="2264" t="s">
        <v>2163</v>
      </c>
      <c r="C37" s="156"/>
      <c r="D37" s="1395"/>
      <c r="E37" s="1395"/>
      <c r="F37" s="2461"/>
      <c r="G37" s="138"/>
      <c r="H37" s="138"/>
      <c r="I37" s="138"/>
    </row>
    <row r="38" spans="1:15" ht="15.75" thickBot="1">
      <c r="A38" s="3201"/>
      <c r="B38" s="2462" t="s">
        <v>2164</v>
      </c>
      <c r="C38" s="727"/>
      <c r="D38" s="2463" t="s">
        <v>2165</v>
      </c>
      <c r="E38" s="1395"/>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78" t="s">
        <v>2175</v>
      </c>
      <c r="B45" s="3179"/>
      <c r="C45" s="3180"/>
      <c r="D45" s="164">
        <f ca="1">ROUND(H101*F45,0)</f>
        <v>26095</v>
      </c>
      <c r="E45" s="165" t="s">
        <v>2176</v>
      </c>
      <c r="F45" s="166">
        <v>1</v>
      </c>
      <c r="G45" s="167" t="s">
        <v>2177</v>
      </c>
      <c r="H45" s="138"/>
      <c r="I45" s="138"/>
      <c r="J45" s="3238" t="s">
        <v>2178</v>
      </c>
      <c r="K45" s="3238"/>
      <c r="L45" s="3238"/>
      <c r="M45" s="3238"/>
      <c r="N45" s="3238"/>
      <c r="O45" s="3238"/>
    </row>
    <row r="46" spans="1:15" ht="14.25" customHeight="1">
      <c r="A46" s="3175" t="s">
        <v>2179</v>
      </c>
      <c r="B46" s="3176"/>
      <c r="C46" s="3176"/>
      <c r="D46" s="3176"/>
      <c r="E46" s="3176"/>
      <c r="F46" s="3176"/>
      <c r="G46" s="3177"/>
      <c r="H46" s="2477"/>
      <c r="I46" s="168"/>
      <c r="J46" s="1811">
        <v>1</v>
      </c>
      <c r="K46" s="3238" t="s">
        <v>2180</v>
      </c>
      <c r="L46" s="3238"/>
      <c r="M46" s="3258"/>
      <c r="N46" s="3258"/>
      <c r="O46" s="3258"/>
    </row>
    <row r="47" spans="1:15" ht="12" customHeight="1">
      <c r="A47" s="169" t="s">
        <v>2181</v>
      </c>
      <c r="B47" s="170"/>
      <c r="C47" s="171"/>
      <c r="D47" s="172" t="s">
        <v>2182</v>
      </c>
      <c r="E47" s="24" t="s">
        <v>2183</v>
      </c>
      <c r="F47" s="173" t="s">
        <v>2184</v>
      </c>
      <c r="G47" s="174" t="s">
        <v>2185</v>
      </c>
      <c r="H47" s="2477"/>
      <c r="I47" s="168"/>
      <c r="J47" s="1811">
        <v>2</v>
      </c>
      <c r="K47" s="3238" t="s">
        <v>2186</v>
      </c>
      <c r="L47" s="3238"/>
      <c r="M47" s="3259">
        <f>'数据-取费表'!B2</f>
        <v>43339</v>
      </c>
      <c r="N47" s="3259"/>
      <c r="O47" s="3259"/>
    </row>
    <row r="48" spans="1:15" ht="25.5">
      <c r="A48" s="3206" t="s">
        <v>2187</v>
      </c>
      <c r="B48" s="3189"/>
      <c r="C48" s="3189"/>
      <c r="D48" s="140">
        <f>IF(H48="情况1",0,IF(H48="情况2",D52,IF(H48="情况3",D53,IF(H48="情况4",D54))))</f>
        <v>0</v>
      </c>
      <c r="E48" s="1800" t="str">
        <f>IF(H48="情况4","(销售额-原购置价)×税（费）率","销售额×税（费）率")</f>
        <v>销售额×税（费）率</v>
      </c>
      <c r="F48" s="175" t="str">
        <f>IF(H48="情况1","免征",'数据-取费表'!B41)</f>
        <v>免征</v>
      </c>
      <c r="G48" s="2478" t="s">
        <v>2188</v>
      </c>
      <c r="H48" s="2479" t="s">
        <v>2189</v>
      </c>
      <c r="I48" s="2477"/>
      <c r="J48" s="1811">
        <v>3</v>
      </c>
      <c r="K48" s="3238" t="s">
        <v>2190</v>
      </c>
      <c r="L48" s="3238"/>
      <c r="M48" s="3260">
        <f ca="1">H101</f>
        <v>26095</v>
      </c>
      <c r="N48" s="3260"/>
      <c r="O48" s="3260"/>
    </row>
    <row r="49" spans="1:35" ht="25.5" customHeight="1">
      <c r="A49" s="176" t="s">
        <v>2191</v>
      </c>
      <c r="B49" s="3174" t="s">
        <v>2192</v>
      </c>
      <c r="C49" s="3174"/>
      <c r="D49" s="177">
        <v>0</v>
      </c>
      <c r="E49" s="23" t="s">
        <v>2193</v>
      </c>
      <c r="F49" s="28" t="s">
        <v>34</v>
      </c>
      <c r="G49" s="3244"/>
      <c r="H49" s="138"/>
      <c r="I49" s="2480"/>
      <c r="J49" s="1811">
        <v>4</v>
      </c>
      <c r="K49" s="3238" t="str">
        <f>IF(项目基本情况!E8="房地产抵押价值","房地产抵押价值","抵押担保权已注销时的房地产抵押价值")</f>
        <v>房地产抵押价值</v>
      </c>
      <c r="L49" s="3238"/>
      <c r="M49" s="3260">
        <f ca="1">IF(项目基本情况!E8="房地产抵押价值",H107,H109)</f>
        <v>26095</v>
      </c>
      <c r="N49" s="3260"/>
      <c r="O49" s="3260"/>
    </row>
    <row r="50" spans="1:35" ht="25.5" customHeight="1">
      <c r="A50" s="178"/>
      <c r="B50" s="3174" t="s">
        <v>2194</v>
      </c>
      <c r="C50" s="3174"/>
      <c r="D50" s="179"/>
      <c r="E50" s="31"/>
      <c r="F50" s="180"/>
      <c r="G50" s="3245"/>
      <c r="H50" s="138"/>
      <c r="I50" s="2480"/>
      <c r="J50" s="3238" t="s">
        <v>2195</v>
      </c>
      <c r="K50" s="3238"/>
      <c r="L50" s="3238"/>
      <c r="M50" s="3238"/>
      <c r="N50" s="3238"/>
      <c r="O50" s="3238"/>
    </row>
    <row r="51" spans="1:35" ht="12" customHeight="1">
      <c r="A51" s="181"/>
      <c r="B51" s="3174" t="s">
        <v>2196</v>
      </c>
      <c r="C51" s="3174"/>
      <c r="D51" s="182"/>
      <c r="E51" s="30"/>
      <c r="F51" s="180"/>
      <c r="G51" s="3246"/>
      <c r="H51" s="138"/>
      <c r="I51" s="2480"/>
      <c r="J51" s="2481" t="s">
        <v>2197</v>
      </c>
      <c r="K51" s="3238" t="s">
        <v>2198</v>
      </c>
      <c r="L51" s="3238"/>
      <c r="M51" s="2481" t="s">
        <v>2199</v>
      </c>
      <c r="N51" s="2481" t="s">
        <v>2200</v>
      </c>
      <c r="O51" s="2481" t="s">
        <v>2201</v>
      </c>
    </row>
    <row r="52" spans="1:35" ht="24" customHeight="1">
      <c r="A52" s="183" t="s">
        <v>2202</v>
      </c>
      <c r="B52" s="3174" t="s">
        <v>2203</v>
      </c>
      <c r="C52" s="3174"/>
      <c r="D52" s="182">
        <f ca="1">ROUND(D45*'数据-取费表'!B41/(1+'数据-取费表'!C42),0)</f>
        <v>1392</v>
      </c>
      <c r="E52" s="11" t="s">
        <v>2204</v>
      </c>
      <c r="F52" s="184">
        <f>'数据-取费表'!B41</f>
        <v>5.6000000000000001E-2</v>
      </c>
      <c r="G52" s="2482"/>
      <c r="H52" s="138"/>
      <c r="I52" s="2480"/>
      <c r="J52" s="1811">
        <v>1</v>
      </c>
      <c r="K52" s="3239" t="s">
        <v>2205</v>
      </c>
      <c r="L52" s="3239"/>
      <c r="M52" s="1753">
        <f>D48</f>
        <v>0</v>
      </c>
      <c r="N52" s="1811" t="str">
        <f>E48</f>
        <v>销售额×税（费）率</v>
      </c>
      <c r="O52" s="1754" t="str">
        <f>F48</f>
        <v>免征</v>
      </c>
    </row>
    <row r="53" spans="1:35" ht="12" customHeight="1">
      <c r="A53" s="183" t="s">
        <v>2206</v>
      </c>
      <c r="B53" s="3197" t="s">
        <v>2207</v>
      </c>
      <c r="C53" s="3198"/>
      <c r="D53" s="182">
        <f ca="1">ROUND(D45*'数据-取费表'!B41/(1+'数据-取费表'!C42),0)</f>
        <v>1392</v>
      </c>
      <c r="E53" s="11" t="s">
        <v>2204</v>
      </c>
      <c r="F53" s="184">
        <f>'数据-取费表'!B41</f>
        <v>5.6000000000000001E-2</v>
      </c>
      <c r="G53" s="2482"/>
      <c r="H53" s="138"/>
      <c r="I53" s="2480"/>
      <c r="J53" s="1811">
        <v>2</v>
      </c>
      <c r="K53" s="3239" t="s">
        <v>2208</v>
      </c>
      <c r="L53" s="3239"/>
      <c r="M53" s="1753">
        <f t="shared" ref="M53:O54" ca="1" si="0">D55</f>
        <v>13</v>
      </c>
      <c r="N53" s="1811" t="str">
        <f t="shared" si="0"/>
        <v>销售额×税（费）率</v>
      </c>
      <c r="O53" s="1754">
        <f t="shared" si="0"/>
        <v>5.0000000000000001E-4</v>
      </c>
    </row>
    <row r="54" spans="1:35" ht="12" customHeight="1">
      <c r="A54" s="183" t="s">
        <v>2209</v>
      </c>
      <c r="B54" s="3197" t="s">
        <v>2210</v>
      </c>
      <c r="C54" s="3198"/>
      <c r="D54" s="182">
        <f ca="1">C68</f>
        <v>1392</v>
      </c>
      <c r="E54" s="30" t="s">
        <v>2211</v>
      </c>
      <c r="F54" s="184">
        <f>'数据-取费表'!B41</f>
        <v>5.6000000000000001E-2</v>
      </c>
      <c r="G54" s="2482"/>
      <c r="H54" s="2483"/>
      <c r="I54" s="2480"/>
      <c r="J54" s="1811">
        <v>3</v>
      </c>
      <c r="K54" s="3239" t="s">
        <v>2212</v>
      </c>
      <c r="L54" s="3239"/>
      <c r="M54" s="1753">
        <f t="shared" ca="1" si="0"/>
        <v>14770</v>
      </c>
      <c r="N54" s="1811" t="str">
        <f t="shared" si="0"/>
        <v>增值额×税（费）率</v>
      </c>
      <c r="O54" s="1755" t="str">
        <f t="shared" si="0"/>
        <v>——</v>
      </c>
    </row>
    <row r="55" spans="1:35" ht="24" customHeight="1">
      <c r="A55" s="3188" t="s">
        <v>2213</v>
      </c>
      <c r="B55" s="3189"/>
      <c r="C55" s="3189"/>
      <c r="D55" s="185">
        <f ca="1">IF(H55="个人住宅",0,ROUND(D45*I55,0))</f>
        <v>13</v>
      </c>
      <c r="E55" s="11" t="s">
        <v>2214</v>
      </c>
      <c r="F55" s="184">
        <f>IF(H55="正常",I55,"免征")</f>
        <v>5.0000000000000001E-4</v>
      </c>
      <c r="G55" s="2482"/>
      <c r="H55" s="2479" t="s">
        <v>2215</v>
      </c>
      <c r="I55" s="186">
        <f>'数据-取费表'!B49</f>
        <v>5.0000000000000001E-4</v>
      </c>
      <c r="J55" s="1811" t="str">
        <f>IF(H59="非个人房产","",4)</f>
        <v/>
      </c>
      <c r="K55" s="3239" t="str">
        <f>IF(H59="非个人房产","——","个人所得税")</f>
        <v>——</v>
      </c>
      <c r="L55" s="3239"/>
      <c r="M55" s="1756" t="str">
        <f>D59</f>
        <v>——</v>
      </c>
      <c r="N55" s="1809" t="str">
        <f>E59</f>
        <v>——</v>
      </c>
      <c r="O55" s="1757" t="str">
        <f>F59</f>
        <v>——</v>
      </c>
    </row>
    <row r="56" spans="1:35" ht="24.75">
      <c r="A56" s="3188" t="s">
        <v>2216</v>
      </c>
      <c r="B56" s="3189"/>
      <c r="C56" s="3189"/>
      <c r="D56" s="185">
        <f ca="1">IF(H56="个人住宅",D57,D58)</f>
        <v>14770</v>
      </c>
      <c r="E56" s="11" t="s">
        <v>2217</v>
      </c>
      <c r="F56" s="184" t="str">
        <f>IF(H56="正常",F58,"免征")</f>
        <v>——</v>
      </c>
      <c r="G56" s="2484" t="s">
        <v>2218</v>
      </c>
      <c r="H56" s="2485" t="s">
        <v>2215</v>
      </c>
      <c r="I56" s="2486"/>
      <c r="J56" s="1811" t="str">
        <f>IF(项目基本情况!K6="上海银行",IF(J55="",4,J55+1),"")</f>
        <v/>
      </c>
      <c r="K56" s="3262" t="str">
        <f>IF(项目基本情况!K6="上海银行","其他处置费用","")</f>
        <v/>
      </c>
      <c r="L56" s="3263"/>
      <c r="M56" s="1753" t="str">
        <f>IF(项目基本情况!K6="上海银行",M69,"")</f>
        <v/>
      </c>
      <c r="N56" s="3265" t="str">
        <f>IF(项目基本情况!K6="上海银行","包含处置中涉及的律师、诉讼、拍卖、评估等费用","")</f>
        <v/>
      </c>
      <c r="O56" s="3266"/>
    </row>
    <row r="57" spans="1:35" ht="12.75">
      <c r="A57" s="183" t="s">
        <v>2191</v>
      </c>
      <c r="B57" s="3204" t="s">
        <v>2219</v>
      </c>
      <c r="C57" s="3213"/>
      <c r="D57" s="187">
        <v>0</v>
      </c>
      <c r="E57" s="23" t="s">
        <v>2193</v>
      </c>
      <c r="F57" s="155"/>
      <c r="G57" s="2482"/>
      <c r="H57" s="2486"/>
      <c r="I57" s="2486"/>
      <c r="J57" s="3239">
        <f>IF(AND(J55="",J56=""),4,IF(项目基本情况!K6="上海银行",'结果表（公寓）'!J56+1,'结果表（公寓）'!J55+1))</f>
        <v>4</v>
      </c>
      <c r="K57" s="3239" t="s">
        <v>2220</v>
      </c>
      <c r="L57" s="2487" t="s">
        <v>2221</v>
      </c>
      <c r="M57" s="1758"/>
      <c r="N57" s="1759">
        <f ca="1">SUMIF(M52:M56,"&lt;9e307")</f>
        <v>14783</v>
      </c>
      <c r="O57" s="2488"/>
      <c r="P57" s="1752">
        <f ca="1">N57/M49</f>
        <v>0.56650699367694957</v>
      </c>
    </row>
    <row r="58" spans="1:35" ht="24.75">
      <c r="A58" s="183" t="s">
        <v>2202</v>
      </c>
      <c r="B58" s="3204" t="s">
        <v>2222</v>
      </c>
      <c r="C58" s="3205"/>
      <c r="D58" s="185">
        <f ca="1">IF(H58="转让取得",C81,C97)</f>
        <v>14770</v>
      </c>
      <c r="E58" s="11" t="s">
        <v>2217</v>
      </c>
      <c r="F58" s="24" t="s">
        <v>34</v>
      </c>
      <c r="G58" s="2482"/>
      <c r="H58" s="2485" t="s">
        <v>2223</v>
      </c>
      <c r="I58" s="2486"/>
      <c r="J58" s="3239"/>
      <c r="K58" s="3239"/>
      <c r="L58" s="2487" t="s">
        <v>2224</v>
      </c>
      <c r="M58" s="1760"/>
      <c r="N58" s="2489" t="str">
        <f ca="1">NUMBERSTRING(INT(N57*10000),2)&amp;"元整"</f>
        <v>壹亿肆仟柒佰捌拾叁万元整</v>
      </c>
      <c r="O58" s="2490"/>
    </row>
    <row r="59" spans="1:35" ht="24.75" thickBot="1">
      <c r="A59" s="3242" t="s">
        <v>2225</v>
      </c>
      <c r="B59" s="3243"/>
      <c r="C59" s="3243"/>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240">
        <f>J57+1</f>
        <v>5</v>
      </c>
      <c r="K59" s="3239" t="s">
        <v>2227</v>
      </c>
      <c r="L59" s="1811" t="s">
        <v>2221</v>
      </c>
      <c r="M59" s="1761"/>
      <c r="N59" s="1762">
        <f ca="1">M49-N57</f>
        <v>11312</v>
      </c>
      <c r="O59" s="2492"/>
    </row>
    <row r="60" spans="1:35" ht="12" customHeight="1">
      <c r="A60" s="2493"/>
      <c r="B60" s="2415"/>
      <c r="C60" s="2415"/>
      <c r="D60" s="2415"/>
      <c r="E60" s="2163"/>
      <c r="F60" s="2486"/>
      <c r="G60" s="2486"/>
      <c r="H60" s="2494"/>
      <c r="I60" s="138"/>
      <c r="J60" s="3241"/>
      <c r="K60" s="3239"/>
      <c r="L60" s="2487" t="s">
        <v>2224</v>
      </c>
      <c r="M60" s="1760"/>
      <c r="N60" s="2489" t="str">
        <f ca="1">NUMBERSTRING(INT(N59*10000),2)&amp;"元整"</f>
        <v>壹亿壹仟叁佰壹拾贰万元整</v>
      </c>
      <c r="O60" s="2490"/>
    </row>
    <row r="61" spans="1:35" ht="13.5" thickBot="1">
      <c r="A61" s="3186" t="s">
        <v>2228</v>
      </c>
      <c r="B61" s="3186"/>
      <c r="C61" s="3186"/>
      <c r="D61" s="3186"/>
      <c r="E61" s="3186"/>
      <c r="F61" s="2486"/>
      <c r="G61" s="2486"/>
      <c r="H61" s="2494"/>
      <c r="I61" s="138"/>
      <c r="J61" s="1811">
        <f>J59+1</f>
        <v>6</v>
      </c>
      <c r="K61" s="3239" t="s">
        <v>2229</v>
      </c>
      <c r="L61" s="3239"/>
      <c r="M61" s="1763"/>
      <c r="N61" s="1764">
        <f ca="1">ROUND(N59*10000/'数据-汇总表'!E3,0)</f>
        <v>3674</v>
      </c>
      <c r="O61" s="2495"/>
    </row>
    <row r="62" spans="1:35" ht="12.75">
      <c r="A62" s="3202" t="s">
        <v>2230</v>
      </c>
      <c r="B62" s="3203"/>
      <c r="C62" s="1803"/>
      <c r="D62" s="1803" t="s">
        <v>2231</v>
      </c>
      <c r="E62" s="192" t="s">
        <v>2232</v>
      </c>
      <c r="F62" s="2486"/>
      <c r="G62" s="2486"/>
      <c r="H62" s="2494"/>
      <c r="I62" s="138"/>
    </row>
    <row r="63" spans="1:35" ht="12.75">
      <c r="A63" s="203" t="s">
        <v>775</v>
      </c>
      <c r="B63" s="193" t="s">
        <v>2233</v>
      </c>
      <c r="C63" s="194">
        <f ca="1">ROUND((C64+C65)/(1+'数据-取费表'!C42),0)</f>
        <v>24852</v>
      </c>
      <c r="D63" s="195"/>
      <c r="E63" s="196"/>
      <c r="F63" s="2486"/>
      <c r="G63" s="2486"/>
      <c r="H63" s="2494"/>
      <c r="I63" s="138"/>
      <c r="J63" s="3264" t="s">
        <v>2234</v>
      </c>
      <c r="K63" s="2496" t="s">
        <v>2235</v>
      </c>
      <c r="L63" s="1751">
        <f ca="1">IF(M49&gt;10000,M49*0.5%,IF(AND(M49&gt;1000,M49&lt;=10000),M49*1%,IF(AND(M49&gt;100,M49&lt;=1000),M49*3%,IF(AND(M49&gt;10,M49&lt;=100),M49*5%,M49*8%))))</f>
        <v>130.47499999999999</v>
      </c>
      <c r="M63" s="24">
        <f ca="1">ROUND(L63,1)</f>
        <v>130.5</v>
      </c>
      <c r="Z63" s="2420"/>
      <c r="AI63" s="2421"/>
    </row>
    <row r="64" spans="1:35" ht="14.25" customHeight="1">
      <c r="A64" s="197" t="s">
        <v>770</v>
      </c>
      <c r="B64" s="198" t="s">
        <v>2236</v>
      </c>
      <c r="C64" s="199">
        <f ca="1">D45</f>
        <v>26095</v>
      </c>
      <c r="D64" s="200" t="s">
        <v>32</v>
      </c>
      <c r="E64" s="201"/>
      <c r="F64" s="2486"/>
      <c r="G64" s="2486"/>
      <c r="H64" s="2494"/>
      <c r="I64" s="138"/>
      <c r="J64" s="3264"/>
      <c r="K64" s="2496" t="s">
        <v>2237</v>
      </c>
      <c r="L64" s="1751">
        <f ca="1">IF(M49&gt;2000,M49*0.5%,IF(AND(M49&gt;1000,M49&lt;=2000),M49*0.6%,IF(AND(M49&gt;500,M49&lt;=1000),M49*0.7%,IF(AND(M49&gt;200,M49&lt;=500),M49*0.8%,IF(AND(M49&gt;100,M49&lt;=200),M49*0.9%,IF(AND(M49&gt;50,M49&lt;=100),M49*1%,IF(AND(M49&gt;20,M49&lt;=50),M49*1.5%,IF(AND(M49&gt;10,M49&lt;=20),M49*2%,IF(AND(M49&gt;1,M49&lt;=10),M49*2.5%)))))))))</f>
        <v>130.47499999999999</v>
      </c>
      <c r="M64" s="24">
        <f t="shared" ref="M64:M65" ca="1" si="1">ROUND(L64,1)</f>
        <v>130.5</v>
      </c>
      <c r="N64" s="138" t="s">
        <v>2238</v>
      </c>
      <c r="Z64" s="2420"/>
      <c r="AI64" s="2421"/>
    </row>
    <row r="65" spans="1:35" ht="14.25" customHeight="1">
      <c r="A65" s="197" t="s">
        <v>771</v>
      </c>
      <c r="B65" s="198" t="s">
        <v>2239</v>
      </c>
      <c r="C65" s="202"/>
      <c r="D65" s="200"/>
      <c r="E65" s="201"/>
      <c r="F65" s="2486"/>
      <c r="G65" s="2486"/>
      <c r="H65" s="2494"/>
      <c r="I65" s="138"/>
      <c r="J65" s="3264"/>
      <c r="K65" s="2496" t="s">
        <v>2240</v>
      </c>
      <c r="L65" s="1751">
        <f ca="1">IF(M49&gt;1000,M49*0.1%,IF(AND(M49&gt;500,M49&lt;=1000),M49*0.5%,IF(AND(M49&gt;50,M49&lt;=500),M49*1%,IF(AND(M49&gt;1,M49&lt;=50),M49*1.5%))))</f>
        <v>26.094999999999999</v>
      </c>
      <c r="M65" s="24">
        <f t="shared" ca="1" si="1"/>
        <v>26.1</v>
      </c>
      <c r="N65" s="138" t="s">
        <v>2238</v>
      </c>
      <c r="Z65" s="2420"/>
      <c r="AI65" s="2421"/>
    </row>
    <row r="66" spans="1:35" ht="14.25" customHeight="1">
      <c r="A66" s="203" t="s">
        <v>772</v>
      </c>
      <c r="B66" s="204" t="s">
        <v>2241</v>
      </c>
      <c r="C66" s="205"/>
      <c r="D66" s="206" t="s">
        <v>32</v>
      </c>
      <c r="E66" s="1775" t="s">
        <v>1371</v>
      </c>
      <c r="F66" s="2486"/>
      <c r="G66" s="2486"/>
      <c r="H66" s="2494"/>
      <c r="I66" s="138"/>
      <c r="J66" s="3264"/>
      <c r="K66" s="2496" t="s">
        <v>2242</v>
      </c>
      <c r="L66" s="1751">
        <f ca="1">M49*0.5%</f>
        <v>130.47499999999999</v>
      </c>
      <c r="M66" s="24">
        <f ca="1">IF(L66&gt;0.5,0.5,ROUND(L66,0))</f>
        <v>0.5</v>
      </c>
      <c r="N66" s="138" t="s">
        <v>2243</v>
      </c>
      <c r="Z66" s="2420"/>
      <c r="AI66" s="2421"/>
    </row>
    <row r="67" spans="1:35" ht="14.25" customHeight="1">
      <c r="A67" s="203" t="s">
        <v>773</v>
      </c>
      <c r="B67" s="204" t="s">
        <v>2244</v>
      </c>
      <c r="C67" s="207">
        <f ca="1">C63-C66</f>
        <v>24852</v>
      </c>
      <c r="D67" s="200" t="s">
        <v>32</v>
      </c>
      <c r="E67" s="201"/>
      <c r="F67" s="2486"/>
      <c r="G67" s="2486"/>
      <c r="H67" s="2494"/>
      <c r="I67" s="138"/>
      <c r="J67" s="3264"/>
      <c r="K67" s="2496" t="s">
        <v>2245</v>
      </c>
      <c r="L67" s="1751">
        <f ca="1">IF(M49&gt;=10000,(8.25+(M49-10000)*0.01%),IF(AND(M49&gt;=8000,M49&lt;10000),(7.85+(M49-8000)*0.02%),IF(AND(M49&gt;=5000,M49&lt;8000),(6.65+(M49-5000)*0.04%),IF(AND(M49&gt;=2000,M49&lt;5000),(4.25+(PM49-2000)*0.08%),IF(AND(M49&gt;=1000,M49&lt;2000),(2.75+(M49-1000)*0.15%),IF(AND(M49&gt;=100,M49&lt;1000),(0.5+(M49-100)*0.25%),IF(AND(M49&gt;0,M49&lt;100),M49*0.5%)))))))</f>
        <v>9.8595000000000006</v>
      </c>
      <c r="M67" s="24">
        <f ca="1">ROUND(L67*0.9,1)</f>
        <v>8.9</v>
      </c>
      <c r="Z67" s="2420"/>
      <c r="AI67" s="2421"/>
    </row>
    <row r="68" spans="1:35" ht="14.25" customHeight="1" thickBot="1">
      <c r="A68" s="208" t="s">
        <v>774</v>
      </c>
      <c r="B68" s="209" t="s">
        <v>2246</v>
      </c>
      <c r="C68" s="210">
        <f ca="1">IF(C67&lt;=0,0,ROUND(C67*D68,0))</f>
        <v>1392</v>
      </c>
      <c r="D68" s="211">
        <f>'数据-取费表'!B41</f>
        <v>5.6000000000000001E-2</v>
      </c>
      <c r="E68" s="212"/>
      <c r="F68" s="2486"/>
      <c r="G68" s="2486"/>
      <c r="H68" s="2494"/>
      <c r="I68" s="138"/>
      <c r="J68" s="3264"/>
      <c r="K68" s="2496" t="s">
        <v>2247</v>
      </c>
      <c r="L68" s="1751">
        <f ca="1">IF(M49&gt;10000,M49*0.5%,IF(AND(M49&gt;5000,M49&lt;=10000),M49*1%,IF(AND(M49&gt;1000,M49&lt;=5000),M49*2%,IF(AND(M49&gt;200,M49&lt;=1000),M49*3%,M49*5%))))</f>
        <v>130.47499999999999</v>
      </c>
      <c r="M68" s="24">
        <f ca="1">ROUND(L68,1)</f>
        <v>130.5</v>
      </c>
      <c r="Z68" s="2420"/>
      <c r="AI68" s="2421"/>
    </row>
    <row r="69" spans="1:35" s="2443" customFormat="1" ht="16.5" customHeight="1">
      <c r="A69" s="2497"/>
      <c r="B69" s="2498"/>
      <c r="C69" s="2499"/>
      <c r="D69" s="2500"/>
      <c r="E69" s="2501"/>
      <c r="F69" s="2163"/>
      <c r="G69" s="2163"/>
      <c r="H69" s="2162"/>
      <c r="I69" s="2415"/>
      <c r="J69" s="3264"/>
      <c r="K69" s="2496" t="s">
        <v>2248</v>
      </c>
      <c r="L69" s="2502"/>
      <c r="M69" s="24">
        <f ca="1">ROUND(SUM(M63:M68),0)</f>
        <v>427</v>
      </c>
      <c r="N69" s="1752">
        <f ca="1">M69/M49</f>
        <v>1.6363287986204254E-2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23" t="s">
        <v>2249</v>
      </c>
      <c r="B70" s="3224"/>
      <c r="C70" s="3224"/>
      <c r="D70" s="3224"/>
      <c r="E70" s="3224"/>
      <c r="F70" s="3224"/>
      <c r="G70" s="3224"/>
      <c r="H70" s="322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2" t="s">
        <v>2230</v>
      </c>
      <c r="B71" s="3203"/>
      <c r="C71" s="1803"/>
      <c r="D71" s="1803"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24852</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149</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197" t="s">
        <v>2258</v>
      </c>
      <c r="F76" s="3174"/>
      <c r="G76" s="3174"/>
      <c r="H76" s="322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149</v>
      </c>
      <c r="D78" s="226">
        <f>'数据-取费表'!B43</f>
        <v>6.000000000000001E-3</v>
      </c>
      <c r="E78" s="3183" t="s">
        <v>2263</v>
      </c>
      <c r="F78" s="3184"/>
      <c r="G78" s="3184"/>
      <c r="H78" s="319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24703</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165.79194630872485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14770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23" t="s">
        <v>2267</v>
      </c>
      <c r="B83" s="3224"/>
      <c r="C83" s="3224"/>
      <c r="D83" s="3224"/>
      <c r="E83" s="3224"/>
      <c r="F83" s="3224"/>
      <c r="G83" s="3224"/>
      <c r="H83" s="322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2" t="s">
        <v>2230</v>
      </c>
      <c r="B84" s="3203"/>
      <c r="C84" s="1803"/>
      <c r="D84" s="1803"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24852</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149</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9"/>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83" t="s">
        <v>2276</v>
      </c>
      <c r="F91" s="3184"/>
      <c r="G91" s="3184"/>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83" t="s">
        <v>2280</v>
      </c>
      <c r="F92" s="3184"/>
      <c r="G92" s="3184"/>
      <c r="H92" s="319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149</v>
      </c>
      <c r="D93" s="226">
        <f>'数据-取费表'!B43</f>
        <v>6.000000000000001E-3</v>
      </c>
      <c r="E93" s="3183" t="s">
        <v>2263</v>
      </c>
      <c r="F93" s="3184"/>
      <c r="G93" s="3184"/>
      <c r="H93" s="319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194" t="s">
        <v>2284</v>
      </c>
      <c r="F94" s="3195"/>
      <c r="G94" s="3195"/>
      <c r="H94" s="319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24703</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165.79194630872485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14770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168" t="s">
        <v>2286</v>
      </c>
      <c r="B100" s="3169"/>
      <c r="C100" s="3169"/>
      <c r="D100" s="3185"/>
      <c r="E100" s="3169" t="s">
        <v>2287</v>
      </c>
      <c r="F100" s="3169"/>
      <c r="G100" s="3169"/>
      <c r="H100" s="3185"/>
      <c r="I100" s="138"/>
    </row>
    <row r="101" spans="1:35" ht="18.75" customHeight="1">
      <c r="A101" s="3247" t="s">
        <v>2288</v>
      </c>
      <c r="B101" s="3248"/>
      <c r="C101" s="736" t="str">
        <f>C4</f>
        <v>成本法</v>
      </c>
      <c r="D101" s="737" t="str">
        <f>D4</f>
        <v>收益法</v>
      </c>
      <c r="E101" s="3261" t="s">
        <v>2289</v>
      </c>
      <c r="F101" s="3215"/>
      <c r="G101" s="2517" t="s">
        <v>2290</v>
      </c>
      <c r="H101" s="1048">
        <f ca="1">H118</f>
        <v>26095</v>
      </c>
      <c r="I101" s="138"/>
    </row>
    <row r="102" spans="1:35" ht="18.75" customHeight="1">
      <c r="A102" s="3217" t="s">
        <v>2291</v>
      </c>
      <c r="B102" s="2517" t="s">
        <v>2290</v>
      </c>
      <c r="C102" s="736">
        <f ca="1">C19</f>
        <v>25706</v>
      </c>
      <c r="D102" s="737">
        <f ca="1">D19</f>
        <v>26483</v>
      </c>
      <c r="E102" s="3261"/>
      <c r="F102" s="3215"/>
      <c r="G102" s="2517" t="s">
        <v>2292</v>
      </c>
      <c r="H102" s="371">
        <f ca="1">I118</f>
        <v>9295</v>
      </c>
      <c r="I102" s="138"/>
    </row>
    <row r="103" spans="1:35" ht="42.75" customHeight="1">
      <c r="A103" s="3217"/>
      <c r="B103" s="2517" t="s">
        <v>2292</v>
      </c>
      <c r="C103" s="738">
        <f ca="1">C20</f>
        <v>9157</v>
      </c>
      <c r="D103" s="739">
        <f ca="1">D20</f>
        <v>9434</v>
      </c>
      <c r="E103" s="3256" t="s">
        <v>2293</v>
      </c>
      <c r="F103" s="3257"/>
      <c r="G103" s="2518" t="s">
        <v>2294</v>
      </c>
      <c r="H103" s="1048">
        <f>IF(D36="正常操作",H104+H105+H106,H105+H106)</f>
        <v>0</v>
      </c>
      <c r="I103" s="138"/>
    </row>
    <row r="104" spans="1:35" ht="18.75" customHeight="1">
      <c r="A104" s="3217" t="s">
        <v>2295</v>
      </c>
      <c r="B104" s="2519" t="s">
        <v>2290</v>
      </c>
      <c r="C104" s="740">
        <f ca="1">H118</f>
        <v>26095</v>
      </c>
      <c r="D104" s="741"/>
      <c r="E104" s="2264" t="s">
        <v>2296</v>
      </c>
      <c r="F104" s="2255"/>
      <c r="G104" s="2518" t="s">
        <v>2294</v>
      </c>
      <c r="H104" s="1049">
        <f>IF(D36="同一抵押权人同一抵押物续贷",C36&amp;"（未扣减，详见特别提示）",C36)</f>
        <v>0</v>
      </c>
      <c r="I104" s="138"/>
    </row>
    <row r="105" spans="1:35" ht="18.75" customHeight="1" thickBot="1">
      <c r="A105" s="3218"/>
      <c r="B105" s="2520" t="s">
        <v>2292</v>
      </c>
      <c r="C105" s="742">
        <f ca="1">I118</f>
        <v>9295</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214" t="str">
        <f>IF(项目基本情况!E8="已注销","——","3.房地产抵押价值")</f>
        <v>3.房地产抵押价值</v>
      </c>
      <c r="F107" s="3215"/>
      <c r="G107" s="2517" t="s">
        <v>2290</v>
      </c>
      <c r="H107" s="1048">
        <f ca="1">IF(E107="——","——",H101-H103)</f>
        <v>26095</v>
      </c>
      <c r="I107" s="138"/>
    </row>
    <row r="108" spans="1:35" ht="18.75" customHeight="1">
      <c r="A108" s="138"/>
      <c r="B108" s="138"/>
      <c r="C108" s="138"/>
      <c r="D108" s="138"/>
      <c r="E108" s="3214"/>
      <c r="F108" s="3215"/>
      <c r="G108" s="2517" t="s">
        <v>2292</v>
      </c>
      <c r="H108" s="371">
        <f ca="1">ROUND(H107*10000/'数据-汇总表'!E3,0)</f>
        <v>8474</v>
      </c>
      <c r="I108" s="138"/>
    </row>
    <row r="109" spans="1:35" ht="18.75" customHeight="1">
      <c r="A109" s="138"/>
      <c r="B109" s="138"/>
      <c r="C109" s="138"/>
      <c r="D109" s="138"/>
      <c r="E109" s="3214" t="str">
        <f>IF(项目基本情况!E8="已注销及未注销","4.抵押担保权已注销时的房地产抵押价值",IF(项目基本情况!E8="已注销","3.抵押担保权已注销时的房地产抵押价值","——"))</f>
        <v>——</v>
      </c>
      <c r="F109" s="3215"/>
      <c r="G109" s="2517" t="s">
        <v>2290</v>
      </c>
      <c r="H109" s="348" t="str">
        <f>IF(E109="——","——",H101-H105-H106)</f>
        <v>——</v>
      </c>
      <c r="I109" s="138"/>
    </row>
    <row r="110" spans="1:35" ht="18.75" customHeight="1">
      <c r="A110" s="138"/>
      <c r="B110" s="138"/>
      <c r="C110" s="138"/>
      <c r="D110" s="138"/>
      <c r="E110" s="3214"/>
      <c r="F110" s="3215"/>
      <c r="G110" s="2517" t="s">
        <v>2292</v>
      </c>
      <c r="H110" s="371" t="str">
        <f>IF(H109="——","——",ROUND(H109*10000/'数据-汇总表'!E3,0))</f>
        <v>——</v>
      </c>
      <c r="I110" s="138"/>
    </row>
    <row r="111" spans="1:35" ht="18.75" customHeight="1">
      <c r="A111" s="138"/>
      <c r="B111" s="138"/>
      <c r="C111" s="138"/>
      <c r="D111" s="138"/>
      <c r="E111" s="3249" t="str">
        <f>IF(项目基本情况!E9="抵押净值",IF(OR(项目基本情况!E8="已注销",项目基本情况!E8="房地产抵押价值"),"4.抵押净值","5.抵押净值"),"——")</f>
        <v>——</v>
      </c>
      <c r="F111" s="3250"/>
      <c r="G111" s="2517" t="s">
        <v>2290</v>
      </c>
      <c r="H111" s="1048" t="str">
        <f>IF(E111="——","——",N59)</f>
        <v>——</v>
      </c>
      <c r="I111" s="138"/>
    </row>
    <row r="112" spans="1:35" ht="18.75" customHeight="1" thickBot="1">
      <c r="A112" s="138"/>
      <c r="B112" s="138"/>
      <c r="C112" s="138"/>
      <c r="D112" s="138"/>
      <c r="E112" s="3251"/>
      <c r="F112" s="3252"/>
      <c r="G112" s="2522" t="s">
        <v>2292</v>
      </c>
      <c r="H112" s="790" t="str">
        <f>IF(E111="——","——",N61)</f>
        <v>——</v>
      </c>
      <c r="I112" s="138"/>
    </row>
    <row r="113" spans="1:11" ht="18.75" customHeight="1">
      <c r="A113" s="138"/>
      <c r="B113" s="138"/>
      <c r="C113" s="138"/>
      <c r="D113" s="138"/>
      <c r="E113" s="3219" t="s">
        <v>2298</v>
      </c>
      <c r="F113" s="3219"/>
      <c r="G113" s="3219"/>
      <c r="H113" s="3219"/>
      <c r="I113" s="138"/>
    </row>
    <row r="114" spans="1:11" ht="3.75" customHeight="1">
      <c r="A114" s="2415"/>
      <c r="B114" s="2415"/>
      <c r="C114" s="2415"/>
      <c r="D114" s="2415"/>
      <c r="E114" s="2493"/>
      <c r="F114" s="2493"/>
      <c r="G114" s="2493"/>
      <c r="H114" s="2493"/>
      <c r="I114" s="2415"/>
    </row>
    <row r="115" spans="1:11" ht="18.75" customHeight="1">
      <c r="A115" s="3232" t="s">
        <v>2300</v>
      </c>
      <c r="B115" s="3233"/>
      <c r="C115" s="3233"/>
      <c r="D115" s="3233"/>
      <c r="E115" s="3233"/>
      <c r="F115" s="3233"/>
      <c r="G115" s="3233"/>
      <c r="H115" s="3233"/>
      <c r="I115" s="3234"/>
    </row>
    <row r="116" spans="1:11" ht="27" customHeight="1">
      <c r="A116" s="3101" t="s">
        <v>2301</v>
      </c>
      <c r="B116" s="3220" t="s">
        <v>2302</v>
      </c>
      <c r="C116" s="3220" t="s">
        <v>2303</v>
      </c>
      <c r="D116" s="3236" t="s">
        <v>2304</v>
      </c>
      <c r="E116" s="3237"/>
      <c r="F116" s="3228" t="s">
        <v>2305</v>
      </c>
      <c r="G116" s="3228"/>
      <c r="H116" s="3101" t="s">
        <v>2306</v>
      </c>
      <c r="I116" s="3101"/>
    </row>
    <row r="117" spans="1:11" ht="18.75" customHeight="1">
      <c r="A117" s="3101"/>
      <c r="B117" s="3221"/>
      <c r="C117" s="3221"/>
      <c r="D117" s="1797" t="s">
        <v>2307</v>
      </c>
      <c r="E117" s="1797" t="s">
        <v>2308</v>
      </c>
      <c r="F117" s="1797" t="s">
        <v>2307</v>
      </c>
      <c r="G117" s="1797" t="s">
        <v>2309</v>
      </c>
      <c r="H117" s="1797" t="s">
        <v>2307</v>
      </c>
      <c r="I117" s="1797" t="s">
        <v>2309</v>
      </c>
    </row>
    <row r="118" spans="1:11" ht="24.75" customHeight="1">
      <c r="A118" s="2523" t="str">
        <f>项目基本情况!S2</f>
        <v>浙江省宁波市春晓镇183地块3、6、7号楼产权式公寓用房及地下车库用房房地产</v>
      </c>
      <c r="B118" s="1797">
        <f>M18</f>
        <v>28072.940000000002</v>
      </c>
      <c r="C118" s="1797">
        <f>M19</f>
        <v>55394.36</v>
      </c>
      <c r="D118" s="1797">
        <f ca="1">ROUND(IF(D32="总价",C34,E118*B118/10000),0)</f>
        <v>14587</v>
      </c>
      <c r="E118" s="1797">
        <f ca="1">ROUND(IF(C33="自定义",IF(D32="楼面单价",C34,D118*10000/B118),I118-G118),0)</f>
        <v>5196</v>
      </c>
      <c r="F118" s="1797">
        <f ca="1">ROUND(IF(D32="总价",C35,G118*B118/10000),0)</f>
        <v>11508</v>
      </c>
      <c r="G118" s="1797">
        <f ca="1">ROUND(IF(D32="楼面单价",C35,F118*10000/B118),0)</f>
        <v>4099</v>
      </c>
      <c r="H118" s="1797">
        <f ca="1">ROUND(IF(D32="总价",C32,I118*B118/10000),0)</f>
        <v>26095</v>
      </c>
      <c r="I118" s="1797">
        <f ca="1">ROUND(IF(D32="楼面单价",C32,H118*10000/B118),0)</f>
        <v>9295</v>
      </c>
    </row>
    <row r="119" spans="1:11" ht="18.75" customHeight="1">
      <c r="A119" s="3101" t="s">
        <v>2310</v>
      </c>
      <c r="B119" s="3101"/>
      <c r="C119" s="3101"/>
      <c r="D119" s="3225" t="str">
        <f ca="1">NUMBERSTRING(INT(D118*10000),2)&amp;"元整"</f>
        <v>壹亿肆仟伍佰捌拾柒万元整</v>
      </c>
      <c r="E119" s="3227"/>
      <c r="F119" s="3225" t="str">
        <f ca="1">NUMBERSTRING(INT(F118*10000),2)&amp;"元整"</f>
        <v>壹亿壹仟伍佰零捌万元整</v>
      </c>
      <c r="G119" s="3227"/>
      <c r="H119" s="3225" t="str">
        <f ca="1">NUMBERSTRING(INT(H118*10000),2)&amp;"元整"</f>
        <v>贰亿陆仟零玖拾伍万元整</v>
      </c>
      <c r="I119" s="3227"/>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20" t="str">
        <f>IF(D120=0,"故，本次评估不存在"&amp;A120,"故，本次评估"&amp;A120&amp;"为人民币"&amp;D120&amp;"万元整。")</f>
        <v>故，本次评估不存在估价师知悉的法定优先受偿款</v>
      </c>
    </row>
    <row r="121" spans="1:11" ht="18.75" customHeight="1">
      <c r="A121" s="3229" t="s">
        <v>2310</v>
      </c>
      <c r="B121" s="3230"/>
      <c r="C121" s="3231"/>
      <c r="D121" s="3225" t="str">
        <f>IF(D120=0,"零元整",NUMBERSTRING(INT(D120*10000),2)&amp;"元整")</f>
        <v>零元整</v>
      </c>
      <c r="E121" s="3226"/>
      <c r="F121" s="3226"/>
      <c r="G121" s="3226"/>
      <c r="H121" s="3226"/>
      <c r="I121" s="3227"/>
    </row>
    <row r="122" spans="1:11" ht="18.75" customHeight="1">
      <c r="A122" s="3216" t="str">
        <f>IF(项目基本情况!B9="房地产市场价值","",MID(E107,3,LEN(E107)-2))</f>
        <v>房地产抵押价值</v>
      </c>
      <c r="B122" s="3216"/>
      <c r="C122" s="3216"/>
      <c r="D122" s="3253">
        <f ca="1">H107</f>
        <v>26095</v>
      </c>
      <c r="E122" s="3254"/>
      <c r="F122" s="3254"/>
      <c r="G122" s="3254"/>
      <c r="H122" s="3254"/>
      <c r="I122" s="3255"/>
    </row>
    <row r="123" spans="1:11" ht="18.75" customHeight="1">
      <c r="A123" s="3101" t="s">
        <v>2310</v>
      </c>
      <c r="B123" s="3101"/>
      <c r="C123" s="3101"/>
      <c r="D123" s="3225" t="str">
        <f ca="1">NUMBERSTRING(INT(D122*10000),2)&amp;"元整"</f>
        <v>贰亿陆仟零玖拾伍万元整</v>
      </c>
      <c r="E123" s="3226"/>
      <c r="F123" s="3226"/>
      <c r="G123" s="3226"/>
      <c r="H123" s="3226"/>
      <c r="I123" s="3227"/>
    </row>
    <row r="124" spans="1:11" ht="18.75" customHeight="1">
      <c r="A124" s="3216" t="str">
        <f>IF(项目基本情况!B9="房地产市场价值","",MID(E109,3,LEN(E109)-2))</f>
        <v/>
      </c>
      <c r="B124" s="3216"/>
      <c r="C124" s="3216"/>
      <c r="D124" s="3253" t="str">
        <f>H109</f>
        <v>——</v>
      </c>
      <c r="E124" s="3254"/>
      <c r="F124" s="3254"/>
      <c r="G124" s="3254"/>
      <c r="H124" s="3254"/>
      <c r="I124" s="3255"/>
    </row>
    <row r="125" spans="1:11" ht="18.75" customHeight="1">
      <c r="A125" s="3101" t="s">
        <v>2310</v>
      </c>
      <c r="B125" s="3101"/>
      <c r="C125" s="3101"/>
      <c r="D125" s="3225" t="e">
        <f>NUMBERSTRING(INT(D124*10000),2)&amp;"元整"</f>
        <v>#VALUE!</v>
      </c>
      <c r="E125" s="3226"/>
      <c r="F125" s="3226"/>
      <c r="G125" s="3226"/>
      <c r="H125" s="3226"/>
      <c r="I125" s="3227"/>
    </row>
    <row r="126" spans="1:11" ht="18.75" customHeight="1">
      <c r="A126" s="3216" t="str">
        <f>IF(项目基本情况!B9="房地产市场价值","",MID(E111,3,LEN(E111)-2))</f>
        <v/>
      </c>
      <c r="B126" s="3216"/>
      <c r="C126" s="3216"/>
      <c r="D126" s="3253" t="str">
        <f>H111</f>
        <v>——</v>
      </c>
      <c r="E126" s="3254"/>
      <c r="F126" s="3254"/>
      <c r="G126" s="3254"/>
      <c r="H126" s="3254"/>
      <c r="I126" s="3255"/>
    </row>
    <row r="127" spans="1:11" ht="18.75" customHeight="1">
      <c r="A127" s="3101" t="s">
        <v>2310</v>
      </c>
      <c r="B127" s="3101"/>
      <c r="C127" s="3101"/>
      <c r="D127" s="3225" t="e">
        <f>NUMBERSTRING(INT(D126*10000),2)&amp;"元整"</f>
        <v>#VALUE!</v>
      </c>
      <c r="E127" s="3226"/>
      <c r="F127" s="3226"/>
      <c r="G127" s="3226"/>
      <c r="H127" s="3226"/>
      <c r="I127" s="3227"/>
    </row>
    <row r="128" spans="1:11" ht="21.75" customHeight="1">
      <c r="A128" s="3235" t="s">
        <v>2311</v>
      </c>
      <c r="B128" s="3235"/>
      <c r="C128" s="3235"/>
      <c r="D128" s="3235"/>
      <c r="E128" s="3235"/>
      <c r="F128" s="3235"/>
      <c r="G128" s="3235"/>
      <c r="H128" s="3235"/>
      <c r="I128" s="3235"/>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1" sqref="C30:C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9" t="s">
        <v>3309</v>
      </c>
      <c r="C1" s="242"/>
      <c r="D1" s="242"/>
      <c r="E1" s="242"/>
      <c r="F1" s="242"/>
      <c r="G1" s="1382">
        <f>MATCH(B1,'数据-取费表'!A6:A16,0)+5</f>
        <v>6</v>
      </c>
    </row>
    <row r="2" spans="1:9" s="244" customFormat="1" ht="18" customHeight="1">
      <c r="A2" s="245" t="s">
        <v>2320</v>
      </c>
      <c r="B2" s="246">
        <f ca="1">IF(D2="——",C52,C52-E2)</f>
        <v>25706</v>
      </c>
      <c r="C2" s="243" t="s">
        <v>2321</v>
      </c>
      <c r="D2" s="2546" t="s">
        <v>70</v>
      </c>
      <c r="E2" s="1443"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9157</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9275</v>
      </c>
      <c r="D5" s="255" t="s">
        <v>2327</v>
      </c>
      <c r="E5" s="256" t="s">
        <v>2328</v>
      </c>
      <c r="F5" s="256" t="s">
        <v>2329</v>
      </c>
      <c r="G5" s="257"/>
    </row>
    <row r="6" spans="1:9" s="258" customFormat="1" ht="13.5" customHeight="1">
      <c r="A6" s="952" t="s">
        <v>2330</v>
      </c>
      <c r="B6" s="259" t="s">
        <v>2331</v>
      </c>
      <c r="C6" s="260">
        <f>ROUND('土地比较法-住宅、综合'!C47*(面积表!F3+面积表!F6+面积表!F7)/10000,0)</f>
        <v>8619</v>
      </c>
      <c r="D6" s="261"/>
      <c r="E6" s="262"/>
      <c r="F6" s="262"/>
      <c r="G6" s="263"/>
    </row>
    <row r="7" spans="1:9" s="258" customFormat="1" ht="13.5" customHeight="1">
      <c r="A7" s="952" t="s">
        <v>2332</v>
      </c>
      <c r="B7" s="259" t="s">
        <v>2333</v>
      </c>
      <c r="C7" s="264">
        <f>ROUND(C6*F7,0)</f>
        <v>263</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393</v>
      </c>
      <c r="D8" s="266"/>
      <c r="E8" s="264"/>
      <c r="F8" s="265"/>
      <c r="G8" s="2549" t="s">
        <v>3329</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90</v>
      </c>
      <c r="F9" s="265"/>
      <c r="G9" s="2550" t="s">
        <v>3330</v>
      </c>
      <c r="H9" s="1393"/>
      <c r="I9" s="2551" t="s">
        <v>2337</v>
      </c>
    </row>
    <row r="10" spans="1:9" s="258" customFormat="1" ht="13.5" customHeight="1">
      <c r="A10" s="953" t="s">
        <v>801</v>
      </c>
      <c r="B10" s="268" t="s">
        <v>2338</v>
      </c>
      <c r="C10" s="269">
        <f ca="1">ROUND(D10*E10/10000,0)</f>
        <v>393</v>
      </c>
      <c r="D10" s="1035">
        <f ca="1">IF(B1="",'数据-汇总表'!E6,IF(INDIRECT("'数据-取费表'!c"&amp;$G$1)="住宅",INDIRECT("'数据-取费表'!s"&amp;$G$1),INDIRECT("'数据-取费表'!k"&amp;$G$1)+INDIRECT("'数据-取费表'!s"&amp;$G$1)))</f>
        <v>28072.940000000002</v>
      </c>
      <c r="E10" s="269">
        <f>'数据-取费表'!B28</f>
        <v>140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28072.940000000002</v>
      </c>
      <c r="E19" s="255">
        <f>'数据-取费表'!B31</f>
        <v>200</v>
      </c>
      <c r="F19" s="275"/>
      <c r="G19" s="2549" t="s">
        <v>3331</v>
      </c>
    </row>
    <row r="20" spans="1:7" s="258" customFormat="1" ht="13.5" customHeight="1">
      <c r="A20" s="299" t="s">
        <v>2351</v>
      </c>
      <c r="B20" s="254" t="s">
        <v>2352</v>
      </c>
      <c r="C20" s="276">
        <f ca="1">ROUND((C5+C19)*F20,0)</f>
        <v>186</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1398</v>
      </c>
      <c r="D22" s="279">
        <f ca="1">C26</f>
        <v>1.4E-3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1385</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13</v>
      </c>
      <c r="D25" s="282"/>
      <c r="E25" s="285"/>
      <c r="F25" s="283"/>
      <c r="G25" s="286" t="s">
        <v>2368</v>
      </c>
    </row>
    <row r="26" spans="1:7" s="258" customFormat="1">
      <c r="A26" s="954" t="s">
        <v>795</v>
      </c>
      <c r="B26" s="259" t="s">
        <v>2369</v>
      </c>
      <c r="C26" s="282">
        <f ca="1">ROUND(IF('数据-取费表'!B22&lt;=1,F21*F22*'数据-取费表'!B23/2,F21*(POWER((1+F22),'数据-取费表'!B23/2)-1)),4)</f>
        <v>1.4E-3</v>
      </c>
      <c r="D26" s="282"/>
      <c r="E26" s="285"/>
      <c r="F26" s="283"/>
      <c r="G26" s="287"/>
    </row>
    <row r="27" spans="1:7" s="258" customFormat="1" ht="24.75">
      <c r="A27" s="299" t="s">
        <v>2370</v>
      </c>
      <c r="B27" s="288" t="s">
        <v>2371</v>
      </c>
      <c r="C27" s="289">
        <f ca="1">C28</f>
        <v>2365</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2365</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14369</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7895</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7018</v>
      </c>
      <c r="D34" s="261"/>
      <c r="E34" s="264"/>
      <c r="F34" s="301">
        <f ca="1">IF('数据-取费表'!B24=0,1,IF(B1="",'数据-取费表'!N16,INDIRECT("'数据-取费表'!n"&amp;$G$1)))</f>
        <v>1</v>
      </c>
      <c r="G34" s="263" t="s">
        <v>2384</v>
      </c>
    </row>
    <row r="35" spans="1:7" ht="13.5" customHeight="1">
      <c r="A35" s="954" t="s">
        <v>796</v>
      </c>
      <c r="B35" s="259" t="s">
        <v>2385</v>
      </c>
      <c r="C35" s="264">
        <f ca="1">ROUND(C34*F35,0)</f>
        <v>211</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561</v>
      </c>
      <c r="D37" s="261">
        <f ca="1">D19</f>
        <v>28072.940000000002</v>
      </c>
      <c r="E37" s="293">
        <f>'数据-取费表'!B35</f>
        <v>200</v>
      </c>
      <c r="F37" s="303"/>
      <c r="G37" s="305" t="s">
        <v>2390</v>
      </c>
    </row>
    <row r="38" spans="1:7" ht="13.5" customHeight="1">
      <c r="A38" s="954" t="s">
        <v>799</v>
      </c>
      <c r="B38" s="259" t="s">
        <v>2391</v>
      </c>
      <c r="C38" s="264">
        <f ca="1">ROUND(C34*F38,0)</f>
        <v>105</v>
      </c>
      <c r="D38" s="264"/>
      <c r="E38" s="264"/>
      <c r="F38" s="303">
        <f>'数据-取费表'!B36</f>
        <v>1.4999999999999999E-2</v>
      </c>
      <c r="G38" s="263" t="s">
        <v>2386</v>
      </c>
    </row>
    <row r="39" spans="1:7" s="258" customFormat="1" ht="13.5" customHeight="1">
      <c r="A39" s="299" t="s">
        <v>2392</v>
      </c>
      <c r="B39" s="254" t="s">
        <v>2393</v>
      </c>
      <c r="C39" s="276">
        <f ca="1">ROUND(C33*F20,0)</f>
        <v>158</v>
      </c>
      <c r="D39" s="276"/>
      <c r="E39" s="276"/>
      <c r="F39" s="277"/>
      <c r="G39" s="278" t="s">
        <v>2394</v>
      </c>
    </row>
    <row r="40" spans="1:7" s="258" customFormat="1" ht="13.5" customHeight="1">
      <c r="A40" s="299" t="s">
        <v>2395</v>
      </c>
      <c r="B40" s="254" t="s">
        <v>2396</v>
      </c>
      <c r="C40" s="1730">
        <f>F21</f>
        <v>0.02</v>
      </c>
      <c r="D40" s="280" t="s">
        <v>2397</v>
      </c>
      <c r="E40" s="276"/>
      <c r="F40" s="277"/>
      <c r="G40" s="278" t="s">
        <v>2398</v>
      </c>
    </row>
    <row r="41" spans="1:7" s="258" customFormat="1" ht="13.5" customHeight="1">
      <c r="A41" s="299" t="s">
        <v>2399</v>
      </c>
      <c r="B41" s="254" t="s">
        <v>2400</v>
      </c>
      <c r="C41" s="276">
        <f ca="1">ROUND(SUM(C42:C43),0)</f>
        <v>580</v>
      </c>
      <c r="D41" s="279">
        <f ca="1">C44</f>
        <v>1.4E-3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569</v>
      </c>
      <c r="D42" s="282"/>
      <c r="E42" s="282"/>
      <c r="F42" s="283"/>
      <c r="G42" s="3267" t="s">
        <v>2402</v>
      </c>
    </row>
    <row r="43" spans="1:7" ht="13.5" customHeight="1">
      <c r="A43" s="954" t="s">
        <v>792</v>
      </c>
      <c r="B43" s="259" t="s">
        <v>2403</v>
      </c>
      <c r="C43" s="282">
        <f ca="1">ROUND(IF('数据-取费表'!B22&lt;=1,C39*F22*'数据-取费表'!B21/2,C39*(POWER((1+F22),'数据-取费表'!B21/2)-1)),0)</f>
        <v>11</v>
      </c>
      <c r="D43" s="282"/>
      <c r="E43" s="282"/>
      <c r="F43" s="283"/>
      <c r="G43" s="3268"/>
    </row>
    <row r="44" spans="1:7" ht="13.5" customHeight="1">
      <c r="A44" s="954" t="s">
        <v>793</v>
      </c>
      <c r="B44" s="259" t="s">
        <v>2404</v>
      </c>
      <c r="C44" s="282">
        <f ca="1">ROUND(IF('数据-取费表'!B22&lt;=1,C40*F22*'数据-取费表'!B21/2,C40*(POWER((1+F22),'数据-取费表'!B21/2)-1)),4)</f>
        <v>1.4E-3</v>
      </c>
      <c r="D44" s="282"/>
      <c r="E44" s="282"/>
      <c r="F44" s="283"/>
      <c r="G44" s="3269"/>
    </row>
    <row r="45" spans="1:7" s="258" customFormat="1" ht="13.5" customHeight="1">
      <c r="A45" s="299" t="s">
        <v>2405</v>
      </c>
      <c r="B45" s="288" t="s">
        <v>2371</v>
      </c>
      <c r="C45" s="289">
        <f ca="1">C46</f>
        <v>2013</v>
      </c>
      <c r="D45" s="279">
        <f ca="1">C47</f>
        <v>5.0000000000000001E-3</v>
      </c>
      <c r="E45" s="280" t="s">
        <v>2397</v>
      </c>
      <c r="F45" s="290"/>
      <c r="G45" s="291" t="s">
        <v>2406</v>
      </c>
    </row>
    <row r="46" spans="1:7" s="258" customFormat="1" ht="13.5" customHeight="1">
      <c r="A46" s="954" t="s">
        <v>791</v>
      </c>
      <c r="B46" s="292" t="s">
        <v>2407</v>
      </c>
      <c r="C46" s="293">
        <f ca="1">ROUND((C33+C39)*F27,0)</f>
        <v>2013</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0">
        <f>ROUND(F30/(1+'数据-取费表'!C42),4)</f>
        <v>5.33E-2</v>
      </c>
      <c r="D48" s="280" t="s">
        <v>2397</v>
      </c>
      <c r="E48" s="276"/>
      <c r="F48" s="281"/>
      <c r="G48" s="278" t="s">
        <v>2410</v>
      </c>
    </row>
    <row r="49" spans="1:7" ht="16.5" customHeight="1">
      <c r="A49" s="299" t="s">
        <v>2376</v>
      </c>
      <c r="B49" s="254" t="s">
        <v>2411</v>
      </c>
      <c r="C49" s="276">
        <f ca="1">ROUND((C33+C39+C41+C45)/(1-C40-D41-D45-C48),0)</f>
        <v>11568</v>
      </c>
      <c r="D49" s="276"/>
      <c r="E49" s="276"/>
      <c r="F49" s="308"/>
      <c r="G49" s="278" t="s">
        <v>2412</v>
      </c>
    </row>
    <row r="50" spans="1:7" s="302" customFormat="1" ht="24">
      <c r="A50" s="299" t="s">
        <v>2413</v>
      </c>
      <c r="B50" s="254" t="s">
        <v>2414</v>
      </c>
      <c r="C50" s="276"/>
      <c r="D50" s="276"/>
      <c r="E50" s="276"/>
      <c r="F50" s="308">
        <f>IF('数据-取费表'!B24=0,'数据-取费表'!N16,1)</f>
        <v>0.98</v>
      </c>
      <c r="G50" s="291" t="s">
        <v>2415</v>
      </c>
    </row>
    <row r="51" spans="1:7" ht="16.5" customHeight="1">
      <c r="A51" s="299" t="s">
        <v>2416</v>
      </c>
      <c r="B51" s="254" t="s">
        <v>2417</v>
      </c>
      <c r="C51" s="276">
        <f ca="1">ROUND(C49*F50,0)</f>
        <v>11337</v>
      </c>
      <c r="D51" s="276"/>
      <c r="E51" s="276"/>
      <c r="F51" s="308"/>
      <c r="G51" s="278" t="s">
        <v>2418</v>
      </c>
    </row>
    <row r="52" spans="1:7" s="252" customFormat="1" ht="16.5" thickBot="1">
      <c r="A52" s="309" t="s">
        <v>2419</v>
      </c>
      <c r="B52" s="310"/>
      <c r="C52" s="311">
        <f ca="1">C31+C51</f>
        <v>25706</v>
      </c>
      <c r="D52" s="310"/>
      <c r="E52" s="310"/>
      <c r="F52" s="310"/>
      <c r="G52" s="312"/>
    </row>
    <row r="55" spans="1:7" ht="15">
      <c r="B55" s="314" t="s">
        <v>2420</v>
      </c>
      <c r="C55" s="315"/>
    </row>
    <row r="56" spans="1:7">
      <c r="B56" s="317" t="s">
        <v>1513</v>
      </c>
      <c r="C56" s="319">
        <f ca="1">1-C57</f>
        <v>0.55899999999999994</v>
      </c>
    </row>
    <row r="57" spans="1:7">
      <c r="B57" s="317" t="s">
        <v>1514</v>
      </c>
      <c r="C57" s="318">
        <f ca="1">ROUND(C51/C52,3)</f>
        <v>0.441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9"/>
      <c r="C1" s="2552"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13747</v>
      </c>
      <c r="C2" s="243" t="s">
        <v>2321</v>
      </c>
      <c r="D2" s="2546" t="s">
        <v>70</v>
      </c>
      <c r="E2" s="1443"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4464</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4310961</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4310961</v>
      </c>
      <c r="D8" s="266"/>
      <c r="E8" s="264"/>
      <c r="F8" s="265"/>
      <c r="G8" s="2549"/>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2338</v>
      </c>
      <c r="C10" s="269">
        <f ca="1">ROUND(D10*E10,0)</f>
        <v>4310961</v>
      </c>
      <c r="D10" s="1035">
        <f ca="1">IF(B1="",'数据-汇总表'!E6,IF(INDIRECT("'数据-取费表'!c"&amp;$G$1)="住宅",INDIRECT("'数据-取费表'!s"&amp;$G$1),INDIRECT("'数据-取费表'!k"&amp;$G$1)+INDIRECT("'数据-取费表'!s"&amp;$G$1)))</f>
        <v>30792.58</v>
      </c>
      <c r="E10" s="269">
        <f>'数据-取费表'!B28</f>
        <v>140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6158516</v>
      </c>
      <c r="D19" s="1039">
        <f ca="1">D9+D10</f>
        <v>30792.58</v>
      </c>
      <c r="E19" s="255">
        <f>'数据-取费表'!B31</f>
        <v>200</v>
      </c>
      <c r="F19" s="275"/>
      <c r="G19" s="2549"/>
    </row>
    <row r="20" spans="1:7" s="258" customFormat="1" ht="13.5" customHeight="1">
      <c r="A20" s="299" t="s">
        <v>2432</v>
      </c>
      <c r="B20" s="254" t="s">
        <v>2433</v>
      </c>
      <c r="C20" s="276">
        <f ca="1">ROUND((C5+C19)*F20,0)</f>
        <v>209390</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1578983</v>
      </c>
      <c r="D22" s="279">
        <f ca="1">C26</f>
        <v>1.4E-3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643954</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919934</v>
      </c>
      <c r="D24" s="282"/>
      <c r="E24" s="282"/>
      <c r="F24" s="283"/>
      <c r="G24" s="284" t="s">
        <v>2444</v>
      </c>
    </row>
    <row r="25" spans="1:7" s="258" customFormat="1" ht="24">
      <c r="A25" s="954" t="s">
        <v>2334</v>
      </c>
      <c r="B25" s="259" t="s">
        <v>2445</v>
      </c>
      <c r="C25" s="1384">
        <f ca="1">ROUND(IF('数据-取费表'!B22&lt;=1,C20*F22*'数据-取费表'!B22/2,C20*(POWER((1+F22),'数据-取费表'!B22/2)-1)),0)</f>
        <v>15095</v>
      </c>
      <c r="D25" s="282"/>
      <c r="E25" s="285"/>
      <c r="F25" s="283"/>
      <c r="G25" s="286" t="s">
        <v>2446</v>
      </c>
    </row>
    <row r="26" spans="1:7" s="258" customFormat="1">
      <c r="A26" s="954"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2562928</v>
      </c>
      <c r="D27" s="279">
        <f ca="1">C29</f>
        <v>4.7999999999999996E-3</v>
      </c>
      <c r="E27" s="280" t="s">
        <v>2372</v>
      </c>
      <c r="F27" s="290">
        <f ca="1">IF(B1="",'数据-取费表'!Q16,INDIRECT("'数据-取费表'!q"&amp;$G$1))</f>
        <v>0.24</v>
      </c>
      <c r="G27" s="291" t="s">
        <v>2373</v>
      </c>
    </row>
    <row r="28" spans="1:7" s="258" customFormat="1" ht="13.5" customHeight="1">
      <c r="A28" s="954" t="s">
        <v>791</v>
      </c>
      <c r="B28" s="292" t="s">
        <v>2374</v>
      </c>
      <c r="C28" s="293">
        <f ca="1">ROUND((C5+C19+C20)*F27,0)</f>
        <v>2562928</v>
      </c>
      <c r="D28" s="279"/>
      <c r="E28" s="280"/>
      <c r="F28" s="290"/>
      <c r="G28" s="291"/>
    </row>
    <row r="29" spans="1:7" s="258" customFormat="1" ht="13.5" customHeight="1">
      <c r="A29" s="954" t="s">
        <v>792</v>
      </c>
      <c r="B29" s="292" t="s">
        <v>2375</v>
      </c>
      <c r="C29" s="282">
        <f ca="1">ROUND(C21*F27,4)</f>
        <v>4.7999999999999996E-3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16100791</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85183119</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75621630</v>
      </c>
      <c r="D34" s="261"/>
      <c r="E34" s="264"/>
      <c r="F34" s="301"/>
      <c r="G34" s="263"/>
    </row>
    <row r="35" spans="1:7" ht="13.5" customHeight="1">
      <c r="A35" s="954" t="s">
        <v>796</v>
      </c>
      <c r="B35" s="259" t="s">
        <v>2385</v>
      </c>
      <c r="C35" s="264">
        <f ca="1">ROUND(C34*F35,0)</f>
        <v>2268649</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6158516</v>
      </c>
      <c r="D37" s="261">
        <f ca="1">D19</f>
        <v>30792.58</v>
      </c>
      <c r="E37" s="293">
        <f>'数据-取费表'!B35</f>
        <v>200</v>
      </c>
      <c r="F37" s="303"/>
      <c r="G37" s="305"/>
    </row>
    <row r="38" spans="1:7" ht="13.5" customHeight="1">
      <c r="A38" s="954" t="s">
        <v>799</v>
      </c>
      <c r="B38" s="259" t="s">
        <v>2391</v>
      </c>
      <c r="C38" s="264">
        <f ca="1">ROUND(C34*F38,0)</f>
        <v>1134324</v>
      </c>
      <c r="D38" s="264"/>
      <c r="E38" s="264"/>
      <c r="F38" s="303">
        <f>'数据-取费表'!B36</f>
        <v>1.4999999999999999E-2</v>
      </c>
      <c r="G38" s="263" t="s">
        <v>2386</v>
      </c>
    </row>
    <row r="39" spans="1:7" s="258" customFormat="1" ht="13.5" customHeight="1">
      <c r="A39" s="299" t="s">
        <v>2392</v>
      </c>
      <c r="B39" s="254" t="s">
        <v>2393</v>
      </c>
      <c r="C39" s="276">
        <f ca="1">ROUND(C33*F20,0)</f>
        <v>1703662</v>
      </c>
      <c r="D39" s="276"/>
      <c r="E39" s="276"/>
      <c r="F39" s="277"/>
      <c r="G39" s="278" t="s">
        <v>2394</v>
      </c>
    </row>
    <row r="40" spans="1:7" s="258" customFormat="1" ht="13.5" customHeight="1">
      <c r="A40" s="299" t="s">
        <v>2395</v>
      </c>
      <c r="B40" s="254" t="s">
        <v>2396</v>
      </c>
      <c r="C40" s="1730">
        <f>F21</f>
        <v>0.02</v>
      </c>
      <c r="D40" s="280" t="s">
        <v>2397</v>
      </c>
      <c r="E40" s="276"/>
      <c r="F40" s="277"/>
      <c r="G40" s="278" t="s">
        <v>2398</v>
      </c>
    </row>
    <row r="41" spans="1:7" s="258" customFormat="1" ht="13.5" customHeight="1">
      <c r="A41" s="299" t="s">
        <v>2399</v>
      </c>
      <c r="B41" s="254" t="s">
        <v>2400</v>
      </c>
      <c r="C41" s="276">
        <f ca="1">ROUND(SUM(C42:C43),0)</f>
        <v>6263625</v>
      </c>
      <c r="D41" s="279">
        <f ca="1">C44</f>
        <v>1.4E-3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6140809</v>
      </c>
      <c r="D42" s="282"/>
      <c r="E42" s="282"/>
      <c r="F42" s="283"/>
      <c r="G42" s="3267" t="s">
        <v>2449</v>
      </c>
    </row>
    <row r="43" spans="1:7" ht="13.5" customHeight="1">
      <c r="A43" s="954" t="s">
        <v>792</v>
      </c>
      <c r="B43" s="259" t="s">
        <v>2403</v>
      </c>
      <c r="C43" s="282">
        <f ca="1">ROUND(IF('数据-取费表'!B22&lt;=1,C39*F22*'数据-取费表'!B20/2,C39*(POWER((1+F22),'数据-取费表'!B20/2)-1)),0)</f>
        <v>122816</v>
      </c>
      <c r="D43" s="282"/>
      <c r="E43" s="282"/>
      <c r="F43" s="283"/>
      <c r="G43" s="3268"/>
    </row>
    <row r="44" spans="1:7" ht="13.5" customHeight="1">
      <c r="A44" s="954" t="s">
        <v>793</v>
      </c>
      <c r="B44" s="259" t="s">
        <v>2404</v>
      </c>
      <c r="C44" s="282">
        <f ca="1">ROUND(IF('数据-取费表'!B22&lt;=1,C40*F22*'数据-取费表'!B20/2,C40*(POWER((1+F22),'数据-取费表'!B20/2)-1)),4)</f>
        <v>1.4E-3</v>
      </c>
      <c r="D44" s="282"/>
      <c r="E44" s="282"/>
      <c r="F44" s="283"/>
      <c r="G44" s="3269"/>
    </row>
    <row r="45" spans="1:7" s="258" customFormat="1" ht="13.5" customHeight="1">
      <c r="A45" s="299" t="s">
        <v>2405</v>
      </c>
      <c r="B45" s="288" t="s">
        <v>2371</v>
      </c>
      <c r="C45" s="289">
        <f ca="1">C46</f>
        <v>20852827</v>
      </c>
      <c r="D45" s="279">
        <f ca="1">C47</f>
        <v>4.7999999999999996E-3</v>
      </c>
      <c r="E45" s="280" t="s">
        <v>2397</v>
      </c>
      <c r="F45" s="290"/>
      <c r="G45" s="291" t="s">
        <v>2406</v>
      </c>
    </row>
    <row r="46" spans="1:7" s="258" customFormat="1" ht="13.5" customHeight="1">
      <c r="A46" s="954" t="s">
        <v>791</v>
      </c>
      <c r="B46" s="292" t="s">
        <v>2407</v>
      </c>
      <c r="C46" s="293">
        <f ca="1">ROUND((C33+C39)*F27,0)</f>
        <v>20852827</v>
      </c>
      <c r="D46" s="307"/>
      <c r="E46" s="280"/>
      <c r="F46" s="290"/>
      <c r="G46" s="291"/>
    </row>
    <row r="47" spans="1:7" s="258" customFormat="1" ht="13.5" customHeight="1">
      <c r="A47" s="954" t="s">
        <v>792</v>
      </c>
      <c r="B47" s="292" t="s">
        <v>2408</v>
      </c>
      <c r="C47" s="282">
        <f ca="1">ROUND(C40*F27,4)</f>
        <v>4.7999999999999996E-3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123849248</v>
      </c>
      <c r="D49" s="276"/>
      <c r="E49" s="276"/>
      <c r="F49" s="308"/>
      <c r="G49" s="278" t="s">
        <v>2412</v>
      </c>
    </row>
    <row r="50" spans="1:7" s="302" customFormat="1">
      <c r="A50" s="299" t="s">
        <v>2413</v>
      </c>
      <c r="B50" s="254" t="s">
        <v>2414</v>
      </c>
      <c r="C50" s="276"/>
      <c r="D50" s="276"/>
      <c r="E50" s="276"/>
      <c r="F50" s="308">
        <f>IF('数据-取费表'!B24=0,'数据-取费表'!N16,1)</f>
        <v>0.98</v>
      </c>
      <c r="G50" s="291"/>
    </row>
    <row r="51" spans="1:7" ht="16.5" customHeight="1">
      <c r="A51" s="299" t="s">
        <v>2416</v>
      </c>
      <c r="B51" s="254" t="s">
        <v>2451</v>
      </c>
      <c r="C51" s="276">
        <f ca="1">ROUND(C49*F50,0)</f>
        <v>121372263</v>
      </c>
      <c r="D51" s="276"/>
      <c r="E51" s="276"/>
      <c r="F51" s="308"/>
      <c r="G51" s="278" t="s">
        <v>2418</v>
      </c>
    </row>
    <row r="52" spans="1:7" s="252" customFormat="1" ht="16.5" thickBot="1">
      <c r="A52" s="309" t="s">
        <v>2419</v>
      </c>
      <c r="B52" s="310"/>
      <c r="C52" s="311">
        <f ca="1">C31+C51</f>
        <v>137473054</v>
      </c>
      <c r="D52" s="310"/>
      <c r="E52" s="310"/>
      <c r="F52" s="310"/>
      <c r="G52" s="312"/>
    </row>
    <row r="55" spans="1:7" ht="15">
      <c r="B55" s="314" t="s">
        <v>2420</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3"/>
      <c r="C1" s="1584"/>
      <c r="D1" s="1582"/>
      <c r="E1" s="320"/>
      <c r="F1" s="320"/>
      <c r="G1" s="1583"/>
      <c r="H1" s="320"/>
      <c r="I1" s="320"/>
      <c r="J1" s="320"/>
      <c r="K1" s="320">
        <f>MATCH(C1,'数据-取费表'!A6:A16,0)+5</f>
        <v>8</v>
      </c>
    </row>
    <row r="2" spans="1:33" ht="18" customHeight="1">
      <c r="A2" s="245" t="s">
        <v>2320</v>
      </c>
      <c r="B2" s="248">
        <f ca="1">C32</f>
        <v>-531</v>
      </c>
      <c r="C2" s="320" t="s">
        <v>2453</v>
      </c>
      <c r="D2" s="320"/>
      <c r="E2" s="320"/>
      <c r="F2" s="320"/>
      <c r="G2" s="320"/>
      <c r="H2" s="320"/>
      <c r="I2" s="320"/>
      <c r="J2" s="320"/>
      <c r="K2" s="320"/>
    </row>
    <row r="3" spans="1:33" ht="18" customHeight="1" thickBot="1">
      <c r="A3" s="247" t="s">
        <v>2322</v>
      </c>
      <c r="B3" s="248">
        <f ca="1">ROUND(B2*10000/IF(C1="",'数据-汇总表'!E3,INDIRECT("'数据-取费表'!K"&amp;$K$1)),0)</f>
        <v>-172</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3" t="s">
        <v>2458</v>
      </c>
      <c r="D5" s="2553" t="s">
        <v>2459</v>
      </c>
      <c r="E5" s="2553" t="s">
        <v>2460</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2719.64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30792.58</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30792.58</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431</v>
      </c>
      <c r="D18" s="1036"/>
      <c r="E18" s="24"/>
      <c r="F18" s="979"/>
      <c r="G18" s="2555"/>
      <c r="H18" s="1579"/>
      <c r="I18" s="2556"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90</v>
      </c>
      <c r="F19" s="979"/>
      <c r="G19" s="15"/>
      <c r="H19" s="1581"/>
      <c r="I19" s="984"/>
      <c r="J19" s="984"/>
      <c r="K19" s="985"/>
    </row>
    <row r="20" spans="1:33" s="978" customFormat="1" ht="13.5" customHeight="1">
      <c r="A20" s="974" t="s">
        <v>806</v>
      </c>
      <c r="B20" s="975" t="s">
        <v>2488</v>
      </c>
      <c r="C20" s="24">
        <f ca="1">ROUND(D20*E20/10000,0)</f>
        <v>431</v>
      </c>
      <c r="D20" s="1036">
        <f ca="1">IF(C1="",'数据-汇总表'!E6,IF(INDIRECT("'数据-取费表'!c"&amp;$K$1)="住宅",INDIRECT("'数据-取费表'!s"&amp;$K$1),INDIRECT("'数据-取费表'!k"&amp;$K$1)+INDIRECT("'数据-取费表'!s"&amp;$K$1)))</f>
        <v>30792.58</v>
      </c>
      <c r="E20" s="24">
        <f>'数据-取费表'!B28</f>
        <v>140</v>
      </c>
      <c r="F20" s="979"/>
      <c r="G20" s="15"/>
      <c r="H20" s="984"/>
      <c r="I20" s="984"/>
      <c r="J20" s="984"/>
      <c r="K20" s="985"/>
    </row>
    <row r="21" spans="1:33" s="978" customFormat="1" ht="13.5" customHeight="1">
      <c r="A21" s="964" t="s">
        <v>802</v>
      </c>
      <c r="B21" s="988" t="s">
        <v>2489</v>
      </c>
      <c r="C21" s="989">
        <f ca="1">C16+C17+C18</f>
        <v>431</v>
      </c>
      <c r="D21" s="990"/>
      <c r="E21" s="325"/>
      <c r="F21" s="325"/>
      <c r="G21" s="140" t="s">
        <v>2490</v>
      </c>
      <c r="H21" s="982"/>
      <c r="I21" s="982"/>
      <c r="J21" s="982"/>
      <c r="K21" s="983"/>
    </row>
    <row r="22" spans="1:33" s="978" customFormat="1" ht="13.5" customHeight="1">
      <c r="A22" s="964" t="s">
        <v>2462</v>
      </c>
      <c r="B22" s="988" t="s">
        <v>2491</v>
      </c>
      <c r="C22" s="989">
        <f ca="1">ROUND(C21*F22,0)</f>
        <v>9</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2502</v>
      </c>
      <c r="B28" s="2558" t="s">
        <v>2503</v>
      </c>
      <c r="C28" s="331">
        <f ca="1">C30</f>
        <v>106</v>
      </c>
      <c r="D28" s="324">
        <f ca="1">C29</f>
        <v>0</v>
      </c>
      <c r="E28" s="326" t="s">
        <v>15</v>
      </c>
      <c r="F28" s="332">
        <f ca="1">IF(C1="",'数据-取费表'!Q16,INDIRECT("'数据-取费表'!q"&amp;$K$1))</f>
        <v>0.24</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106</v>
      </c>
      <c r="D30" s="328"/>
      <c r="E30" s="329"/>
      <c r="F30" s="334"/>
      <c r="G30" s="140"/>
      <c r="H30" s="982"/>
      <c r="I30" s="982"/>
      <c r="J30" s="982"/>
      <c r="K30" s="983"/>
    </row>
    <row r="31" spans="1:33" s="978" customFormat="1" ht="13.5" customHeight="1" thickBot="1">
      <c r="A31" s="2559"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-531</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2" sqref="F3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2519</v>
      </c>
      <c r="B1" s="2561"/>
      <c r="C1" s="2561"/>
      <c r="D1" s="2561"/>
      <c r="E1" s="2562"/>
    </row>
    <row r="2" spans="1:6" ht="15.75">
      <c r="A2" s="2563" t="s">
        <v>2320</v>
      </c>
      <c r="B2" s="2564">
        <f ca="1">SUMIF(B6:B13,"&lt;&gt;#ref!",B6:B13)</f>
        <v>28122</v>
      </c>
      <c r="C2" s="2565" t="s">
        <v>2512</v>
      </c>
      <c r="D2" s="2566" t="s">
        <v>2513</v>
      </c>
      <c r="E2" s="2567">
        <f>SUM(E6:E13)</f>
        <v>30792.58</v>
      </c>
    </row>
    <row r="3" spans="1:6" ht="15.75">
      <c r="A3" s="2563" t="s">
        <v>1395</v>
      </c>
      <c r="B3" s="2564">
        <f ca="1">ROUND(B2*10000/E2,0)</f>
        <v>9133</v>
      </c>
      <c r="C3" s="2565" t="s">
        <v>2520</v>
      </c>
      <c r="D3" s="2568"/>
      <c r="E3" s="2569"/>
    </row>
    <row r="4" spans="1:6" ht="15.75">
      <c r="A4" s="2570"/>
      <c r="B4" s="2568"/>
      <c r="C4" s="2568"/>
      <c r="D4" s="2568"/>
      <c r="E4" s="2569"/>
    </row>
    <row r="5" spans="1:6" ht="15">
      <c r="A5" s="2571" t="s">
        <v>2514</v>
      </c>
      <c r="B5" s="3270" t="s">
        <v>2515</v>
      </c>
      <c r="C5" s="3270"/>
      <c r="D5" s="2572"/>
      <c r="E5" s="2573" t="s">
        <v>2516</v>
      </c>
      <c r="F5" s="2574" t="s">
        <v>2517</v>
      </c>
    </row>
    <row r="6" spans="1:6">
      <c r="A6" s="2575" t="str">
        <f>'数据-取费表'!AN6</f>
        <v>收益法</v>
      </c>
      <c r="B6" s="2574">
        <f ca="1">IF(F6="是",'数据-取费表'!AO6,0)</f>
        <v>26483</v>
      </c>
      <c r="C6" s="2565" t="s">
        <v>2512</v>
      </c>
      <c r="D6" s="2568"/>
      <c r="E6" s="2576">
        <f>IF(OR(A6=0,F6="否"),0,'数据-取费表'!K6+'数据-取费表'!S6)</f>
        <v>28072.940000000002</v>
      </c>
      <c r="F6" s="2577" t="s">
        <v>2518</v>
      </c>
    </row>
    <row r="7" spans="1:6">
      <c r="A7" s="2575" t="str">
        <f>'数据-取费表'!AN7</f>
        <v>收益法 (车位)</v>
      </c>
      <c r="B7" s="2574">
        <f ca="1">IF(F7="是",'数据-取费表'!AO7,0)</f>
        <v>1639</v>
      </c>
      <c r="C7" s="2565" t="s">
        <v>2512</v>
      </c>
      <c r="D7" s="2568"/>
      <c r="E7" s="2576">
        <f>IF(OR(A7=0,F7="否"),0,'数据-取费表'!K7+'数据-取费表'!S7)</f>
        <v>2719.64</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87" t="s">
        <v>1076</v>
      </c>
      <c r="B1" s="3288"/>
      <c r="C1" s="3289"/>
      <c r="D1" s="3290">
        <f>SUM(I10,I15,I20,I21,I23)</f>
        <v>0</v>
      </c>
      <c r="E1" s="3290"/>
      <c r="F1" s="3290"/>
      <c r="G1" s="3290"/>
      <c r="H1" s="3290"/>
      <c r="I1" s="3291"/>
    </row>
    <row r="2" spans="1:9">
      <c r="A2" s="3277" t="s">
        <v>1077</v>
      </c>
      <c r="B2" s="3278" t="s">
        <v>1078</v>
      </c>
      <c r="C2" s="3278"/>
      <c r="D2" s="1304" t="s">
        <v>1079</v>
      </c>
      <c r="E2" s="1304" t="s">
        <v>1080</v>
      </c>
      <c r="F2" s="1304" t="s">
        <v>1081</v>
      </c>
      <c r="G2" s="1304" t="s">
        <v>1082</v>
      </c>
      <c r="H2" s="1304" t="s">
        <v>1083</v>
      </c>
      <c r="I2" s="1305" t="s">
        <v>1084</v>
      </c>
    </row>
    <row r="3" spans="1:9">
      <c r="A3" s="3277"/>
      <c r="B3" s="3278" t="s">
        <v>1085</v>
      </c>
      <c r="C3" s="3278"/>
      <c r="D3" s="1306"/>
      <c r="E3" s="1304"/>
      <c r="F3" s="1307"/>
      <c r="G3" s="1307"/>
      <c r="H3" s="1308"/>
      <c r="I3" s="1309">
        <f>ROUND(D3*E3*F3*G3*H3/10000,0)</f>
        <v>0</v>
      </c>
    </row>
    <row r="4" spans="1:9">
      <c r="A4" s="3277"/>
      <c r="B4" s="3278" t="s">
        <v>1086</v>
      </c>
      <c r="C4" s="3278"/>
      <c r="D4" s="1306"/>
      <c r="E4" s="1304"/>
      <c r="F4" s="1307"/>
      <c r="G4" s="1307"/>
      <c r="H4" s="1308"/>
      <c r="I4" s="1309">
        <f t="shared" ref="I4:I9" si="0">ROUND(D4*E4*F4*G4*H4/10000,0)</f>
        <v>0</v>
      </c>
    </row>
    <row r="5" spans="1:9">
      <c r="A5" s="3277"/>
      <c r="B5" s="3278" t="s">
        <v>1087</v>
      </c>
      <c r="C5" s="3278"/>
      <c r="D5" s="1306"/>
      <c r="E5" s="1304"/>
      <c r="F5" s="1307"/>
      <c r="G5" s="1307"/>
      <c r="H5" s="1308"/>
      <c r="I5" s="1309">
        <f t="shared" si="0"/>
        <v>0</v>
      </c>
    </row>
    <row r="6" spans="1:9">
      <c r="A6" s="3277"/>
      <c r="B6" s="3278" t="s">
        <v>1088</v>
      </c>
      <c r="C6" s="3278"/>
      <c r="D6" s="1306"/>
      <c r="E6" s="1304"/>
      <c r="F6" s="1307"/>
      <c r="G6" s="1307"/>
      <c r="H6" s="1308"/>
      <c r="I6" s="1309">
        <f t="shared" si="0"/>
        <v>0</v>
      </c>
    </row>
    <row r="7" spans="1:9">
      <c r="A7" s="3277"/>
      <c r="B7" s="3278" t="s">
        <v>1089</v>
      </c>
      <c r="C7" s="3278"/>
      <c r="D7" s="1306"/>
      <c r="E7" s="1304"/>
      <c r="F7" s="1307"/>
      <c r="G7" s="1307"/>
      <c r="H7" s="1308"/>
      <c r="I7" s="1309">
        <f t="shared" si="0"/>
        <v>0</v>
      </c>
    </row>
    <row r="8" spans="1:9">
      <c r="A8" s="3277"/>
      <c r="B8" s="3278" t="s">
        <v>1090</v>
      </c>
      <c r="C8" s="3278"/>
      <c r="D8" s="1306"/>
      <c r="E8" s="1304"/>
      <c r="F8" s="1307"/>
      <c r="G8" s="1307"/>
      <c r="H8" s="1308"/>
      <c r="I8" s="1309">
        <f t="shared" si="0"/>
        <v>0</v>
      </c>
    </row>
    <row r="9" spans="1:9">
      <c r="A9" s="3277"/>
      <c r="B9" s="3278" t="s">
        <v>1091</v>
      </c>
      <c r="C9" s="3278"/>
      <c r="D9" s="1306"/>
      <c r="E9" s="1304"/>
      <c r="F9" s="1307"/>
      <c r="G9" s="1307"/>
      <c r="H9" s="1308"/>
      <c r="I9" s="1309">
        <f t="shared" si="0"/>
        <v>0</v>
      </c>
    </row>
    <row r="10" spans="1:9">
      <c r="A10" s="3277"/>
      <c r="B10" s="3279" t="s">
        <v>1092</v>
      </c>
      <c r="C10" s="3279"/>
      <c r="D10" s="1310"/>
      <c r="E10" s="1310" t="e">
        <f>ROUND(D1*10000/D10/H9,0)</f>
        <v>#DIV/0!</v>
      </c>
      <c r="F10" s="1311"/>
      <c r="G10" s="1311"/>
      <c r="H10" s="1312"/>
      <c r="I10" s="1313">
        <f>SUM(I3:I9)</f>
        <v>0</v>
      </c>
    </row>
    <row r="11" spans="1:9" ht="14.25">
      <c r="A11" s="3277" t="s">
        <v>1093</v>
      </c>
      <c r="B11" s="3278" t="s">
        <v>1094</v>
      </c>
      <c r="C11" s="3278"/>
      <c r="D11" s="1306" t="s">
        <v>1095</v>
      </c>
      <c r="E11" s="1306" t="s">
        <v>1096</v>
      </c>
      <c r="F11" s="1307" t="s">
        <v>1097</v>
      </c>
      <c r="G11" s="1307" t="s">
        <v>1083</v>
      </c>
      <c r="H11" s="1314" t="s">
        <v>1098</v>
      </c>
      <c r="I11" s="1305" t="s">
        <v>1084</v>
      </c>
    </row>
    <row r="12" spans="1:9">
      <c r="A12" s="3277"/>
      <c r="B12" s="3278" t="s">
        <v>1099</v>
      </c>
      <c r="C12" s="3278"/>
      <c r="D12" s="1306"/>
      <c r="E12" s="1306"/>
      <c r="F12" s="1307"/>
      <c r="G12" s="1308"/>
      <c r="H12" s="1315"/>
      <c r="I12" s="1305">
        <f>ROUND(D12*E12*F12*G12/10000,0)</f>
        <v>0</v>
      </c>
    </row>
    <row r="13" spans="1:9">
      <c r="A13" s="3277"/>
      <c r="B13" s="3278" t="s">
        <v>1100</v>
      </c>
      <c r="C13" s="3278"/>
      <c r="D13" s="1306"/>
      <c r="E13" s="1306"/>
      <c r="F13" s="1307"/>
      <c r="G13" s="1308"/>
      <c r="H13" s="1315"/>
      <c r="I13" s="1305">
        <f>ROUND(D13*E13*F13*G13/10000,0)</f>
        <v>0</v>
      </c>
    </row>
    <row r="14" spans="1:9">
      <c r="A14" s="3277"/>
      <c r="B14" s="3278" t="s">
        <v>1101</v>
      </c>
      <c r="C14" s="3278"/>
      <c r="D14" s="1306"/>
      <c r="E14" s="1306"/>
      <c r="F14" s="1307"/>
      <c r="G14" s="1308"/>
      <c r="H14" s="1315"/>
      <c r="I14" s="1305">
        <f>ROUND(D14*E14*F14*G14/10000,0)</f>
        <v>0</v>
      </c>
    </row>
    <row r="15" spans="1:9">
      <c r="A15" s="3277"/>
      <c r="B15" s="3279" t="s">
        <v>1092</v>
      </c>
      <c r="C15" s="3279"/>
      <c r="D15" s="1310"/>
      <c r="E15" s="1310">
        <f>SUM(E12:E14)</f>
        <v>0</v>
      </c>
      <c r="F15" s="1311"/>
      <c r="G15" s="1308"/>
      <c r="H15" s="1315"/>
      <c r="I15" s="1316">
        <f>SUM(I12:I14)</f>
        <v>0</v>
      </c>
    </row>
    <row r="16" spans="1:9" ht="24">
      <c r="A16" s="3277" t="s">
        <v>1102</v>
      </c>
      <c r="B16" s="3278" t="s">
        <v>1103</v>
      </c>
      <c r="C16" s="3278"/>
      <c r="D16" s="1306" t="s">
        <v>1079</v>
      </c>
      <c r="E16" s="1317" t="s">
        <v>1104</v>
      </c>
      <c r="F16" s="1307" t="s">
        <v>1105</v>
      </c>
      <c r="G16" s="1308" t="s">
        <v>1083</v>
      </c>
      <c r="H16" s="1314" t="s">
        <v>1098</v>
      </c>
      <c r="I16" s="1305" t="s">
        <v>1084</v>
      </c>
    </row>
    <row r="17" spans="1:9" ht="14.25">
      <c r="A17" s="3277"/>
      <c r="B17" s="3278" t="s">
        <v>1106</v>
      </c>
      <c r="C17" s="3278"/>
      <c r="D17" s="1306"/>
      <c r="E17" s="1306"/>
      <c r="F17" s="1307"/>
      <c r="G17" s="1308"/>
      <c r="H17" s="1318"/>
      <c r="I17" s="1319">
        <f>ROUND(D17*E17*F17*G17/10000,0)</f>
        <v>0</v>
      </c>
    </row>
    <row r="18" spans="1:9" ht="14.25">
      <c r="A18" s="3277"/>
      <c r="B18" s="3278" t="s">
        <v>1107</v>
      </c>
      <c r="C18" s="3278"/>
      <c r="D18" s="1306"/>
      <c r="E18" s="1306"/>
      <c r="F18" s="1307"/>
      <c r="G18" s="1308"/>
      <c r="H18" s="1318"/>
      <c r="I18" s="1319">
        <f>ROUND(D18*E18*F18*G18/10000,0)</f>
        <v>0</v>
      </c>
    </row>
    <row r="19" spans="1:9" ht="14.25">
      <c r="A19" s="3277"/>
      <c r="B19" s="3278" t="s">
        <v>1108</v>
      </c>
      <c r="C19" s="3278"/>
      <c r="D19" s="1306"/>
      <c r="E19" s="1306"/>
      <c r="F19" s="1307"/>
      <c r="G19" s="1308"/>
      <c r="H19" s="1318"/>
      <c r="I19" s="1319">
        <f>ROUND(D19*E19*F19*G19/10000,0)</f>
        <v>0</v>
      </c>
    </row>
    <row r="20" spans="1:9">
      <c r="A20" s="3277"/>
      <c r="B20" s="3279" t="s">
        <v>1092</v>
      </c>
      <c r="C20" s="3279"/>
      <c r="D20" s="1310">
        <f>SUM(D17:D19)</f>
        <v>0</v>
      </c>
      <c r="E20" s="1310"/>
      <c r="F20" s="1311"/>
      <c r="G20" s="1308"/>
      <c r="H20" s="1315"/>
      <c r="I20" s="1316">
        <f>SUM(I17:I19)</f>
        <v>0</v>
      </c>
    </row>
    <row r="21" spans="1:9">
      <c r="A21" s="3277" t="s">
        <v>1109</v>
      </c>
      <c r="B21" s="3280"/>
      <c r="C21" s="3280"/>
      <c r="D21" s="3280"/>
      <c r="E21" s="3280"/>
      <c r="F21" s="3280"/>
      <c r="G21" s="3280"/>
      <c r="H21" s="1767">
        <v>0.1</v>
      </c>
      <c r="I21" s="1313">
        <f>ROUND(I10*H21,0)</f>
        <v>0</v>
      </c>
    </row>
    <row r="22" spans="1:9" ht="14.25">
      <c r="A22" s="3281" t="s">
        <v>1110</v>
      </c>
      <c r="B22" s="3282"/>
      <c r="C22" s="3283"/>
      <c r="D22" s="1320" t="s">
        <v>1111</v>
      </c>
      <c r="E22" s="1320" t="s">
        <v>1112</v>
      </c>
      <c r="F22" s="1321" t="s">
        <v>1113</v>
      </c>
      <c r="G22" s="1321" t="s">
        <v>1114</v>
      </c>
      <c r="H22" s="1314" t="s">
        <v>1115</v>
      </c>
      <c r="I22" s="1305" t="s">
        <v>1116</v>
      </c>
    </row>
    <row r="23" spans="1:9" ht="14.25" thickBot="1">
      <c r="A23" s="3284"/>
      <c r="B23" s="3285"/>
      <c r="C23" s="3286"/>
      <c r="D23" s="1322"/>
      <c r="E23" s="1322"/>
      <c r="F23" s="1322"/>
      <c r="G23" s="1323"/>
      <c r="H23" s="1324"/>
      <c r="I23" s="1325">
        <f>ROUND(E23*D23*F23*(1-G23)/10000,0)</f>
        <v>0</v>
      </c>
    </row>
    <row r="26" spans="1:9">
      <c r="A26" s="1326" t="s">
        <v>1117</v>
      </c>
      <c r="B26" s="1326"/>
      <c r="C26" s="1326"/>
      <c r="D26" s="1326"/>
      <c r="E26" s="3274">
        <f>C27-C30-C31-C32</f>
        <v>0</v>
      </c>
      <c r="F26" s="3274"/>
      <c r="G26" s="3274"/>
      <c r="H26" s="1739" t="s">
        <v>1340</v>
      </c>
    </row>
    <row r="27" spans="1:9">
      <c r="A27" s="1327">
        <v>1</v>
      </c>
      <c r="B27" s="1328" t="s">
        <v>1118</v>
      </c>
      <c r="C27" s="1328">
        <f>C28+C29</f>
        <v>0</v>
      </c>
      <c r="D27" s="1328"/>
      <c r="E27" s="3275"/>
      <c r="F27" s="3275"/>
      <c r="G27" s="3275"/>
    </row>
    <row r="28" spans="1:9">
      <c r="A28" s="1329" t="s">
        <v>1119</v>
      </c>
      <c r="B28" s="1328" t="s">
        <v>1120</v>
      </c>
      <c r="C28" s="1328"/>
      <c r="D28" s="1328"/>
      <c r="E28" s="3275"/>
      <c r="F28" s="3275"/>
      <c r="G28" s="327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76"/>
      <c r="F32" s="3276"/>
      <c r="G32" s="3276"/>
    </row>
    <row r="33" spans="1:7" hidden="1">
      <c r="A33" s="3271" t="s">
        <v>1129</v>
      </c>
      <c r="B33" s="3272"/>
      <c r="C33" s="3272"/>
      <c r="D33" s="3273"/>
      <c r="E33" s="3274"/>
      <c r="F33" s="3274"/>
      <c r="G33" s="3274"/>
    </row>
    <row r="34" spans="1:7" hidden="1">
      <c r="A34" s="1331">
        <v>1</v>
      </c>
      <c r="B34" s="1328" t="s">
        <v>1130</v>
      </c>
      <c r="C34" s="1328"/>
      <c r="D34" s="1328"/>
      <c r="E34" s="3275"/>
      <c r="F34" s="3275"/>
      <c r="G34" s="3275"/>
    </row>
    <row r="35" spans="1:7" hidden="1">
      <c r="A35" s="1331">
        <v>2</v>
      </c>
      <c r="B35" s="1328" t="s">
        <v>1131</v>
      </c>
      <c r="C35" s="1328"/>
      <c r="D35" s="1328"/>
      <c r="E35" s="3275"/>
      <c r="F35" s="3275"/>
      <c r="G35" s="3275"/>
    </row>
    <row r="36" spans="1:7" hidden="1">
      <c r="A36" s="1331">
        <v>3</v>
      </c>
      <c r="B36" s="1328" t="s">
        <v>1132</v>
      </c>
      <c r="C36" s="1328"/>
      <c r="D36" s="1328"/>
      <c r="E36" s="3275"/>
      <c r="F36" s="3275"/>
      <c r="G36" s="3275"/>
    </row>
    <row r="37" spans="1:7" hidden="1">
      <c r="A37" s="1331">
        <v>4</v>
      </c>
      <c r="B37" s="1328" t="s">
        <v>1133</v>
      </c>
      <c r="C37" s="1328"/>
      <c r="D37" s="1328"/>
      <c r="E37" s="3275"/>
      <c r="F37" s="3275"/>
      <c r="G37" s="3275"/>
    </row>
    <row r="38" spans="1:7" hidden="1">
      <c r="A38" s="3271" t="s">
        <v>1134</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1" t="s">
        <v>2522</v>
      </c>
      <c r="C1" s="1636" t="s">
        <v>2523</v>
      </c>
      <c r="D1" s="1623"/>
      <c r="E1" s="2582"/>
      <c r="F1" s="2583" t="s">
        <v>2524</v>
      </c>
      <c r="G1" s="1633" t="s">
        <v>2525</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5"/>
      <c r="D2" s="1368" t="e">
        <f ca="1">SUMIF(INDIRECT("'"&amp;F2&amp;"'"&amp;"!A:A"),"承租人权益价值",INDIRECT("'"&amp;F2&amp;"'"&amp;"!c:c"))</f>
        <v>#REF!</v>
      </c>
      <c r="E2" s="2586" t="s">
        <v>2526</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2527</v>
      </c>
      <c r="D3" s="399">
        <f>IF(D1="",'数据-汇总表'!E3,SUMIF('数据-汇总表'!$C19:$C33,D1,'数据-汇总表'!$E19:$E33))</f>
        <v>30792.58</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2528</v>
      </c>
      <c r="B4" s="402"/>
      <c r="C4" s="3310" t="s">
        <v>2529</v>
      </c>
      <c r="D4" s="3311"/>
      <c r="E4" s="3312" t="s">
        <v>2530</v>
      </c>
      <c r="F4" s="3313"/>
      <c r="G4" s="3310" t="s">
        <v>2531</v>
      </c>
      <c r="H4" s="3311"/>
      <c r="I4" s="3310" t="s">
        <v>2532</v>
      </c>
      <c r="J4" s="3311"/>
      <c r="K4" s="2595" t="s">
        <v>2533</v>
      </c>
      <c r="L4" s="1133"/>
      <c r="M4" s="1134"/>
      <c r="N4" s="1134"/>
      <c r="O4" s="1134"/>
      <c r="P4" s="3314" t="s">
        <v>2534</v>
      </c>
      <c r="Q4" s="3315"/>
      <c r="R4" s="3320" t="s">
        <v>2530</v>
      </c>
      <c r="S4" s="3321"/>
      <c r="T4" s="3320" t="s">
        <v>2531</v>
      </c>
      <c r="U4" s="3321"/>
      <c r="V4" s="3326" t="s">
        <v>2532</v>
      </c>
      <c r="W4" s="3326"/>
      <c r="X4" s="1815"/>
      <c r="Y4" s="3320" t="s">
        <v>2534</v>
      </c>
      <c r="Z4" s="3321"/>
      <c r="AA4" s="3307" t="s">
        <v>2530</v>
      </c>
      <c r="AB4" s="3307" t="s">
        <v>2531</v>
      </c>
      <c r="AC4" s="3307" t="s">
        <v>2532</v>
      </c>
    </row>
    <row r="5" spans="1:29" ht="15">
      <c r="A5" s="404"/>
      <c r="B5" s="405"/>
      <c r="C5" s="3329" t="s">
        <v>2535</v>
      </c>
      <c r="D5" s="3330"/>
      <c r="E5" s="3336" t="s">
        <v>2536</v>
      </c>
      <c r="F5" s="3337"/>
      <c r="G5" s="3329" t="s">
        <v>2537</v>
      </c>
      <c r="H5" s="3330"/>
      <c r="I5" s="3329" t="s">
        <v>2538</v>
      </c>
      <c r="J5" s="3330"/>
      <c r="K5" s="2596"/>
      <c r="L5" s="1133"/>
      <c r="M5" s="1134"/>
      <c r="N5" s="1134"/>
      <c r="O5" s="1134"/>
      <c r="P5" s="3316"/>
      <c r="Q5" s="3317"/>
      <c r="R5" s="3322"/>
      <c r="S5" s="3323"/>
      <c r="T5" s="3322"/>
      <c r="U5" s="3323"/>
      <c r="V5" s="3326"/>
      <c r="W5" s="3326"/>
      <c r="X5" s="1815"/>
      <c r="Y5" s="3322"/>
      <c r="Z5" s="3323"/>
      <c r="AA5" s="3308"/>
      <c r="AB5" s="3308"/>
      <c r="AC5" s="3308"/>
    </row>
    <row r="6" spans="1:29" ht="15.75" thickBot="1">
      <c r="A6" s="406"/>
      <c r="B6" s="407"/>
      <c r="C6" s="3327" t="s">
        <v>2539</v>
      </c>
      <c r="D6" s="3328"/>
      <c r="E6" s="3334" t="s">
        <v>2539</v>
      </c>
      <c r="F6" s="3335"/>
      <c r="G6" s="3327" t="s">
        <v>2539</v>
      </c>
      <c r="H6" s="3328"/>
      <c r="I6" s="3327" t="s">
        <v>2539</v>
      </c>
      <c r="J6" s="3328"/>
      <c r="K6" s="2596" t="s">
        <v>2540</v>
      </c>
      <c r="L6" s="1133"/>
      <c r="M6" s="1134"/>
      <c r="N6" s="1134"/>
      <c r="O6" s="1134"/>
      <c r="P6" s="3318"/>
      <c r="Q6" s="3319"/>
      <c r="R6" s="3322"/>
      <c r="S6" s="3323"/>
      <c r="T6" s="3324"/>
      <c r="U6" s="3325"/>
      <c r="V6" s="3326"/>
      <c r="W6" s="3326"/>
      <c r="X6" s="1815"/>
      <c r="Y6" s="3324"/>
      <c r="Z6" s="3325"/>
      <c r="AA6" s="3309"/>
      <c r="AB6" s="3309"/>
      <c r="AC6" s="3309"/>
    </row>
    <row r="7" spans="1:29" s="117" customFormat="1" ht="15.75" thickBot="1">
      <c r="A7" s="408" t="s">
        <v>2541</v>
      </c>
      <c r="B7" s="409"/>
      <c r="C7" s="410">
        <f>'数据-取费表'!B2</f>
        <v>43339</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331" t="s">
        <v>2542</v>
      </c>
      <c r="Q7" s="3333"/>
      <c r="R7" s="770" t="s">
        <v>23</v>
      </c>
      <c r="S7" s="771">
        <f t="shared" ref="S7:S15" si="0">F7</f>
        <v>0</v>
      </c>
      <c r="T7" s="770" t="s">
        <v>23</v>
      </c>
      <c r="U7" s="771">
        <f t="shared" ref="U7:U15" si="1">H7</f>
        <v>0</v>
      </c>
      <c r="V7" s="770" t="s">
        <v>23</v>
      </c>
      <c r="W7" s="771">
        <f t="shared" ref="W7:W15" si="2">J7</f>
        <v>0</v>
      </c>
      <c r="X7" s="772"/>
      <c r="Y7" s="3331" t="s">
        <v>2542</v>
      </c>
      <c r="Z7" s="3332"/>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331" t="s">
        <v>2545</v>
      </c>
      <c r="Q8" s="3332"/>
      <c r="R8" s="770" t="s">
        <v>23</v>
      </c>
      <c r="S8" s="771">
        <f t="shared" si="0"/>
        <v>0</v>
      </c>
      <c r="T8" s="770" t="s">
        <v>23</v>
      </c>
      <c r="U8" s="771">
        <f t="shared" si="1"/>
        <v>0</v>
      </c>
      <c r="V8" s="770" t="s">
        <v>23</v>
      </c>
      <c r="W8" s="771">
        <f t="shared" si="2"/>
        <v>0</v>
      </c>
      <c r="X8" s="772"/>
      <c r="Y8" s="3331" t="s">
        <v>2545</v>
      </c>
      <c r="Z8" s="3332"/>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306" t="s">
        <v>2548</v>
      </c>
      <c r="Q9" s="1797" t="str">
        <f t="shared" ref="Q9:Q15" si="6">B9</f>
        <v>用途</v>
      </c>
      <c r="R9" s="770" t="s">
        <v>17</v>
      </c>
      <c r="S9" s="771">
        <f t="shared" si="0"/>
        <v>100</v>
      </c>
      <c r="T9" s="770" t="s">
        <v>17</v>
      </c>
      <c r="U9" s="771">
        <f t="shared" si="1"/>
        <v>100</v>
      </c>
      <c r="V9" s="770" t="s">
        <v>17</v>
      </c>
      <c r="W9" s="771">
        <f t="shared" si="2"/>
        <v>100</v>
      </c>
      <c r="X9" s="772"/>
      <c r="Y9" s="310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306"/>
      <c r="Q10" s="1797"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306"/>
      <c r="Q11" s="1797" t="str">
        <f t="shared" si="6"/>
        <v>容积率</v>
      </c>
      <c r="R11" s="770" t="s">
        <v>21</v>
      </c>
      <c r="S11" s="771" t="e">
        <f t="shared" si="0"/>
        <v>#N/A</v>
      </c>
      <c r="T11" s="770" t="s">
        <v>21</v>
      </c>
      <c r="U11" s="771" t="e">
        <f t="shared" si="1"/>
        <v>#N/A</v>
      </c>
      <c r="V11" s="770" t="s">
        <v>21</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306"/>
      <c r="Q12" s="1797">
        <f t="shared" si="6"/>
        <v>111</v>
      </c>
      <c r="R12" s="770" t="s">
        <v>21</v>
      </c>
      <c r="S12" s="771">
        <f t="shared" si="0"/>
        <v>100</v>
      </c>
      <c r="T12" s="770" t="s">
        <v>21</v>
      </c>
      <c r="U12" s="771">
        <f t="shared" si="1"/>
        <v>100</v>
      </c>
      <c r="V12" s="770" t="s">
        <v>21</v>
      </c>
      <c r="W12" s="771">
        <f t="shared" si="2"/>
        <v>100</v>
      </c>
      <c r="X12" s="772"/>
      <c r="Y12" s="310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306"/>
      <c r="Q13" s="1797">
        <f t="shared" si="6"/>
        <v>111</v>
      </c>
      <c r="R13" s="770" t="s">
        <v>21</v>
      </c>
      <c r="S13" s="771">
        <f t="shared" si="0"/>
        <v>100</v>
      </c>
      <c r="T13" s="770" t="s">
        <v>21</v>
      </c>
      <c r="U13" s="771">
        <f t="shared" si="1"/>
        <v>100</v>
      </c>
      <c r="V13" s="770" t="s">
        <v>21</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306"/>
      <c r="Q14" s="1797">
        <f t="shared" si="6"/>
        <v>111</v>
      </c>
      <c r="R14" s="770" t="s">
        <v>21</v>
      </c>
      <c r="S14" s="771">
        <f t="shared" si="0"/>
        <v>100</v>
      </c>
      <c r="T14" s="770" t="s">
        <v>21</v>
      </c>
      <c r="U14" s="771">
        <f t="shared" si="1"/>
        <v>100</v>
      </c>
      <c r="V14" s="770" t="s">
        <v>21</v>
      </c>
      <c r="W14" s="771">
        <f t="shared" si="2"/>
        <v>100</v>
      </c>
      <c r="X14" s="772"/>
      <c r="Y14" s="3101"/>
      <c r="Z14" s="55">
        <f t="shared" si="7"/>
        <v>111</v>
      </c>
      <c r="AA14" s="773">
        <f t="shared" si="3"/>
        <v>1</v>
      </c>
      <c r="AB14" s="773">
        <f t="shared" si="4"/>
        <v>1</v>
      </c>
      <c r="AC14" s="773">
        <f t="shared" si="5"/>
        <v>1</v>
      </c>
    </row>
    <row r="15" spans="1:29" ht="15">
      <c r="A15" s="440" t="s">
        <v>2552</v>
      </c>
      <c r="B15" s="69" t="s">
        <v>2086</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4" t="s">
        <v>2553</v>
      </c>
      <c r="Q15" s="1812" t="str">
        <f t="shared" si="6"/>
        <v>居住社区成熟度</v>
      </c>
      <c r="R15" s="774" t="s">
        <v>21</v>
      </c>
      <c r="S15" s="775">
        <f t="shared" si="0"/>
        <v>100</v>
      </c>
      <c r="T15" s="774" t="s">
        <v>21</v>
      </c>
      <c r="U15" s="775">
        <f t="shared" si="1"/>
        <v>100</v>
      </c>
      <c r="V15" s="774" t="s">
        <v>21</v>
      </c>
      <c r="W15" s="775">
        <f t="shared" si="2"/>
        <v>100</v>
      </c>
      <c r="X15" s="1815"/>
      <c r="Y15" s="3297" t="s">
        <v>2553</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305"/>
      <c r="Q16" s="1812"/>
      <c r="R16" s="774"/>
      <c r="S16" s="775"/>
      <c r="T16" s="774"/>
      <c r="U16" s="775"/>
      <c r="V16" s="774"/>
      <c r="W16" s="775"/>
      <c r="X16" s="1815"/>
      <c r="Y16" s="3298"/>
      <c r="Z16" s="1816"/>
      <c r="AA16" s="1813">
        <v>1</v>
      </c>
      <c r="AB16" s="1813">
        <v>1</v>
      </c>
      <c r="AC16" s="1813">
        <v>1</v>
      </c>
    </row>
    <row r="17" spans="1:29" ht="15">
      <c r="A17" s="428"/>
      <c r="B17" s="451" t="s">
        <v>2092</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5"/>
      <c r="Q17" s="1812" t="str">
        <f>B17</f>
        <v>交通便捷度</v>
      </c>
      <c r="R17" s="774" t="s">
        <v>21</v>
      </c>
      <c r="S17" s="775">
        <f>F17</f>
        <v>100</v>
      </c>
      <c r="T17" s="774" t="s">
        <v>21</v>
      </c>
      <c r="U17" s="775">
        <f>H17</f>
        <v>100</v>
      </c>
      <c r="V17" s="774" t="s">
        <v>21</v>
      </c>
      <c r="W17" s="775">
        <f>J17</f>
        <v>100</v>
      </c>
      <c r="X17" s="1815"/>
      <c r="Y17" s="3298"/>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305"/>
      <c r="Q18" s="1812"/>
      <c r="R18" s="774"/>
      <c r="S18" s="775"/>
      <c r="T18" s="774"/>
      <c r="U18" s="775"/>
      <c r="V18" s="774"/>
      <c r="W18" s="775"/>
      <c r="X18" s="1815"/>
      <c r="Y18" s="3298"/>
      <c r="Z18" s="1816"/>
      <c r="AA18" s="1813">
        <v>1</v>
      </c>
      <c r="AB18" s="1813">
        <v>1</v>
      </c>
      <c r="AC18" s="1813">
        <v>1</v>
      </c>
    </row>
    <row r="19" spans="1:29" ht="15">
      <c r="A19" s="428"/>
      <c r="B19" s="451" t="s">
        <v>2091</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5"/>
      <c r="Q19" s="1812" t="str">
        <f>B19</f>
        <v>公共配套设施</v>
      </c>
      <c r="R19" s="774" t="s">
        <v>21</v>
      </c>
      <c r="S19" s="775">
        <f>F19</f>
        <v>100</v>
      </c>
      <c r="T19" s="774" t="s">
        <v>21</v>
      </c>
      <c r="U19" s="775">
        <f>H19</f>
        <v>100</v>
      </c>
      <c r="V19" s="774" t="s">
        <v>21</v>
      </c>
      <c r="W19" s="775">
        <f>J19</f>
        <v>100</v>
      </c>
      <c r="X19" s="1815"/>
      <c r="Y19" s="3298"/>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305"/>
      <c r="Q20" s="1812"/>
      <c r="R20" s="774"/>
      <c r="S20" s="775"/>
      <c r="T20" s="774"/>
      <c r="U20" s="775"/>
      <c r="V20" s="774"/>
      <c r="W20" s="775"/>
      <c r="X20" s="1815"/>
      <c r="Y20" s="3298"/>
      <c r="Z20" s="1816"/>
      <c r="AA20" s="1813">
        <v>1</v>
      </c>
      <c r="AB20" s="1813">
        <v>1</v>
      </c>
      <c r="AC20" s="1813">
        <v>1</v>
      </c>
    </row>
    <row r="21" spans="1:29" ht="15">
      <c r="A21" s="428"/>
      <c r="B21" s="1387" t="s">
        <v>2093</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5"/>
      <c r="Q21" s="1812" t="str">
        <f>B21</f>
        <v>基础设施水平</v>
      </c>
      <c r="R21" s="774" t="s">
        <v>17</v>
      </c>
      <c r="S21" s="775">
        <f>F21</f>
        <v>100</v>
      </c>
      <c r="T21" s="774" t="s">
        <v>17</v>
      </c>
      <c r="U21" s="775">
        <f>H21</f>
        <v>100</v>
      </c>
      <c r="V21" s="774" t="s">
        <v>17</v>
      </c>
      <c r="W21" s="775">
        <f>J21</f>
        <v>100</v>
      </c>
      <c r="X21" s="1815"/>
      <c r="Y21" s="3298"/>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305"/>
      <c r="Q22" s="1812"/>
      <c r="R22" s="774"/>
      <c r="S22" s="775"/>
      <c r="T22" s="774"/>
      <c r="U22" s="775"/>
      <c r="V22" s="774"/>
      <c r="W22" s="775"/>
      <c r="X22" s="1815"/>
      <c r="Y22" s="3298"/>
      <c r="Z22" s="1816"/>
      <c r="AA22" s="1813">
        <v>1</v>
      </c>
      <c r="AB22" s="1813">
        <v>1</v>
      </c>
      <c r="AC22" s="1813">
        <v>1</v>
      </c>
    </row>
    <row r="23" spans="1:29" ht="15">
      <c r="A23" s="428"/>
      <c r="B23" s="451" t="s">
        <v>2095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5"/>
      <c r="Q23" s="1812" t="str">
        <f>B23</f>
        <v>自然及人文环境</v>
      </c>
      <c r="R23" s="774" t="s">
        <v>21</v>
      </c>
      <c r="S23" s="775">
        <f>F23</f>
        <v>100</v>
      </c>
      <c r="T23" s="774" t="s">
        <v>21</v>
      </c>
      <c r="U23" s="775">
        <f>H23</f>
        <v>100</v>
      </c>
      <c r="V23" s="774" t="s">
        <v>21</v>
      </c>
      <c r="W23" s="775">
        <f>J23</f>
        <v>100</v>
      </c>
      <c r="X23" s="1815"/>
      <c r="Y23" s="3298"/>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305"/>
      <c r="Q24" s="1812"/>
      <c r="R24" s="774"/>
      <c r="S24" s="775"/>
      <c r="T24" s="774"/>
      <c r="U24" s="775"/>
      <c r="V24" s="774"/>
      <c r="W24" s="775"/>
      <c r="X24" s="1815"/>
      <c r="Y24" s="3298"/>
      <c r="Z24" s="1816"/>
      <c r="AA24" s="1813">
        <v>1</v>
      </c>
      <c r="AB24" s="1813">
        <v>1</v>
      </c>
      <c r="AC24" s="1813">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30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98"/>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305"/>
      <c r="Q26" s="1812" t="str">
        <f t="shared" si="11"/>
        <v>朝向</v>
      </c>
      <c r="R26" s="774" t="s">
        <v>21</v>
      </c>
      <c r="S26" s="775">
        <f t="shared" si="12"/>
        <v>100</v>
      </c>
      <c r="T26" s="774" t="s">
        <v>21</v>
      </c>
      <c r="U26" s="775">
        <f t="shared" si="13"/>
        <v>100</v>
      </c>
      <c r="V26" s="774" t="s">
        <v>21</v>
      </c>
      <c r="W26" s="775">
        <f t="shared" si="14"/>
        <v>100</v>
      </c>
      <c r="X26" s="1815"/>
      <c r="Y26" s="329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305"/>
      <c r="Q27" s="1797">
        <f t="shared" si="11"/>
        <v>111</v>
      </c>
      <c r="R27" s="770" t="s">
        <v>21</v>
      </c>
      <c r="S27" s="771">
        <f t="shared" si="12"/>
        <v>100</v>
      </c>
      <c r="T27" s="770" t="s">
        <v>21</v>
      </c>
      <c r="U27" s="771">
        <f t="shared" si="13"/>
        <v>100</v>
      </c>
      <c r="V27" s="770" t="s">
        <v>21</v>
      </c>
      <c r="W27" s="771">
        <f t="shared" si="14"/>
        <v>100</v>
      </c>
      <c r="X27" s="772"/>
      <c r="Y27" s="329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305"/>
      <c r="Q28" s="1812">
        <f t="shared" si="11"/>
        <v>111</v>
      </c>
      <c r="R28" s="774" t="s">
        <v>21</v>
      </c>
      <c r="S28" s="775">
        <f t="shared" si="12"/>
        <v>100</v>
      </c>
      <c r="T28" s="774" t="s">
        <v>21</v>
      </c>
      <c r="U28" s="775">
        <f t="shared" si="13"/>
        <v>100</v>
      </c>
      <c r="V28" s="774" t="s">
        <v>21</v>
      </c>
      <c r="W28" s="775">
        <f t="shared" si="14"/>
        <v>100</v>
      </c>
      <c r="X28" s="1815"/>
      <c r="Y28" s="329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305"/>
      <c r="Q29" s="1812">
        <f t="shared" si="11"/>
        <v>111</v>
      </c>
      <c r="R29" s="774" t="s">
        <v>21</v>
      </c>
      <c r="S29" s="775">
        <f t="shared" si="12"/>
        <v>100</v>
      </c>
      <c r="T29" s="774" t="s">
        <v>21</v>
      </c>
      <c r="U29" s="775">
        <f t="shared" si="13"/>
        <v>100</v>
      </c>
      <c r="V29" s="774" t="s">
        <v>21</v>
      </c>
      <c r="W29" s="775">
        <f t="shared" si="14"/>
        <v>100</v>
      </c>
      <c r="X29" s="1815"/>
      <c r="Y29" s="329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305"/>
      <c r="Q30" s="1812">
        <f t="shared" si="11"/>
        <v>111</v>
      </c>
      <c r="R30" s="774" t="s">
        <v>21</v>
      </c>
      <c r="S30" s="775">
        <f t="shared" si="12"/>
        <v>100</v>
      </c>
      <c r="T30" s="774" t="s">
        <v>21</v>
      </c>
      <c r="U30" s="775">
        <f t="shared" si="13"/>
        <v>100</v>
      </c>
      <c r="V30" s="774" t="s">
        <v>21</v>
      </c>
      <c r="W30" s="775">
        <f t="shared" si="14"/>
        <v>100</v>
      </c>
      <c r="X30" s="1815"/>
      <c r="Y30" s="329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305"/>
      <c r="Q31" s="1812">
        <f t="shared" si="11"/>
        <v>111</v>
      </c>
      <c r="R31" s="774" t="s">
        <v>21</v>
      </c>
      <c r="S31" s="775">
        <f t="shared" si="12"/>
        <v>100</v>
      </c>
      <c r="T31" s="774" t="s">
        <v>21</v>
      </c>
      <c r="U31" s="775">
        <f t="shared" si="13"/>
        <v>100</v>
      </c>
      <c r="V31" s="774" t="s">
        <v>21</v>
      </c>
      <c r="W31" s="775">
        <f t="shared" si="14"/>
        <v>100</v>
      </c>
      <c r="X31" s="1815"/>
      <c r="Y31" s="3298"/>
      <c r="Z31" s="1816">
        <f t="shared" si="18"/>
        <v>111</v>
      </c>
      <c r="AA31" s="1813">
        <f t="shared" si="15"/>
        <v>1</v>
      </c>
      <c r="AB31" s="1813">
        <f t="shared" si="16"/>
        <v>1</v>
      </c>
      <c r="AC31" s="1813">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99" t="s">
        <v>2558</v>
      </c>
      <c r="Q32" s="1812" t="str">
        <f t="shared" si="11"/>
        <v>建筑类型</v>
      </c>
      <c r="R32" s="774" t="s">
        <v>21</v>
      </c>
      <c r="S32" s="775">
        <f t="shared" si="12"/>
        <v>100</v>
      </c>
      <c r="T32" s="774" t="s">
        <v>21</v>
      </c>
      <c r="U32" s="775">
        <f t="shared" si="13"/>
        <v>100</v>
      </c>
      <c r="V32" s="774" t="s">
        <v>21</v>
      </c>
      <c r="W32" s="775">
        <f t="shared" si="14"/>
        <v>100</v>
      </c>
      <c r="X32" s="1815"/>
      <c r="Y32" s="3302" t="s">
        <v>2558</v>
      </c>
      <c r="Z32" s="1816" t="str">
        <f t="shared" si="18"/>
        <v>建筑类型</v>
      </c>
      <c r="AA32" s="1813">
        <f t="shared" si="15"/>
        <v>1</v>
      </c>
      <c r="AB32" s="1813">
        <f t="shared" si="16"/>
        <v>1</v>
      </c>
      <c r="AC32" s="1813">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300"/>
      <c r="Q33" s="776" t="str">
        <f t="shared" si="11"/>
        <v>项目建筑规模</v>
      </c>
      <c r="R33" s="777" t="s">
        <v>21</v>
      </c>
      <c r="S33" s="778" t="e">
        <f t="shared" si="12"/>
        <v>#N/A</v>
      </c>
      <c r="T33" s="777" t="s">
        <v>21</v>
      </c>
      <c r="U33" s="778" t="e">
        <f t="shared" si="13"/>
        <v>#N/A</v>
      </c>
      <c r="V33" s="777" t="s">
        <v>21</v>
      </c>
      <c r="W33" s="778" t="e">
        <f t="shared" si="14"/>
        <v>#N/A</v>
      </c>
      <c r="X33" s="779"/>
      <c r="Y33" s="3302"/>
      <c r="Z33" s="780" t="str">
        <f t="shared" si="18"/>
        <v>项目建筑规模</v>
      </c>
      <c r="AA33" s="1813" t="e">
        <f t="shared" si="15"/>
        <v>#N/A</v>
      </c>
      <c r="AB33" s="1813" t="e">
        <f t="shared" si="16"/>
        <v>#N/A</v>
      </c>
      <c r="AC33" s="1813"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300"/>
      <c r="Q34" s="1812" t="str">
        <f t="shared" si="11"/>
        <v>建筑结构</v>
      </c>
      <c r="R34" s="774" t="s">
        <v>21</v>
      </c>
      <c r="S34" s="775">
        <f t="shared" si="12"/>
        <v>100</v>
      </c>
      <c r="T34" s="774" t="s">
        <v>21</v>
      </c>
      <c r="U34" s="775">
        <f t="shared" si="13"/>
        <v>100</v>
      </c>
      <c r="V34" s="774" t="s">
        <v>21</v>
      </c>
      <c r="W34" s="775">
        <f t="shared" si="14"/>
        <v>100</v>
      </c>
      <c r="X34" s="1815"/>
      <c r="Y34" s="3302"/>
      <c r="Z34" s="1816" t="str">
        <f t="shared" si="18"/>
        <v>建筑结构</v>
      </c>
      <c r="AA34" s="1813">
        <f t="shared" si="15"/>
        <v>1</v>
      </c>
      <c r="AB34" s="1813">
        <f t="shared" si="16"/>
        <v>1</v>
      </c>
      <c r="AC34" s="1813">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300"/>
      <c r="Q35" s="1812" t="str">
        <f t="shared" si="11"/>
        <v>建筑品质</v>
      </c>
      <c r="R35" s="774" t="s">
        <v>21</v>
      </c>
      <c r="S35" s="775">
        <f t="shared" si="12"/>
        <v>100</v>
      </c>
      <c r="T35" s="774" t="s">
        <v>21</v>
      </c>
      <c r="U35" s="775">
        <f t="shared" si="13"/>
        <v>100</v>
      </c>
      <c r="V35" s="774" t="s">
        <v>21</v>
      </c>
      <c r="W35" s="775">
        <f t="shared" si="14"/>
        <v>100</v>
      </c>
      <c r="X35" s="1815"/>
      <c r="Y35" s="3302"/>
      <c r="Z35" s="1816" t="str">
        <f t="shared" si="18"/>
        <v>建筑品质</v>
      </c>
      <c r="AA35" s="1813">
        <f t="shared" si="15"/>
        <v>1</v>
      </c>
      <c r="AB35" s="1813">
        <f t="shared" si="16"/>
        <v>1</v>
      </c>
      <c r="AC35" s="1813">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300"/>
      <c r="Q36" s="1812" t="str">
        <f t="shared" si="11"/>
        <v>公共部分装修</v>
      </c>
      <c r="R36" s="774" t="s">
        <v>21</v>
      </c>
      <c r="S36" s="775">
        <f t="shared" si="12"/>
        <v>100</v>
      </c>
      <c r="T36" s="774" t="s">
        <v>21</v>
      </c>
      <c r="U36" s="775">
        <f t="shared" si="13"/>
        <v>100</v>
      </c>
      <c r="V36" s="774" t="s">
        <v>21</v>
      </c>
      <c r="W36" s="775">
        <f t="shared" si="14"/>
        <v>100</v>
      </c>
      <c r="X36" s="1815"/>
      <c r="Y36" s="3302"/>
      <c r="Z36" s="1816" t="str">
        <f t="shared" si="18"/>
        <v>公共部分装修</v>
      </c>
      <c r="AA36" s="1813">
        <f t="shared" si="15"/>
        <v>1</v>
      </c>
      <c r="AB36" s="1813">
        <f t="shared" si="16"/>
        <v>1</v>
      </c>
      <c r="AC36" s="1813">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0"/>
      <c r="Q37" s="1797" t="str">
        <f t="shared" si="11"/>
        <v>成新度</v>
      </c>
      <c r="R37" s="770" t="s">
        <v>21</v>
      </c>
      <c r="S37" s="771" t="e">
        <f t="shared" si="12"/>
        <v>#N/A</v>
      </c>
      <c r="T37" s="770" t="s">
        <v>21</v>
      </c>
      <c r="U37" s="771" t="e">
        <f t="shared" si="13"/>
        <v>#N/A</v>
      </c>
      <c r="V37" s="770" t="s">
        <v>21</v>
      </c>
      <c r="W37" s="771" t="e">
        <f t="shared" si="14"/>
        <v>#N/A</v>
      </c>
      <c r="X37" s="772"/>
      <c r="Y37" s="3302"/>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300" t="s">
        <v>2558</v>
      </c>
      <c r="Q38" s="1812" t="str">
        <f t="shared" si="11"/>
        <v>物业管理</v>
      </c>
      <c r="R38" s="774" t="s">
        <v>21</v>
      </c>
      <c r="S38" s="775">
        <f t="shared" si="12"/>
        <v>100</v>
      </c>
      <c r="T38" s="774" t="s">
        <v>21</v>
      </c>
      <c r="U38" s="775">
        <f t="shared" si="13"/>
        <v>100</v>
      </c>
      <c r="V38" s="774" t="s">
        <v>21</v>
      </c>
      <c r="W38" s="775">
        <f t="shared" si="14"/>
        <v>100</v>
      </c>
      <c r="X38" s="1815"/>
      <c r="Y38" s="3302" t="s">
        <v>2558</v>
      </c>
      <c r="Z38" s="1816" t="str">
        <f t="shared" si="18"/>
        <v>物业管理</v>
      </c>
      <c r="AA38" s="1813">
        <f t="shared" si="15"/>
        <v>1</v>
      </c>
      <c r="AB38" s="1813">
        <f t="shared" si="16"/>
        <v>1</v>
      </c>
      <c r="AC38" s="1813">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300"/>
      <c r="Q39" s="1812" t="str">
        <f t="shared" si="11"/>
        <v>市政基础设施</v>
      </c>
      <c r="R39" s="774" t="s">
        <v>21</v>
      </c>
      <c r="S39" s="775">
        <f t="shared" si="12"/>
        <v>100</v>
      </c>
      <c r="T39" s="774" t="s">
        <v>21</v>
      </c>
      <c r="U39" s="775">
        <f t="shared" si="13"/>
        <v>100</v>
      </c>
      <c r="V39" s="774" t="s">
        <v>21</v>
      </c>
      <c r="W39" s="775">
        <f t="shared" si="14"/>
        <v>100</v>
      </c>
      <c r="X39" s="1815"/>
      <c r="Y39" s="3302"/>
      <c r="Z39" s="1816" t="str">
        <f t="shared" si="18"/>
        <v>市政基础设施</v>
      </c>
      <c r="AA39" s="1813">
        <f t="shared" si="15"/>
        <v>1</v>
      </c>
      <c r="AB39" s="1813">
        <f t="shared" si="16"/>
        <v>1</v>
      </c>
      <c r="AC39" s="1813">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300"/>
      <c r="Q40" s="1812" t="str">
        <f t="shared" si="11"/>
        <v>房型</v>
      </c>
      <c r="R40" s="774" t="s">
        <v>21</v>
      </c>
      <c r="S40" s="775">
        <f t="shared" si="12"/>
        <v>100</v>
      </c>
      <c r="T40" s="774" t="s">
        <v>21</v>
      </c>
      <c r="U40" s="775">
        <f t="shared" si="13"/>
        <v>100</v>
      </c>
      <c r="V40" s="774" t="s">
        <v>21</v>
      </c>
      <c r="W40" s="775">
        <f t="shared" si="14"/>
        <v>100</v>
      </c>
      <c r="X40" s="1815"/>
      <c r="Y40" s="3302"/>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300"/>
      <c r="Q41" s="776" t="str">
        <f t="shared" si="11"/>
        <v>单套/主力户型建筑面积</v>
      </c>
      <c r="R41" s="777" t="s">
        <v>21</v>
      </c>
      <c r="S41" s="778">
        <f t="shared" si="12"/>
        <v>100</v>
      </c>
      <c r="T41" s="777" t="s">
        <v>21</v>
      </c>
      <c r="U41" s="778">
        <f t="shared" si="13"/>
        <v>100</v>
      </c>
      <c r="V41" s="777" t="s">
        <v>21</v>
      </c>
      <c r="W41" s="778">
        <f t="shared" si="14"/>
        <v>100</v>
      </c>
      <c r="X41" s="779"/>
      <c r="Y41" s="3302"/>
      <c r="Z41" s="780" t="str">
        <f t="shared" si="18"/>
        <v>单套/主力户型建筑面积</v>
      </c>
      <c r="AA41" s="1813">
        <f t="shared" si="15"/>
        <v>1</v>
      </c>
      <c r="AB41" s="1813">
        <f t="shared" si="16"/>
        <v>1</v>
      </c>
      <c r="AC41" s="1813">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300"/>
      <c r="Q42" s="1812" t="str">
        <f t="shared" si="11"/>
        <v>内部装修</v>
      </c>
      <c r="R42" s="774" t="s">
        <v>21</v>
      </c>
      <c r="S42" s="775">
        <f t="shared" si="12"/>
        <v>100</v>
      </c>
      <c r="T42" s="774" t="s">
        <v>21</v>
      </c>
      <c r="U42" s="775">
        <f t="shared" si="13"/>
        <v>100</v>
      </c>
      <c r="V42" s="774" t="s">
        <v>21</v>
      </c>
      <c r="W42" s="775">
        <f t="shared" si="14"/>
        <v>100</v>
      </c>
      <c r="X42" s="1815"/>
      <c r="Y42" s="3302"/>
      <c r="Z42" s="1816" t="str">
        <f t="shared" si="18"/>
        <v>内部装修</v>
      </c>
      <c r="AA42" s="1813">
        <f t="shared" si="15"/>
        <v>1</v>
      </c>
      <c r="AB42" s="1813">
        <f t="shared" si="16"/>
        <v>1</v>
      </c>
      <c r="AC42" s="1813">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300"/>
      <c r="Q43" s="1812" t="str">
        <f t="shared" si="11"/>
        <v>内部装修维护情况</v>
      </c>
      <c r="R43" s="774" t="s">
        <v>21</v>
      </c>
      <c r="S43" s="775">
        <f t="shared" si="12"/>
        <v>100</v>
      </c>
      <c r="T43" s="774" t="s">
        <v>21</v>
      </c>
      <c r="U43" s="775">
        <f t="shared" si="13"/>
        <v>100</v>
      </c>
      <c r="V43" s="774" t="s">
        <v>21</v>
      </c>
      <c r="W43" s="775">
        <f t="shared" si="14"/>
        <v>100</v>
      </c>
      <c r="X43" s="1815"/>
      <c r="Y43" s="330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300"/>
      <c r="Q44" s="1797">
        <f t="shared" si="11"/>
        <v>111</v>
      </c>
      <c r="R44" s="770" t="s">
        <v>21</v>
      </c>
      <c r="S44" s="771">
        <f t="shared" si="12"/>
        <v>100</v>
      </c>
      <c r="T44" s="770" t="s">
        <v>21</v>
      </c>
      <c r="U44" s="771">
        <f t="shared" si="13"/>
        <v>100</v>
      </c>
      <c r="V44" s="770" t="s">
        <v>21</v>
      </c>
      <c r="W44" s="771">
        <f t="shared" si="14"/>
        <v>100</v>
      </c>
      <c r="X44" s="772"/>
      <c r="Y44" s="330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300"/>
      <c r="Q45" s="1812">
        <f t="shared" si="11"/>
        <v>111</v>
      </c>
      <c r="R45" s="774" t="s">
        <v>21</v>
      </c>
      <c r="S45" s="775">
        <f t="shared" si="12"/>
        <v>100</v>
      </c>
      <c r="T45" s="774" t="s">
        <v>21</v>
      </c>
      <c r="U45" s="775">
        <f t="shared" si="13"/>
        <v>100</v>
      </c>
      <c r="V45" s="774" t="s">
        <v>21</v>
      </c>
      <c r="W45" s="775">
        <f t="shared" si="14"/>
        <v>100</v>
      </c>
      <c r="X45" s="1815"/>
      <c r="Y45" s="3302"/>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301"/>
      <c r="Q46" s="1812">
        <f t="shared" si="11"/>
        <v>111</v>
      </c>
      <c r="R46" s="774" t="s">
        <v>20</v>
      </c>
      <c r="S46" s="775">
        <f t="shared" si="12"/>
        <v>100</v>
      </c>
      <c r="T46" s="774" t="s">
        <v>20</v>
      </c>
      <c r="U46" s="775">
        <f t="shared" si="13"/>
        <v>100</v>
      </c>
      <c r="V46" s="774" t="s">
        <v>20</v>
      </c>
      <c r="W46" s="775">
        <f t="shared" si="14"/>
        <v>100</v>
      </c>
      <c r="X46" s="1815"/>
      <c r="Y46" s="3303"/>
      <c r="Z46" s="1816">
        <f t="shared" si="18"/>
        <v>111</v>
      </c>
      <c r="AA46" s="1813">
        <f t="shared" si="15"/>
        <v>1</v>
      </c>
      <c r="AB46" s="1813">
        <f t="shared" si="16"/>
        <v>1</v>
      </c>
      <c r="AC46" s="1813">
        <f t="shared" si="17"/>
        <v>1</v>
      </c>
    </row>
    <row r="47" spans="1:29" ht="15">
      <c r="A47" s="479" t="s">
        <v>2570</v>
      </c>
      <c r="B47" s="480"/>
      <c r="C47" s="1410" t="s">
        <v>19</v>
      </c>
      <c r="D47" s="1411"/>
      <c r="E47" s="1412"/>
      <c r="F47" s="1413"/>
      <c r="G47" s="1414"/>
      <c r="H47" s="1415"/>
      <c r="I47" s="1412"/>
      <c r="J47" s="1415"/>
      <c r="K47" s="2620"/>
      <c r="L47" s="1146"/>
      <c r="M47" s="1147"/>
      <c r="N47" s="1134"/>
      <c r="O47" s="1147"/>
      <c r="P47" s="3295" t="str">
        <f>A47</f>
        <v>成交单价（元/平方米）</v>
      </c>
      <c r="Q47" s="3295"/>
      <c r="R47" s="3296">
        <f>E47</f>
        <v>0</v>
      </c>
      <c r="S47" s="3296"/>
      <c r="T47" s="3296">
        <f>G47</f>
        <v>0</v>
      </c>
      <c r="U47" s="3296"/>
      <c r="V47" s="3296">
        <f>I47</f>
        <v>0</v>
      </c>
      <c r="W47" s="3296"/>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1"/>
      <c r="L48" s="1146"/>
      <c r="M48" s="1147"/>
      <c r="N48" s="1147"/>
      <c r="O48" s="1147"/>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2"/>
      <c r="L49" s="1146"/>
      <c r="M49" s="1147"/>
      <c r="N49" s="1147"/>
      <c r="O49" s="1147"/>
      <c r="P49" s="3292" t="str">
        <f>A49</f>
        <v>估价对象XX用房的比较价值（楼面单价，元/平方米）</v>
      </c>
      <c r="Q49" s="3293"/>
      <c r="R49" s="3294" t="e">
        <f>IF(F1="售价",ROUND(AVERAGE(R48:V48),0),ROUND(AVERAGE(R48:V48),1))</f>
        <v>#DIV/0!</v>
      </c>
      <c r="S49" s="3294"/>
      <c r="T49" s="3294"/>
      <c r="U49" s="3294"/>
      <c r="V49" s="3294"/>
      <c r="W49" s="32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5"/>
      <c r="Q57" s="504"/>
    </row>
    <row r="58" spans="1:29" s="508" customFormat="1" ht="15">
      <c r="A58" s="505" t="s">
        <v>2577</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2581</v>
      </c>
      <c r="B63" s="528" t="s">
        <v>2547</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2603</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2604</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2556</v>
      </c>
      <c r="B100" s="528" t="s">
        <v>2605</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2607</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2608</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2609</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2610</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2611</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2612</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2613</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7">
        <v>6</v>
      </c>
      <c r="C139" s="1088">
        <v>96</v>
      </c>
      <c r="D139" s="2647" t="s">
        <v>2624</v>
      </c>
      <c r="E139" s="1089">
        <v>100</v>
      </c>
      <c r="F139" s="1090">
        <v>102.5</v>
      </c>
      <c r="G139" s="2647" t="s">
        <v>2624</v>
      </c>
      <c r="H139" s="1091">
        <v>105</v>
      </c>
      <c r="I139" s="2648" t="s">
        <v>2625</v>
      </c>
      <c r="J139" s="1088">
        <v>20</v>
      </c>
      <c r="K139" s="1092">
        <f>C145/(J139-2)</f>
        <v>4.0555555555555553E-3</v>
      </c>
    </row>
    <row r="140" spans="1:17" ht="15">
      <c r="B140" s="1093">
        <v>5</v>
      </c>
      <c r="C140" s="1094">
        <v>100</v>
      </c>
      <c r="D140" s="1094"/>
      <c r="E140" s="1095"/>
      <c r="F140" s="1096">
        <v>102</v>
      </c>
      <c r="G140" s="1094"/>
      <c r="H140" s="1097"/>
      <c r="I140" s="2649" t="s">
        <v>2626</v>
      </c>
      <c r="J140" s="315">
        <f>ROUNDUP((J139-1)/2,0)</f>
        <v>10</v>
      </c>
      <c r="K140" s="1098">
        <v>100</v>
      </c>
    </row>
    <row r="141" spans="1:17" ht="15">
      <c r="B141" s="1093">
        <v>4</v>
      </c>
      <c r="C141" s="1094">
        <v>102</v>
      </c>
      <c r="D141" s="1094"/>
      <c r="E141" s="1095"/>
      <c r="F141" s="1096">
        <v>101.5</v>
      </c>
      <c r="G141" s="1094"/>
      <c r="H141" s="1097"/>
      <c r="I141" s="2649" t="s">
        <v>2627</v>
      </c>
      <c r="J141" s="315">
        <v>1</v>
      </c>
      <c r="K141" s="1099">
        <f>ROUND(100+(J141-J140)*K139*100,1)</f>
        <v>96.4</v>
      </c>
    </row>
    <row r="142" spans="1:17" ht="15">
      <c r="B142" s="1093">
        <v>3</v>
      </c>
      <c r="C142" s="1094">
        <v>103</v>
      </c>
      <c r="D142" s="1094"/>
      <c r="E142" s="1095"/>
      <c r="F142" s="1096">
        <v>101</v>
      </c>
      <c r="G142" s="1094"/>
      <c r="H142" s="1097"/>
      <c r="I142" s="2649" t="s">
        <v>2628</v>
      </c>
      <c r="J142" s="315">
        <f>J139</f>
        <v>20</v>
      </c>
      <c r="K142" s="1100">
        <v>95</v>
      </c>
    </row>
    <row r="143" spans="1:17" ht="15">
      <c r="B143" s="1093">
        <v>2</v>
      </c>
      <c r="C143" s="1094">
        <v>100</v>
      </c>
      <c r="D143" s="1094"/>
      <c r="E143" s="1095"/>
      <c r="F143" s="1096">
        <v>100.5</v>
      </c>
      <c r="G143" s="1094"/>
      <c r="H143" s="1097"/>
      <c r="I143" s="2649" t="s">
        <v>2629</v>
      </c>
      <c r="J143" s="1094">
        <v>15</v>
      </c>
      <c r="K143" s="1099">
        <f>ROUND(100+(J143-J140)*K139*100,1)</f>
        <v>102</v>
      </c>
    </row>
    <row r="144" spans="1:17" ht="15">
      <c r="B144" s="1093">
        <v>1</v>
      </c>
      <c r="C144" s="1094">
        <v>98</v>
      </c>
      <c r="D144" s="2650" t="s">
        <v>2630</v>
      </c>
      <c r="E144" s="1095">
        <v>102</v>
      </c>
      <c r="F144" s="1101">
        <v>100</v>
      </c>
      <c r="G144" s="2650" t="s">
        <v>2630</v>
      </c>
      <c r="H144" s="1097">
        <v>105</v>
      </c>
      <c r="I144" s="2649" t="s">
        <v>2629</v>
      </c>
      <c r="J144" s="1094">
        <v>18</v>
      </c>
      <c r="K144" s="1099">
        <f>ROUND(100+(J144-J140)*K139*100,1)</f>
        <v>103.2</v>
      </c>
    </row>
    <row r="145" spans="2:11" ht="15.75" thickBot="1">
      <c r="B145" s="2651" t="s">
        <v>2631</v>
      </c>
      <c r="C145" s="1102">
        <f>ROUND(MAX(C139:C144)/MIN(C139:C144)-1,3)</f>
        <v>7.2999999999999995E-2</v>
      </c>
      <c r="D145" s="1103"/>
      <c r="E145" s="1103"/>
      <c r="F145" s="2652" t="s">
        <v>2632</v>
      </c>
      <c r="G145" s="2653"/>
      <c r="H145" s="2654"/>
      <c r="I145" s="2655" t="s">
        <v>2629</v>
      </c>
      <c r="J145" s="1104">
        <v>8</v>
      </c>
      <c r="K145" s="1105">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中国华融资产管理股份有限公司北京市分公司：</v>
      </c>
    </row>
    <row r="4" spans="1:1" ht="36">
      <c r="A4" s="1950" t="str">
        <f>"受贵公司委托，我公司对"&amp;项目基本情况!S1&amp;"进行了预评估。"</f>
        <v>受贵公司委托，我公司对浙江省宁波市春晓镇183地块3、6、7号楼产权式公寓用房及地下车库用房房地产抵押价值进行了预评估。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春晓镇183地块3、6、7号楼产权式公寓用房及地下车库用房房地产，为宁波万年基业旅游投资有限公司所有。根据，估价对象（分摊）出让国有建设用地使用权面积为60760.83平方米，建筑面积为30792.58平方米。</v>
      </c>
    </row>
    <row r="8" spans="1:1" ht="57.75">
      <c r="A8" s="1953" t="s">
        <v>1614</v>
      </c>
    </row>
    <row r="9" spans="1:1" ht="18.75">
      <c r="A9" s="1952" t="s">
        <v>1615</v>
      </c>
    </row>
    <row r="10" spans="1:1" ht="72">
      <c r="A10" s="1950"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春晓镇183地块3、6、7号楼产权式公寓用房及地下车库用房房地产,属宁波万年基业旅游投资有限公司开发建设的商业项目，该项目尚在开发建设中。根据，估价对象（分摊）出让国有建设用地使用权面积为60760.83平方米，规划建筑面积为30792.58平方米。</v>
      </c>
    </row>
    <row r="11" spans="1:1" ht="76.5">
      <c r="A11" s="1953" t="s">
        <v>1616</v>
      </c>
    </row>
    <row r="12" spans="1:1" ht="18.75">
      <c r="A12" s="1951" t="s">
        <v>1617</v>
      </c>
    </row>
    <row r="13" spans="1:1" ht="38.25" customHeight="1">
      <c r="A13" s="1954" t="str">
        <f>IF(项目基本情况!B8="抵押",IF(项目基本情况!B5=项目基本情况!B6,定义!C51,定义!B51),定义!D51)</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2018年8月27日（评估专业人员实地查勘之日）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商业、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"本次评估采用的主估价方法为"&amp;'结果表（公寓）'!K4&amp;"和"&amp;'结果表（公寓）'!L4&amp;"。"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1" t="s">
        <v>2635</v>
      </c>
      <c r="C1" s="1636" t="s">
        <v>2523</v>
      </c>
      <c r="D1" s="1623"/>
      <c r="E1" s="2656"/>
      <c r="F1" s="2583"/>
      <c r="G1" s="1633" t="s">
        <v>2636</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2320</v>
      </c>
      <c r="B2" s="1421" t="e">
        <f ca="1">IF(C2="——",ROUND(C49*D3/10000,0),ROUND(C49*D3/10000,0)-D2)</f>
        <v>#DIV/0!</v>
      </c>
      <c r="C2" s="2585"/>
      <c r="D2" s="1368" t="e">
        <f ca="1">SUMIF(INDIRECT("'"&amp;F2&amp;"'"&amp;"!A:A"),"承租人权益价值",INDIRECT("'"&amp;F2&amp;"'"&amp;"!c:c"))</f>
        <v>#REF!</v>
      </c>
      <c r="E2" s="2586" t="s">
        <v>2321</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2322</v>
      </c>
      <c r="B3" s="609" t="e">
        <f ca="1">IF(C2="——",C49,ROUND(B2*10000/D3,0))</f>
        <v>#DIV/0!</v>
      </c>
      <c r="C3" s="400" t="s">
        <v>2637</v>
      </c>
      <c r="D3" s="399">
        <f>IF(D1="",'数据-汇总表'!E3,SUMIF('数据-汇总表'!$C19:$C33,D1,'数据-汇总表'!$E19:$E33))</f>
        <v>30792.58</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2638</v>
      </c>
      <c r="B4" s="402"/>
      <c r="C4" s="3310" t="s">
        <v>2639</v>
      </c>
      <c r="D4" s="3311"/>
      <c r="E4" s="3312" t="s">
        <v>2640</v>
      </c>
      <c r="F4" s="3313"/>
      <c r="G4" s="3310" t="s">
        <v>2641</v>
      </c>
      <c r="H4" s="3311"/>
      <c r="I4" s="3310" t="s">
        <v>2642</v>
      </c>
      <c r="J4" s="3311"/>
      <c r="K4" s="610" t="s">
        <v>2643</v>
      </c>
      <c r="L4" s="1133"/>
      <c r="M4" s="1134"/>
      <c r="N4" s="1134"/>
      <c r="O4" s="1134"/>
      <c r="P4" s="3314" t="s">
        <v>2644</v>
      </c>
      <c r="Q4" s="3315"/>
      <c r="R4" s="3320" t="s">
        <v>2640</v>
      </c>
      <c r="S4" s="3321"/>
      <c r="T4" s="3320" t="s">
        <v>2641</v>
      </c>
      <c r="U4" s="3321"/>
      <c r="V4" s="3326" t="s">
        <v>2642</v>
      </c>
      <c r="W4" s="3326"/>
      <c r="X4" s="1815"/>
      <c r="Y4" s="3320" t="s">
        <v>2644</v>
      </c>
      <c r="Z4" s="3321"/>
      <c r="AA4" s="3307" t="s">
        <v>2640</v>
      </c>
      <c r="AB4" s="3326" t="s">
        <v>2641</v>
      </c>
      <c r="AC4" s="3307" t="s">
        <v>2642</v>
      </c>
    </row>
    <row r="5" spans="1:29" ht="15">
      <c r="A5" s="404"/>
      <c r="B5" s="405"/>
      <c r="C5" s="3329" t="s">
        <v>2535</v>
      </c>
      <c r="D5" s="3330"/>
      <c r="E5" s="3336" t="s">
        <v>2536</v>
      </c>
      <c r="F5" s="3337"/>
      <c r="G5" s="3329" t="s">
        <v>2537</v>
      </c>
      <c r="H5" s="3330"/>
      <c r="I5" s="3329" t="s">
        <v>2538</v>
      </c>
      <c r="J5" s="3330"/>
      <c r="K5" s="610"/>
      <c r="L5" s="1133"/>
      <c r="M5" s="1134"/>
      <c r="N5" s="1134"/>
      <c r="O5" s="1134"/>
      <c r="P5" s="3316"/>
      <c r="Q5" s="3317"/>
      <c r="R5" s="3322"/>
      <c r="S5" s="3323"/>
      <c r="T5" s="3322"/>
      <c r="U5" s="3323"/>
      <c r="V5" s="3326"/>
      <c r="W5" s="3326"/>
      <c r="X5" s="1815"/>
      <c r="Y5" s="3322"/>
      <c r="Z5" s="3323"/>
      <c r="AA5" s="3308"/>
      <c r="AB5" s="3326"/>
      <c r="AC5" s="3308"/>
    </row>
    <row r="6" spans="1:29" ht="15.75" thickBot="1">
      <c r="A6" s="406"/>
      <c r="B6" s="407"/>
      <c r="C6" s="3327" t="s">
        <v>2539</v>
      </c>
      <c r="D6" s="3328"/>
      <c r="E6" s="3334" t="s">
        <v>2539</v>
      </c>
      <c r="F6" s="3335"/>
      <c r="G6" s="3327" t="s">
        <v>2539</v>
      </c>
      <c r="H6" s="3328"/>
      <c r="I6" s="3327" t="s">
        <v>2539</v>
      </c>
      <c r="J6" s="3328"/>
      <c r="K6" s="610" t="s">
        <v>2540</v>
      </c>
      <c r="L6" s="1133"/>
      <c r="M6" s="1134"/>
      <c r="N6" s="1134"/>
      <c r="O6" s="1134"/>
      <c r="P6" s="3318"/>
      <c r="Q6" s="3319"/>
      <c r="R6" s="3322"/>
      <c r="S6" s="3323"/>
      <c r="T6" s="3324"/>
      <c r="U6" s="3325"/>
      <c r="V6" s="3326"/>
      <c r="W6" s="3326"/>
      <c r="X6" s="1815"/>
      <c r="Y6" s="3324"/>
      <c r="Z6" s="3325"/>
      <c r="AA6" s="3309"/>
      <c r="AB6" s="3326"/>
      <c r="AC6" s="3309"/>
    </row>
    <row r="7" spans="1:29" s="117" customFormat="1" ht="15.75" thickBot="1">
      <c r="A7" s="408" t="s">
        <v>2541</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31" t="s">
        <v>2542</v>
      </c>
      <c r="Q7" s="3333"/>
      <c r="R7" s="770" t="s">
        <v>17</v>
      </c>
      <c r="S7" s="771">
        <f t="shared" ref="S7:S15" si="0">F7</f>
        <v>0</v>
      </c>
      <c r="T7" s="770" t="s">
        <v>17</v>
      </c>
      <c r="U7" s="771">
        <f t="shared" ref="U7:U15" si="1">H7</f>
        <v>0</v>
      </c>
      <c r="V7" s="770" t="s">
        <v>17</v>
      </c>
      <c r="W7" s="771">
        <f t="shared" ref="W7:W15" si="2">J7</f>
        <v>0</v>
      </c>
      <c r="X7" s="772"/>
      <c r="Y7" s="3331" t="s">
        <v>2542</v>
      </c>
      <c r="Z7" s="3332"/>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31" t="s">
        <v>2545</v>
      </c>
      <c r="Q8" s="3332"/>
      <c r="R8" s="770" t="s">
        <v>17</v>
      </c>
      <c r="S8" s="771">
        <f t="shared" si="0"/>
        <v>0</v>
      </c>
      <c r="T8" s="770" t="s">
        <v>17</v>
      </c>
      <c r="U8" s="771">
        <f t="shared" si="1"/>
        <v>0</v>
      </c>
      <c r="V8" s="770" t="s">
        <v>17</v>
      </c>
      <c r="W8" s="771">
        <f t="shared" si="2"/>
        <v>0</v>
      </c>
      <c r="X8" s="772"/>
      <c r="Y8" s="3331" t="s">
        <v>2545</v>
      </c>
      <c r="Z8" s="3332"/>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06" t="s">
        <v>2548</v>
      </c>
      <c r="Q9" s="1797" t="str">
        <f t="shared" ref="Q9:Q15" si="6">B9</f>
        <v>用途</v>
      </c>
      <c r="R9" s="770" t="s">
        <v>17</v>
      </c>
      <c r="S9" s="771">
        <f t="shared" si="0"/>
        <v>100</v>
      </c>
      <c r="T9" s="770" t="s">
        <v>17</v>
      </c>
      <c r="U9" s="771">
        <f t="shared" si="1"/>
        <v>100</v>
      </c>
      <c r="V9" s="770" t="s">
        <v>17</v>
      </c>
      <c r="W9" s="771">
        <f t="shared" si="2"/>
        <v>100</v>
      </c>
      <c r="X9" s="772"/>
      <c r="Y9" s="310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06"/>
      <c r="Q10" s="1797"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06"/>
      <c r="Q11" s="1797"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06"/>
      <c r="Q12" s="1797">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06"/>
      <c r="Q13" s="1797">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06"/>
      <c r="Q14" s="1797">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15">
      <c r="A15" s="440" t="s">
        <v>2552</v>
      </c>
      <c r="B15" s="69" t="s">
        <v>2646</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4" t="s">
        <v>2553</v>
      </c>
      <c r="Q15" s="1812" t="str">
        <f t="shared" si="6"/>
        <v>商业繁华度</v>
      </c>
      <c r="R15" s="774" t="s">
        <v>17</v>
      </c>
      <c r="S15" s="775">
        <f t="shared" si="0"/>
        <v>100</v>
      </c>
      <c r="T15" s="774" t="s">
        <v>17</v>
      </c>
      <c r="U15" s="775">
        <f t="shared" si="1"/>
        <v>100</v>
      </c>
      <c r="V15" s="774" t="s">
        <v>17</v>
      </c>
      <c r="W15" s="775">
        <f t="shared" si="2"/>
        <v>100</v>
      </c>
      <c r="X15" s="1815"/>
      <c r="Y15" s="3297"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305"/>
      <c r="Q16" s="1812"/>
      <c r="R16" s="774"/>
      <c r="S16" s="775"/>
      <c r="T16" s="774"/>
      <c r="U16" s="775"/>
      <c r="V16" s="774"/>
      <c r="W16" s="775"/>
      <c r="X16" s="1815"/>
      <c r="Y16" s="3298"/>
      <c r="Z16" s="1816"/>
      <c r="AA16" s="1813">
        <v>1</v>
      </c>
      <c r="AB16" s="1813">
        <v>1</v>
      </c>
      <c r="AC16" s="1813">
        <v>1</v>
      </c>
    </row>
    <row r="17" spans="1:29" ht="15">
      <c r="A17" s="428"/>
      <c r="B17" s="451" t="s">
        <v>2092</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5"/>
      <c r="Q17" s="1812" t="str">
        <f>B17</f>
        <v>交通便捷度</v>
      </c>
      <c r="R17" s="774" t="s">
        <v>17</v>
      </c>
      <c r="S17" s="775">
        <f>F17</f>
        <v>100</v>
      </c>
      <c r="T17" s="774" t="s">
        <v>17</v>
      </c>
      <c r="U17" s="775">
        <f>H17</f>
        <v>100</v>
      </c>
      <c r="V17" s="774" t="s">
        <v>17</v>
      </c>
      <c r="W17" s="775">
        <f>J17</f>
        <v>100</v>
      </c>
      <c r="X17" s="1815"/>
      <c r="Y17" s="3298"/>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305"/>
      <c r="Q18" s="1812"/>
      <c r="R18" s="774"/>
      <c r="S18" s="775"/>
      <c r="T18" s="774"/>
      <c r="U18" s="775"/>
      <c r="V18" s="774"/>
      <c r="W18" s="775"/>
      <c r="X18" s="1815"/>
      <c r="Y18" s="3298"/>
      <c r="Z18" s="1816"/>
      <c r="AA18" s="1813">
        <v>1</v>
      </c>
      <c r="AB18" s="1813">
        <v>1</v>
      </c>
      <c r="AC18" s="1813">
        <v>1</v>
      </c>
    </row>
    <row r="19" spans="1:29" ht="15">
      <c r="A19" s="428"/>
      <c r="B19" s="451" t="s">
        <v>2647</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5"/>
      <c r="Q19" s="1812" t="str">
        <f>B19</f>
        <v>公共配套设施</v>
      </c>
      <c r="R19" s="774" t="s">
        <v>17</v>
      </c>
      <c r="S19" s="775">
        <f>F19</f>
        <v>100</v>
      </c>
      <c r="T19" s="774" t="s">
        <v>17</v>
      </c>
      <c r="U19" s="775">
        <f>H19</f>
        <v>100</v>
      </c>
      <c r="V19" s="774" t="s">
        <v>17</v>
      </c>
      <c r="W19" s="775">
        <f>J19</f>
        <v>100</v>
      </c>
      <c r="X19" s="1815"/>
      <c r="Y19" s="3298"/>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305"/>
      <c r="Q20" s="1812"/>
      <c r="R20" s="774"/>
      <c r="S20" s="775"/>
      <c r="T20" s="774"/>
      <c r="U20" s="775"/>
      <c r="V20" s="774"/>
      <c r="W20" s="775"/>
      <c r="X20" s="1815"/>
      <c r="Y20" s="3298"/>
      <c r="Z20" s="1816"/>
      <c r="AA20" s="1813">
        <v>1</v>
      </c>
      <c r="AB20" s="1813">
        <v>1</v>
      </c>
      <c r="AC20" s="1813">
        <v>1</v>
      </c>
    </row>
    <row r="21" spans="1:29" ht="15">
      <c r="A21" s="428"/>
      <c r="B21" s="1387" t="s">
        <v>2648</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5"/>
      <c r="Q21" s="1812" t="str">
        <f>B21</f>
        <v>基础设施水平</v>
      </c>
      <c r="R21" s="774" t="s">
        <v>17</v>
      </c>
      <c r="S21" s="775">
        <f>F21</f>
        <v>100</v>
      </c>
      <c r="T21" s="774" t="s">
        <v>17</v>
      </c>
      <c r="U21" s="775">
        <f>H21</f>
        <v>100</v>
      </c>
      <c r="V21" s="774" t="s">
        <v>17</v>
      </c>
      <c r="W21" s="775">
        <f>J21</f>
        <v>100</v>
      </c>
      <c r="X21" s="1815"/>
      <c r="Y21" s="3298"/>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305"/>
      <c r="Q22" s="1812"/>
      <c r="R22" s="774"/>
      <c r="S22" s="775"/>
      <c r="T22" s="774"/>
      <c r="U22" s="775"/>
      <c r="V22" s="774"/>
      <c r="W22" s="775"/>
      <c r="X22" s="1815"/>
      <c r="Y22" s="3298"/>
      <c r="Z22" s="1816"/>
      <c r="AA22" s="1813">
        <v>1</v>
      </c>
      <c r="AB22" s="1813">
        <v>1</v>
      </c>
      <c r="AC22" s="1813">
        <v>1</v>
      </c>
    </row>
    <row r="23" spans="1:29" ht="15">
      <c r="A23" s="428"/>
      <c r="B23" s="451" t="s">
        <v>2095</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5"/>
      <c r="Q23" s="1812" t="str">
        <f>B23</f>
        <v>自然及人文环境</v>
      </c>
      <c r="R23" s="774" t="s">
        <v>17</v>
      </c>
      <c r="S23" s="775">
        <f>F23</f>
        <v>100</v>
      </c>
      <c r="T23" s="774" t="s">
        <v>17</v>
      </c>
      <c r="U23" s="775">
        <f>H23</f>
        <v>100</v>
      </c>
      <c r="V23" s="774" t="s">
        <v>17</v>
      </c>
      <c r="W23" s="775">
        <f>J23</f>
        <v>100</v>
      </c>
      <c r="X23" s="1815"/>
      <c r="Y23" s="3298"/>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305"/>
      <c r="Q24" s="1812"/>
      <c r="R24" s="774"/>
      <c r="S24" s="775"/>
      <c r="T24" s="774"/>
      <c r="U24" s="775"/>
      <c r="V24" s="774"/>
      <c r="W24" s="775"/>
      <c r="X24" s="1815"/>
      <c r="Y24" s="3298"/>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5"/>
      <c r="Q25" s="1812" t="str">
        <f t="shared" ref="Q25:Q46" si="11">B25</f>
        <v>临街状况</v>
      </c>
      <c r="R25" s="774" t="s">
        <v>17</v>
      </c>
      <c r="S25" s="775">
        <f>F25</f>
        <v>100</v>
      </c>
      <c r="T25" s="774" t="s">
        <v>17</v>
      </c>
      <c r="U25" s="775">
        <f>H25</f>
        <v>100</v>
      </c>
      <c r="V25" s="774" t="s">
        <v>17</v>
      </c>
      <c r="W25" s="775">
        <f>J25</f>
        <v>100</v>
      </c>
      <c r="X25" s="1815"/>
      <c r="Y25" s="3298"/>
      <c r="Z25" s="1816" t="str">
        <f>Q25</f>
        <v>临街状况</v>
      </c>
      <c r="AA25" s="1813">
        <f t="shared" si="3"/>
        <v>1</v>
      </c>
      <c r="AB25" s="1813">
        <f t="shared" si="4"/>
        <v>1</v>
      </c>
      <c r="AC25" s="1813">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5"/>
      <c r="Q26" s="1812" t="str">
        <f t="shared" si="11"/>
        <v>平面位置/可视性</v>
      </c>
      <c r="R26" s="774" t="s">
        <v>17</v>
      </c>
      <c r="S26" s="775">
        <f>F26</f>
        <v>100</v>
      </c>
      <c r="T26" s="774" t="s">
        <v>17</v>
      </c>
      <c r="U26" s="775">
        <f>H26</f>
        <v>100</v>
      </c>
      <c r="V26" s="774" t="s">
        <v>17</v>
      </c>
      <c r="W26" s="775">
        <f>J26</f>
        <v>100</v>
      </c>
      <c r="X26" s="1815"/>
      <c r="Y26" s="3298"/>
      <c r="Z26" s="1816" t="str">
        <f>Q26</f>
        <v>平面位置/可视性</v>
      </c>
      <c r="AA26" s="1813">
        <f t="shared" si="3"/>
        <v>1</v>
      </c>
      <c r="AB26" s="1813">
        <f t="shared" si="4"/>
        <v>1</v>
      </c>
      <c r="AC26" s="1813">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305"/>
      <c r="Q27" s="1797" t="str">
        <f t="shared" si="11"/>
        <v>人流量</v>
      </c>
      <c r="R27" s="770" t="s">
        <v>17</v>
      </c>
      <c r="S27" s="771">
        <f>F27</f>
        <v>100</v>
      </c>
      <c r="T27" s="770" t="s">
        <v>17</v>
      </c>
      <c r="U27" s="771">
        <f>H27</f>
        <v>100</v>
      </c>
      <c r="V27" s="770" t="s">
        <v>17</v>
      </c>
      <c r="W27" s="771">
        <f>J27</f>
        <v>100</v>
      </c>
      <c r="X27" s="772"/>
      <c r="Y27" s="3298"/>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9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5"/>
      <c r="Q29" s="1812">
        <f t="shared" si="11"/>
        <v>111</v>
      </c>
      <c r="R29" s="774" t="s">
        <v>17</v>
      </c>
      <c r="S29" s="775">
        <f t="shared" si="12"/>
        <v>100</v>
      </c>
      <c r="T29" s="774" t="s">
        <v>17</v>
      </c>
      <c r="U29" s="775">
        <f t="shared" si="13"/>
        <v>100</v>
      </c>
      <c r="V29" s="774" t="s">
        <v>17</v>
      </c>
      <c r="W29" s="775">
        <f t="shared" si="14"/>
        <v>100</v>
      </c>
      <c r="X29" s="1815"/>
      <c r="Y29" s="329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5"/>
      <c r="Q30" s="1812">
        <f t="shared" si="11"/>
        <v>111</v>
      </c>
      <c r="R30" s="774" t="s">
        <v>17</v>
      </c>
      <c r="S30" s="775">
        <f t="shared" si="12"/>
        <v>100</v>
      </c>
      <c r="T30" s="774" t="s">
        <v>17</v>
      </c>
      <c r="U30" s="775">
        <f t="shared" si="13"/>
        <v>100</v>
      </c>
      <c r="V30" s="774" t="s">
        <v>17</v>
      </c>
      <c r="W30" s="775">
        <f t="shared" si="14"/>
        <v>100</v>
      </c>
      <c r="X30" s="1815"/>
      <c r="Y30" s="329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5"/>
      <c r="Q31" s="1812">
        <f t="shared" si="11"/>
        <v>111</v>
      </c>
      <c r="R31" s="774" t="s">
        <v>17</v>
      </c>
      <c r="S31" s="775">
        <f t="shared" si="12"/>
        <v>100</v>
      </c>
      <c r="T31" s="774" t="s">
        <v>17</v>
      </c>
      <c r="U31" s="775">
        <f t="shared" si="13"/>
        <v>100</v>
      </c>
      <c r="V31" s="774" t="s">
        <v>17</v>
      </c>
      <c r="W31" s="775">
        <f t="shared" si="14"/>
        <v>100</v>
      </c>
      <c r="X31" s="1815"/>
      <c r="Y31" s="3298"/>
      <c r="Z31" s="1816">
        <f t="shared" si="15"/>
        <v>111</v>
      </c>
      <c r="AA31" s="1813">
        <f t="shared" si="3"/>
        <v>1</v>
      </c>
      <c r="AB31" s="1813">
        <f t="shared" si="4"/>
        <v>1</v>
      </c>
      <c r="AC31" s="1813">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99" t="s">
        <v>2558</v>
      </c>
      <c r="Q32" s="1812" t="str">
        <f t="shared" si="11"/>
        <v>商业类型</v>
      </c>
      <c r="R32" s="774" t="s">
        <v>17</v>
      </c>
      <c r="S32" s="775">
        <f t="shared" si="12"/>
        <v>100</v>
      </c>
      <c r="T32" s="774" t="s">
        <v>17</v>
      </c>
      <c r="U32" s="775">
        <f t="shared" si="13"/>
        <v>100</v>
      </c>
      <c r="V32" s="774" t="s">
        <v>17</v>
      </c>
      <c r="W32" s="775">
        <f t="shared" si="14"/>
        <v>100</v>
      </c>
      <c r="X32" s="1815"/>
      <c r="Y32" s="3302"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0"/>
      <c r="Q33" s="776" t="str">
        <f t="shared" si="11"/>
        <v>项目建筑规模</v>
      </c>
      <c r="R33" s="777" t="s">
        <v>17</v>
      </c>
      <c r="S33" s="778" t="e">
        <f t="shared" si="12"/>
        <v>#N/A</v>
      </c>
      <c r="T33" s="777" t="s">
        <v>17</v>
      </c>
      <c r="U33" s="778" t="e">
        <f t="shared" si="13"/>
        <v>#N/A</v>
      </c>
      <c r="V33" s="777" t="s">
        <v>17</v>
      </c>
      <c r="W33" s="778" t="e">
        <f t="shared" si="14"/>
        <v>#N/A</v>
      </c>
      <c r="X33" s="779"/>
      <c r="Y33" s="3302"/>
      <c r="Z33" s="780" t="str">
        <f t="shared" si="15"/>
        <v>项目建筑规模</v>
      </c>
      <c r="AA33" s="1813" t="e">
        <f t="shared" si="3"/>
        <v>#N/A</v>
      </c>
      <c r="AB33" s="1813" t="e">
        <f t="shared" si="4"/>
        <v>#N/A</v>
      </c>
      <c r="AC33" s="1813"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300"/>
      <c r="Q34" s="1812" t="str">
        <f t="shared" si="11"/>
        <v>建筑结构</v>
      </c>
      <c r="R34" s="774" t="s">
        <v>17</v>
      </c>
      <c r="S34" s="775">
        <f t="shared" si="12"/>
        <v>100</v>
      </c>
      <c r="T34" s="774" t="s">
        <v>17</v>
      </c>
      <c r="U34" s="775">
        <f t="shared" si="13"/>
        <v>100</v>
      </c>
      <c r="V34" s="774" t="s">
        <v>17</v>
      </c>
      <c r="W34" s="775">
        <f t="shared" si="14"/>
        <v>100</v>
      </c>
      <c r="X34" s="1815"/>
      <c r="Y34" s="3302"/>
      <c r="Z34" s="1816" t="str">
        <f t="shared" si="15"/>
        <v>建筑结构</v>
      </c>
      <c r="AA34" s="1813">
        <f t="shared" si="3"/>
        <v>1</v>
      </c>
      <c r="AB34" s="1813">
        <f t="shared" si="4"/>
        <v>1</v>
      </c>
      <c r="AC34" s="1813">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300"/>
      <c r="Q35" s="1812" t="str">
        <f t="shared" si="11"/>
        <v>公共部分装修</v>
      </c>
      <c r="R35" s="774" t="s">
        <v>17</v>
      </c>
      <c r="S35" s="775">
        <f t="shared" si="12"/>
        <v>100</v>
      </c>
      <c r="T35" s="774" t="s">
        <v>17</v>
      </c>
      <c r="U35" s="775">
        <f t="shared" si="13"/>
        <v>100</v>
      </c>
      <c r="V35" s="774" t="s">
        <v>17</v>
      </c>
      <c r="W35" s="775">
        <f t="shared" si="14"/>
        <v>100</v>
      </c>
      <c r="X35" s="1815"/>
      <c r="Y35" s="3302"/>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0"/>
      <c r="Q36" s="1812" t="str">
        <f t="shared" si="11"/>
        <v>成新度</v>
      </c>
      <c r="R36" s="774" t="s">
        <v>17</v>
      </c>
      <c r="S36" s="775" t="e">
        <f t="shared" si="12"/>
        <v>#N/A</v>
      </c>
      <c r="T36" s="774" t="s">
        <v>17</v>
      </c>
      <c r="U36" s="775" t="e">
        <f t="shared" si="13"/>
        <v>#N/A</v>
      </c>
      <c r="V36" s="774" t="s">
        <v>17</v>
      </c>
      <c r="W36" s="775" t="e">
        <f t="shared" si="14"/>
        <v>#N/A</v>
      </c>
      <c r="X36" s="1815"/>
      <c r="Y36" s="3302"/>
      <c r="Z36" s="1816" t="str">
        <f t="shared" si="15"/>
        <v>成新度</v>
      </c>
      <c r="AA36" s="1813" t="e">
        <f t="shared" si="3"/>
        <v>#N/A</v>
      </c>
      <c r="AB36" s="1813" t="e">
        <f t="shared" si="4"/>
        <v>#N/A</v>
      </c>
      <c r="AC36" s="1813"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300"/>
      <c r="Q37" s="1797" t="str">
        <f t="shared" si="11"/>
        <v>市政基础设施</v>
      </c>
      <c r="R37" s="770" t="s">
        <v>17</v>
      </c>
      <c r="S37" s="771">
        <f t="shared" si="12"/>
        <v>100</v>
      </c>
      <c r="T37" s="770" t="s">
        <v>17</v>
      </c>
      <c r="U37" s="771">
        <f t="shared" si="13"/>
        <v>100</v>
      </c>
      <c r="V37" s="770" t="s">
        <v>17</v>
      </c>
      <c r="W37" s="771">
        <f t="shared" si="14"/>
        <v>100</v>
      </c>
      <c r="X37" s="772"/>
      <c r="Y37" s="3302"/>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300" t="s">
        <v>2558</v>
      </c>
      <c r="Q38" s="1812" t="str">
        <f t="shared" si="11"/>
        <v>业态</v>
      </c>
      <c r="R38" s="774" t="s">
        <v>17</v>
      </c>
      <c r="S38" s="775">
        <f t="shared" si="12"/>
        <v>100</v>
      </c>
      <c r="T38" s="774" t="s">
        <v>17</v>
      </c>
      <c r="U38" s="775">
        <f t="shared" si="13"/>
        <v>100</v>
      </c>
      <c r="V38" s="774" t="s">
        <v>17</v>
      </c>
      <c r="W38" s="775">
        <f t="shared" si="14"/>
        <v>100</v>
      </c>
      <c r="X38" s="1815"/>
      <c r="Y38" s="3302" t="s">
        <v>2558</v>
      </c>
      <c r="Z38" s="1816" t="str">
        <f t="shared" si="15"/>
        <v>业态</v>
      </c>
      <c r="AA38" s="1813">
        <f t="shared" si="3"/>
        <v>1</v>
      </c>
      <c r="AB38" s="1813">
        <f t="shared" si="4"/>
        <v>1</v>
      </c>
      <c r="AC38" s="1813">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300"/>
      <c r="Q39" s="1812" t="str">
        <f t="shared" si="11"/>
        <v>层高</v>
      </c>
      <c r="R39" s="774" t="s">
        <v>17</v>
      </c>
      <c r="S39" s="775">
        <f t="shared" si="12"/>
        <v>100</v>
      </c>
      <c r="T39" s="774" t="s">
        <v>17</v>
      </c>
      <c r="U39" s="775">
        <f t="shared" si="13"/>
        <v>100</v>
      </c>
      <c r="V39" s="774" t="s">
        <v>17</v>
      </c>
      <c r="W39" s="775">
        <f t="shared" si="14"/>
        <v>100</v>
      </c>
      <c r="X39" s="1815"/>
      <c r="Y39" s="3302"/>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0"/>
      <c r="Q40" s="1812" t="str">
        <f t="shared" si="11"/>
        <v>单套建筑面积</v>
      </c>
      <c r="R40" s="774" t="s">
        <v>17</v>
      </c>
      <c r="S40" s="775">
        <f t="shared" si="12"/>
        <v>100</v>
      </c>
      <c r="T40" s="774" t="s">
        <v>17</v>
      </c>
      <c r="U40" s="775">
        <f t="shared" si="13"/>
        <v>100</v>
      </c>
      <c r="V40" s="774" t="s">
        <v>17</v>
      </c>
      <c r="W40" s="775">
        <f t="shared" si="14"/>
        <v>100</v>
      </c>
      <c r="X40" s="1815"/>
      <c r="Y40" s="3302"/>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0"/>
      <c r="Q41" s="776" t="str">
        <f t="shared" si="11"/>
        <v>进深比</v>
      </c>
      <c r="R41" s="777" t="s">
        <v>17</v>
      </c>
      <c r="S41" s="778">
        <f t="shared" si="12"/>
        <v>100</v>
      </c>
      <c r="T41" s="777" t="s">
        <v>17</v>
      </c>
      <c r="U41" s="778">
        <f t="shared" si="13"/>
        <v>100</v>
      </c>
      <c r="V41" s="777" t="s">
        <v>17</v>
      </c>
      <c r="W41" s="778">
        <f t="shared" si="14"/>
        <v>100</v>
      </c>
      <c r="X41" s="779"/>
      <c r="Y41" s="3302"/>
      <c r="Z41" s="780" t="str">
        <f t="shared" si="15"/>
        <v>进深比</v>
      </c>
      <c r="AA41" s="1813">
        <f t="shared" si="3"/>
        <v>1</v>
      </c>
      <c r="AB41" s="1813">
        <f t="shared" si="4"/>
        <v>1</v>
      </c>
      <c r="AC41" s="1813">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300"/>
      <c r="Q42" s="1812" t="str">
        <f t="shared" si="11"/>
        <v>内部装修</v>
      </c>
      <c r="R42" s="774" t="s">
        <v>17</v>
      </c>
      <c r="S42" s="775">
        <f t="shared" si="12"/>
        <v>100</v>
      </c>
      <c r="T42" s="774" t="s">
        <v>17</v>
      </c>
      <c r="U42" s="775">
        <f t="shared" si="13"/>
        <v>100</v>
      </c>
      <c r="V42" s="774" t="s">
        <v>17</v>
      </c>
      <c r="W42" s="775">
        <f t="shared" si="14"/>
        <v>100</v>
      </c>
      <c r="X42" s="1815"/>
      <c r="Y42" s="3302"/>
      <c r="Z42" s="1816" t="str">
        <f t="shared" si="15"/>
        <v>内部装修</v>
      </c>
      <c r="AA42" s="1813">
        <f t="shared" si="3"/>
        <v>1</v>
      </c>
      <c r="AB42" s="1813">
        <f t="shared" si="4"/>
        <v>1</v>
      </c>
      <c r="AC42" s="1813">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300"/>
      <c r="Q43" s="1812" t="str">
        <f t="shared" si="11"/>
        <v>内部装修维护情况</v>
      </c>
      <c r="R43" s="774" t="s">
        <v>17</v>
      </c>
      <c r="S43" s="775">
        <f t="shared" si="12"/>
        <v>100</v>
      </c>
      <c r="T43" s="774" t="s">
        <v>17</v>
      </c>
      <c r="U43" s="775">
        <f t="shared" si="13"/>
        <v>100</v>
      </c>
      <c r="V43" s="774" t="s">
        <v>17</v>
      </c>
      <c r="W43" s="775">
        <f t="shared" si="14"/>
        <v>100</v>
      </c>
      <c r="X43" s="1815"/>
      <c r="Y43" s="330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0"/>
      <c r="Q44" s="1797">
        <f t="shared" si="11"/>
        <v>111</v>
      </c>
      <c r="R44" s="770" t="s">
        <v>17</v>
      </c>
      <c r="S44" s="771">
        <f t="shared" si="12"/>
        <v>100</v>
      </c>
      <c r="T44" s="770" t="s">
        <v>17</v>
      </c>
      <c r="U44" s="771">
        <f t="shared" si="13"/>
        <v>100</v>
      </c>
      <c r="V44" s="770" t="s">
        <v>17</v>
      </c>
      <c r="W44" s="771">
        <f t="shared" si="14"/>
        <v>100</v>
      </c>
      <c r="X44" s="772"/>
      <c r="Y44" s="330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0"/>
      <c r="Q45" s="1812">
        <f t="shared" si="11"/>
        <v>111</v>
      </c>
      <c r="R45" s="774" t="s">
        <v>17</v>
      </c>
      <c r="S45" s="775">
        <f t="shared" si="12"/>
        <v>100</v>
      </c>
      <c r="T45" s="774" t="s">
        <v>17</v>
      </c>
      <c r="U45" s="775">
        <f t="shared" si="13"/>
        <v>100</v>
      </c>
      <c r="V45" s="774" t="s">
        <v>17</v>
      </c>
      <c r="W45" s="775">
        <f t="shared" si="14"/>
        <v>100</v>
      </c>
      <c r="X45" s="1815"/>
      <c r="Y45" s="3302"/>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1"/>
      <c r="Q46" s="1812">
        <f t="shared" si="11"/>
        <v>111</v>
      </c>
      <c r="R46" s="774" t="s">
        <v>17</v>
      </c>
      <c r="S46" s="775">
        <f t="shared" si="12"/>
        <v>100</v>
      </c>
      <c r="T46" s="774" t="s">
        <v>17</v>
      </c>
      <c r="U46" s="775">
        <f t="shared" si="13"/>
        <v>100</v>
      </c>
      <c r="V46" s="774" t="s">
        <v>17</v>
      </c>
      <c r="W46" s="775">
        <f t="shared" si="14"/>
        <v>100</v>
      </c>
      <c r="X46" s="1815"/>
      <c r="Y46" s="3303"/>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295" t="str">
        <f>A47</f>
        <v>成交单价（元/平方米）</v>
      </c>
      <c r="Q47" s="3295"/>
      <c r="R47" s="3326">
        <f>E47</f>
        <v>0</v>
      </c>
      <c r="S47" s="3326"/>
      <c r="T47" s="3326">
        <f>G47</f>
        <v>0</v>
      </c>
      <c r="U47" s="3326"/>
      <c r="V47" s="3326">
        <f>I47</f>
        <v>0</v>
      </c>
      <c r="W47" s="3326"/>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92" t="str">
        <f>A49</f>
        <v>估价对象XX用房的比较价值（楼面单价，元/平方米）</v>
      </c>
      <c r="Q49" s="3293"/>
      <c r="R49" s="3294" t="e">
        <f>IF(F1="售价",ROUND(AVERAGE(R48:V48),0),ROUND(AVERAGE(R48:V48),1))</f>
        <v>#DIV/0!</v>
      </c>
      <c r="S49" s="3294"/>
      <c r="T49" s="3294"/>
      <c r="U49" s="3294"/>
      <c r="V49" s="3294"/>
      <c r="W49" s="32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2541</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2581</v>
      </c>
      <c r="B63" s="528" t="s">
        <v>2547</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2673</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2556</v>
      </c>
      <c r="B100" s="528" t="s">
        <v>2674</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2607</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2609</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2675</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2676</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2677</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2613</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8" t="s">
        <v>2679</v>
      </c>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IF(C2="——",ROUND(C50*D3/10000,0),ROUND(C50*D3/10000,0)-D2)</f>
        <v>#DIV/0!</v>
      </c>
      <c r="C2" s="2585"/>
      <c r="D2" s="1368" t="e">
        <f ca="1">SUMIF(INDIRECT("'"&amp;F2&amp;"'"&amp;"!A:A"),"承租人权益价值",INDIRECT("'"&amp;F2&amp;"'"&amp;"!c:c"))</f>
        <v>#REF!</v>
      </c>
      <c r="E2" s="2586" t="s">
        <v>2321</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30792.58</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310" t="s">
        <v>2639</v>
      </c>
      <c r="D4" s="3311"/>
      <c r="E4" s="3312" t="s">
        <v>2640</v>
      </c>
      <c r="F4" s="3313"/>
      <c r="G4" s="3310" t="s">
        <v>2641</v>
      </c>
      <c r="H4" s="3311"/>
      <c r="I4" s="3310" t="s">
        <v>2642</v>
      </c>
      <c r="J4" s="3311"/>
      <c r="K4" s="610" t="s">
        <v>2643</v>
      </c>
      <c r="L4" s="1133"/>
      <c r="M4" s="1134"/>
      <c r="N4" s="1134"/>
      <c r="O4" s="1134"/>
      <c r="P4" s="3344" t="s">
        <v>2644</v>
      </c>
      <c r="Q4" s="3345"/>
      <c r="R4" s="3348" t="s">
        <v>2640</v>
      </c>
      <c r="S4" s="3349"/>
      <c r="T4" s="3348" t="s">
        <v>2641</v>
      </c>
      <c r="U4" s="3349"/>
      <c r="V4" s="3350" t="s">
        <v>2642</v>
      </c>
      <c r="W4" s="3350"/>
      <c r="X4" s="2669"/>
      <c r="Y4" s="3348" t="s">
        <v>2644</v>
      </c>
      <c r="Z4" s="3349"/>
      <c r="AA4" s="3352" t="s">
        <v>2640</v>
      </c>
      <c r="AB4" s="3352" t="s">
        <v>2641</v>
      </c>
      <c r="AC4" s="3341" t="s">
        <v>2642</v>
      </c>
    </row>
    <row r="5" spans="1:29" ht="15">
      <c r="A5" s="404"/>
      <c r="B5" s="405"/>
      <c r="C5" s="3329" t="s">
        <v>2535</v>
      </c>
      <c r="D5" s="3330"/>
      <c r="E5" s="3336" t="s">
        <v>2536</v>
      </c>
      <c r="F5" s="3337"/>
      <c r="G5" s="3329" t="s">
        <v>2537</v>
      </c>
      <c r="H5" s="3330"/>
      <c r="I5" s="3329" t="s">
        <v>2538</v>
      </c>
      <c r="J5" s="3330"/>
      <c r="K5" s="610"/>
      <c r="L5" s="1133"/>
      <c r="M5" s="1134"/>
      <c r="N5" s="1134"/>
      <c r="O5" s="1134"/>
      <c r="P5" s="3346"/>
      <c r="Q5" s="3317"/>
      <c r="R5" s="3322"/>
      <c r="S5" s="3323"/>
      <c r="T5" s="3322"/>
      <c r="U5" s="3323"/>
      <c r="V5" s="3326"/>
      <c r="W5" s="3326"/>
      <c r="X5" s="1815"/>
      <c r="Y5" s="3322"/>
      <c r="Z5" s="3323"/>
      <c r="AA5" s="3308"/>
      <c r="AB5" s="3308"/>
      <c r="AC5" s="3342"/>
    </row>
    <row r="6" spans="1:29" ht="15.75" thickBot="1">
      <c r="A6" s="406"/>
      <c r="B6" s="407"/>
      <c r="C6" s="3327" t="s">
        <v>2539</v>
      </c>
      <c r="D6" s="3328"/>
      <c r="E6" s="3334" t="s">
        <v>2539</v>
      </c>
      <c r="F6" s="3335"/>
      <c r="G6" s="3327" t="s">
        <v>2539</v>
      </c>
      <c r="H6" s="3328"/>
      <c r="I6" s="3327" t="s">
        <v>2539</v>
      </c>
      <c r="J6" s="3328"/>
      <c r="K6" s="610" t="s">
        <v>2540</v>
      </c>
      <c r="L6" s="1133"/>
      <c r="M6" s="1134"/>
      <c r="N6" s="1134"/>
      <c r="O6" s="1134"/>
      <c r="P6" s="3347"/>
      <c r="Q6" s="3319"/>
      <c r="R6" s="3322"/>
      <c r="S6" s="3323"/>
      <c r="T6" s="3324"/>
      <c r="U6" s="3325"/>
      <c r="V6" s="3326"/>
      <c r="W6" s="3326"/>
      <c r="X6" s="1815"/>
      <c r="Y6" s="3324"/>
      <c r="Z6" s="3325"/>
      <c r="AA6" s="3309"/>
      <c r="AB6" s="3309"/>
      <c r="AC6" s="3343"/>
    </row>
    <row r="7" spans="1:29" s="117" customFormat="1" ht="15.75" thickBot="1">
      <c r="A7" s="408" t="s">
        <v>2541</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51" t="s">
        <v>2542</v>
      </c>
      <c r="Q7" s="3333"/>
      <c r="R7" s="770" t="s">
        <v>17</v>
      </c>
      <c r="S7" s="771">
        <f t="shared" ref="S7:S15" si="0">F7</f>
        <v>0</v>
      </c>
      <c r="T7" s="770" t="s">
        <v>17</v>
      </c>
      <c r="U7" s="771">
        <f t="shared" ref="U7:U15" si="1">H7</f>
        <v>0</v>
      </c>
      <c r="V7" s="770" t="s">
        <v>17</v>
      </c>
      <c r="W7" s="771">
        <f t="shared" ref="W7:W15" si="2">J7</f>
        <v>0</v>
      </c>
      <c r="X7" s="772"/>
      <c r="Y7" s="3331" t="s">
        <v>2542</v>
      </c>
      <c r="Z7" s="3332"/>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51" t="s">
        <v>2545</v>
      </c>
      <c r="Q8" s="3332"/>
      <c r="R8" s="770" t="s">
        <v>17</v>
      </c>
      <c r="S8" s="771">
        <f t="shared" si="0"/>
        <v>0</v>
      </c>
      <c r="T8" s="770" t="s">
        <v>17</v>
      </c>
      <c r="U8" s="771">
        <f t="shared" si="1"/>
        <v>0</v>
      </c>
      <c r="V8" s="770" t="s">
        <v>17</v>
      </c>
      <c r="W8" s="771">
        <f t="shared" si="2"/>
        <v>0</v>
      </c>
      <c r="X8" s="772"/>
      <c r="Y8" s="3331" t="s">
        <v>2545</v>
      </c>
      <c r="Z8" s="3332"/>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06" t="s">
        <v>2548</v>
      </c>
      <c r="Q9" s="1797" t="str">
        <f t="shared" ref="Q9:Q15" si="6">B9</f>
        <v>用途</v>
      </c>
      <c r="R9" s="770" t="s">
        <v>17</v>
      </c>
      <c r="S9" s="771">
        <f t="shared" si="0"/>
        <v>100</v>
      </c>
      <c r="T9" s="770" t="s">
        <v>17</v>
      </c>
      <c r="U9" s="771">
        <f t="shared" si="1"/>
        <v>100</v>
      </c>
      <c r="V9" s="770" t="s">
        <v>17</v>
      </c>
      <c r="W9" s="771">
        <f t="shared" si="2"/>
        <v>100</v>
      </c>
      <c r="X9" s="772"/>
      <c r="Y9" s="3101"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06"/>
      <c r="Q10" s="1797"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06"/>
      <c r="Q11" s="1797"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306"/>
      <c r="Q12" s="1797">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306"/>
      <c r="Q13" s="1797">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306"/>
      <c r="Q14" s="1797">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2670">
        <f t="shared" si="5"/>
        <v>1</v>
      </c>
    </row>
    <row r="15" spans="1:29" ht="15">
      <c r="A15" s="440" t="s">
        <v>2552</v>
      </c>
      <c r="B15" s="629" t="s">
        <v>2680</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4" t="s">
        <v>2553</v>
      </c>
      <c r="Q15" s="1812" t="str">
        <f t="shared" si="6"/>
        <v>办公集聚程度</v>
      </c>
      <c r="R15" s="774" t="s">
        <v>17</v>
      </c>
      <c r="S15" s="775">
        <f t="shared" si="0"/>
        <v>100</v>
      </c>
      <c r="T15" s="774" t="s">
        <v>17</v>
      </c>
      <c r="U15" s="775">
        <f t="shared" si="1"/>
        <v>100</v>
      </c>
      <c r="V15" s="774" t="s">
        <v>17</v>
      </c>
      <c r="W15" s="775">
        <f t="shared" si="2"/>
        <v>100</v>
      </c>
      <c r="X15" s="1815"/>
      <c r="Y15" s="3297" t="s">
        <v>2553</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305"/>
      <c r="Q16" s="1812"/>
      <c r="R16" s="774"/>
      <c r="S16" s="775"/>
      <c r="T16" s="774"/>
      <c r="U16" s="775"/>
      <c r="V16" s="774"/>
      <c r="W16" s="775"/>
      <c r="X16" s="1815"/>
      <c r="Y16" s="3298"/>
      <c r="Z16" s="1816"/>
      <c r="AA16" s="1813">
        <v>1</v>
      </c>
      <c r="AB16" s="1813">
        <v>1</v>
      </c>
      <c r="AC16" s="2673">
        <v>1</v>
      </c>
    </row>
    <row r="17" spans="1:29" ht="15">
      <c r="A17" s="428"/>
      <c r="B17" s="631" t="s">
        <v>2092</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5"/>
      <c r="Q17" s="1812" t="str">
        <f>B17</f>
        <v>交通便捷度</v>
      </c>
      <c r="R17" s="774" t="s">
        <v>17</v>
      </c>
      <c r="S17" s="775">
        <f>F17</f>
        <v>100</v>
      </c>
      <c r="T17" s="774" t="s">
        <v>17</v>
      </c>
      <c r="U17" s="775">
        <f>H17</f>
        <v>100</v>
      </c>
      <c r="V17" s="774" t="s">
        <v>17</v>
      </c>
      <c r="W17" s="775">
        <f>J17</f>
        <v>100</v>
      </c>
      <c r="X17" s="1815"/>
      <c r="Y17" s="3298"/>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305"/>
      <c r="Q18" s="1812"/>
      <c r="R18" s="774"/>
      <c r="S18" s="775"/>
      <c r="T18" s="774"/>
      <c r="U18" s="775"/>
      <c r="V18" s="774"/>
      <c r="W18" s="775"/>
      <c r="X18" s="1815"/>
      <c r="Y18" s="3298"/>
      <c r="Z18" s="1816"/>
      <c r="AA18" s="1813">
        <v>1</v>
      </c>
      <c r="AB18" s="1813">
        <v>1</v>
      </c>
      <c r="AC18" s="2673">
        <v>1</v>
      </c>
    </row>
    <row r="19" spans="1:29" ht="15">
      <c r="A19" s="428"/>
      <c r="B19" s="631" t="s">
        <v>2681</v>
      </c>
      <c r="C19" s="2674"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5"/>
      <c r="Q19" s="1812" t="str">
        <f>B19</f>
        <v>公共配套设施</v>
      </c>
      <c r="R19" s="774" t="s">
        <v>17</v>
      </c>
      <c r="S19" s="775">
        <f>F19</f>
        <v>100</v>
      </c>
      <c r="T19" s="774" t="s">
        <v>17</v>
      </c>
      <c r="U19" s="775">
        <f>H19</f>
        <v>100</v>
      </c>
      <c r="V19" s="774" t="s">
        <v>17</v>
      </c>
      <c r="W19" s="775">
        <f>J19</f>
        <v>100</v>
      </c>
      <c r="X19" s="1815"/>
      <c r="Y19" s="3298"/>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305"/>
      <c r="Q20" s="1812"/>
      <c r="R20" s="774"/>
      <c r="S20" s="775"/>
      <c r="T20" s="774"/>
      <c r="U20" s="775"/>
      <c r="V20" s="774"/>
      <c r="W20" s="775"/>
      <c r="X20" s="1815"/>
      <c r="Y20" s="3298"/>
      <c r="Z20" s="1816"/>
      <c r="AA20" s="1813">
        <v>1</v>
      </c>
      <c r="AB20" s="1813">
        <v>1</v>
      </c>
      <c r="AC20" s="2673">
        <v>1</v>
      </c>
    </row>
    <row r="21" spans="1:29" ht="15">
      <c r="A21" s="428"/>
      <c r="B21" s="633" t="s">
        <v>2682</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5"/>
      <c r="Q21" s="1812" t="str">
        <f>B21</f>
        <v>基础设施水平</v>
      </c>
      <c r="R21" s="774" t="s">
        <v>17</v>
      </c>
      <c r="S21" s="775">
        <f>F21</f>
        <v>100</v>
      </c>
      <c r="T21" s="774" t="s">
        <v>17</v>
      </c>
      <c r="U21" s="775">
        <f>H21</f>
        <v>100</v>
      </c>
      <c r="V21" s="774" t="s">
        <v>17</v>
      </c>
      <c r="W21" s="775">
        <f>J21</f>
        <v>100</v>
      </c>
      <c r="X21" s="1815"/>
      <c r="Y21" s="3298"/>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305"/>
      <c r="Q22" s="1812"/>
      <c r="R22" s="774"/>
      <c r="S22" s="775"/>
      <c r="T22" s="774"/>
      <c r="U22" s="775"/>
      <c r="V22" s="774"/>
      <c r="W22" s="775"/>
      <c r="X22" s="1815"/>
      <c r="Y22" s="3298"/>
      <c r="Z22" s="1816"/>
      <c r="AA22" s="1813">
        <v>1</v>
      </c>
      <c r="AB22" s="1813">
        <v>1</v>
      </c>
      <c r="AC22" s="2673">
        <v>1</v>
      </c>
    </row>
    <row r="23" spans="1:29" ht="15">
      <c r="A23" s="428"/>
      <c r="B23" s="631" t="s">
        <v>2683</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5"/>
      <c r="Q23" s="1812" t="str">
        <f>B23</f>
        <v>环境质量</v>
      </c>
      <c r="R23" s="774" t="s">
        <v>17</v>
      </c>
      <c r="S23" s="775">
        <f>F23</f>
        <v>100</v>
      </c>
      <c r="T23" s="774" t="s">
        <v>17</v>
      </c>
      <c r="U23" s="775">
        <f>H23</f>
        <v>100</v>
      </c>
      <c r="V23" s="774" t="s">
        <v>17</v>
      </c>
      <c r="W23" s="775">
        <f>J23</f>
        <v>100</v>
      </c>
      <c r="X23" s="1815"/>
      <c r="Y23" s="3298"/>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305"/>
      <c r="Q24" s="1812"/>
      <c r="R24" s="774"/>
      <c r="S24" s="775"/>
      <c r="T24" s="774"/>
      <c r="U24" s="775"/>
      <c r="V24" s="774"/>
      <c r="W24" s="775"/>
      <c r="X24" s="1815"/>
      <c r="Y24" s="3298"/>
      <c r="Z24" s="1816"/>
      <c r="AA24" s="1813">
        <v>1</v>
      </c>
      <c r="AB24" s="1813">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305"/>
      <c r="Q25" s="1812" t="str">
        <f>B25</f>
        <v>毗邻道路的类型与等级</v>
      </c>
      <c r="R25" s="774" t="s">
        <v>17</v>
      </c>
      <c r="S25" s="775">
        <f>F25</f>
        <v>100</v>
      </c>
      <c r="T25" s="774" t="s">
        <v>17</v>
      </c>
      <c r="U25" s="775">
        <f>H25</f>
        <v>100</v>
      </c>
      <c r="V25" s="774" t="s">
        <v>17</v>
      </c>
      <c r="W25" s="775">
        <f>J25</f>
        <v>100</v>
      </c>
      <c r="X25" s="1815"/>
      <c r="Y25" s="3298"/>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305"/>
      <c r="Q26" s="1812"/>
      <c r="R26" s="774"/>
      <c r="S26" s="775"/>
      <c r="T26" s="774"/>
      <c r="U26" s="775"/>
      <c r="V26" s="774"/>
      <c r="W26" s="775"/>
      <c r="X26" s="1815"/>
      <c r="Y26" s="3298"/>
      <c r="Z26" s="1816"/>
      <c r="AA26" s="1813">
        <v>1</v>
      </c>
      <c r="AB26" s="1813">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5"/>
      <c r="Q27" s="1812" t="str">
        <f t="shared" ref="Q27:Q47" si="11">B27</f>
        <v>楼层</v>
      </c>
      <c r="R27" s="774" t="s">
        <v>17</v>
      </c>
      <c r="S27" s="775">
        <f>F27</f>
        <v>100</v>
      </c>
      <c r="T27" s="774" t="s">
        <v>17</v>
      </c>
      <c r="U27" s="775">
        <f>H27</f>
        <v>100</v>
      </c>
      <c r="V27" s="774" t="s">
        <v>17</v>
      </c>
      <c r="W27" s="775">
        <f>J27</f>
        <v>100</v>
      </c>
      <c r="X27" s="1815"/>
      <c r="Y27" s="3298"/>
      <c r="Z27" s="1816" t="str">
        <f>Q27</f>
        <v>楼层</v>
      </c>
      <c r="AA27" s="1813">
        <f t="shared" si="3"/>
        <v>1</v>
      </c>
      <c r="AB27" s="1813">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305"/>
      <c r="Q28" s="1797" t="str">
        <f t="shared" si="11"/>
        <v>朝向</v>
      </c>
      <c r="R28" s="770" t="s">
        <v>17</v>
      </c>
      <c r="S28" s="771">
        <f>F28</f>
        <v>100</v>
      </c>
      <c r="T28" s="770" t="s">
        <v>17</v>
      </c>
      <c r="U28" s="771">
        <f>H28</f>
        <v>100</v>
      </c>
      <c r="V28" s="770" t="s">
        <v>17</v>
      </c>
      <c r="W28" s="771">
        <f>J28</f>
        <v>100</v>
      </c>
      <c r="X28" s="772"/>
      <c r="Y28" s="3298"/>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305"/>
      <c r="Q29" s="1812">
        <f t="shared" si="11"/>
        <v>111</v>
      </c>
      <c r="R29" s="774" t="s">
        <v>17</v>
      </c>
      <c r="S29" s="775">
        <f t="shared" ref="S29:S47" si="12">F29</f>
        <v>100</v>
      </c>
      <c r="T29" s="774" t="s">
        <v>17</v>
      </c>
      <c r="U29" s="775">
        <f t="shared" ref="U29:U47" si="13">H29</f>
        <v>100</v>
      </c>
      <c r="V29" s="774" t="s">
        <v>17</v>
      </c>
      <c r="W29" s="775">
        <f t="shared" ref="W29:W47" si="14">J29</f>
        <v>100</v>
      </c>
      <c r="X29" s="1815"/>
      <c r="Y29" s="3298"/>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305"/>
      <c r="Q30" s="1812">
        <f t="shared" si="11"/>
        <v>111</v>
      </c>
      <c r="R30" s="774" t="s">
        <v>17</v>
      </c>
      <c r="S30" s="775">
        <f t="shared" si="12"/>
        <v>100</v>
      </c>
      <c r="T30" s="774" t="s">
        <v>17</v>
      </c>
      <c r="U30" s="775">
        <f t="shared" si="13"/>
        <v>100</v>
      </c>
      <c r="V30" s="774" t="s">
        <v>17</v>
      </c>
      <c r="W30" s="775">
        <f t="shared" si="14"/>
        <v>100</v>
      </c>
      <c r="X30" s="1815"/>
      <c r="Y30" s="3298"/>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305"/>
      <c r="Q31" s="1812">
        <f t="shared" si="11"/>
        <v>111</v>
      </c>
      <c r="R31" s="774" t="s">
        <v>17</v>
      </c>
      <c r="S31" s="775">
        <f t="shared" si="12"/>
        <v>100</v>
      </c>
      <c r="T31" s="774" t="s">
        <v>17</v>
      </c>
      <c r="U31" s="775">
        <f t="shared" si="13"/>
        <v>100</v>
      </c>
      <c r="V31" s="774" t="s">
        <v>17</v>
      </c>
      <c r="W31" s="775">
        <f t="shared" si="14"/>
        <v>100</v>
      </c>
      <c r="X31" s="1815"/>
      <c r="Y31" s="3298"/>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305"/>
      <c r="Q32" s="1812">
        <f t="shared" si="11"/>
        <v>111</v>
      </c>
      <c r="R32" s="774" t="s">
        <v>17</v>
      </c>
      <c r="S32" s="775">
        <f t="shared" si="12"/>
        <v>100</v>
      </c>
      <c r="T32" s="774" t="s">
        <v>17</v>
      </c>
      <c r="U32" s="775">
        <f t="shared" si="13"/>
        <v>100</v>
      </c>
      <c r="V32" s="774" t="s">
        <v>17</v>
      </c>
      <c r="W32" s="775">
        <f t="shared" si="14"/>
        <v>100</v>
      </c>
      <c r="X32" s="1815"/>
      <c r="Y32" s="3298"/>
      <c r="Z32" s="1816">
        <f t="shared" si="15"/>
        <v>111</v>
      </c>
      <c r="AA32" s="1813">
        <f t="shared" si="3"/>
        <v>1</v>
      </c>
      <c r="AB32" s="1813">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99" t="s">
        <v>2558</v>
      </c>
      <c r="Q33" s="1812" t="str">
        <f t="shared" si="11"/>
        <v>建筑类型</v>
      </c>
      <c r="R33" s="774" t="s">
        <v>17</v>
      </c>
      <c r="S33" s="775">
        <f t="shared" si="12"/>
        <v>100</v>
      </c>
      <c r="T33" s="774" t="s">
        <v>17</v>
      </c>
      <c r="U33" s="775">
        <f t="shared" si="13"/>
        <v>100</v>
      </c>
      <c r="V33" s="774" t="s">
        <v>17</v>
      </c>
      <c r="W33" s="775">
        <f t="shared" si="14"/>
        <v>100</v>
      </c>
      <c r="X33" s="1815"/>
      <c r="Y33" s="3302" t="s">
        <v>2558</v>
      </c>
      <c r="Z33" s="1816" t="str">
        <f t="shared" si="15"/>
        <v>建筑类型</v>
      </c>
      <c r="AA33" s="1813">
        <f t="shared" si="3"/>
        <v>1</v>
      </c>
      <c r="AB33" s="1813">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0"/>
      <c r="Q34" s="776" t="str">
        <f t="shared" si="11"/>
        <v>项目建筑规模</v>
      </c>
      <c r="R34" s="777" t="s">
        <v>17</v>
      </c>
      <c r="S34" s="778" t="e">
        <f t="shared" si="12"/>
        <v>#N/A</v>
      </c>
      <c r="T34" s="777" t="s">
        <v>17</v>
      </c>
      <c r="U34" s="778" t="e">
        <f t="shared" si="13"/>
        <v>#N/A</v>
      </c>
      <c r="V34" s="777" t="s">
        <v>17</v>
      </c>
      <c r="W34" s="778" t="e">
        <f t="shared" si="14"/>
        <v>#N/A</v>
      </c>
      <c r="X34" s="779"/>
      <c r="Y34" s="3302"/>
      <c r="Z34" s="780" t="str">
        <f t="shared" si="15"/>
        <v>项目建筑规模</v>
      </c>
      <c r="AA34" s="1813" t="e">
        <f t="shared" si="3"/>
        <v>#N/A</v>
      </c>
      <c r="AB34" s="1813"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0"/>
      <c r="Q35" s="1812" t="str">
        <f t="shared" si="11"/>
        <v>建筑结构</v>
      </c>
      <c r="R35" s="774" t="s">
        <v>17</v>
      </c>
      <c r="S35" s="775">
        <f t="shared" si="12"/>
        <v>100</v>
      </c>
      <c r="T35" s="774" t="s">
        <v>17</v>
      </c>
      <c r="U35" s="775">
        <f t="shared" si="13"/>
        <v>100</v>
      </c>
      <c r="V35" s="774" t="s">
        <v>17</v>
      </c>
      <c r="W35" s="775">
        <f t="shared" si="14"/>
        <v>100</v>
      </c>
      <c r="X35" s="1815"/>
      <c r="Y35" s="3302"/>
      <c r="Z35" s="1816" t="str">
        <f t="shared" si="15"/>
        <v>建筑结构</v>
      </c>
      <c r="AA35" s="1813">
        <f t="shared" si="3"/>
        <v>1</v>
      </c>
      <c r="AB35" s="1813">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0"/>
      <c r="Q36" s="1812" t="str">
        <f t="shared" si="11"/>
        <v>公共部分装修</v>
      </c>
      <c r="R36" s="774" t="s">
        <v>17</v>
      </c>
      <c r="S36" s="775">
        <f t="shared" si="12"/>
        <v>100</v>
      </c>
      <c r="T36" s="774" t="s">
        <v>17</v>
      </c>
      <c r="U36" s="775">
        <f t="shared" si="13"/>
        <v>100</v>
      </c>
      <c r="V36" s="774" t="s">
        <v>17</v>
      </c>
      <c r="W36" s="775">
        <f t="shared" si="14"/>
        <v>100</v>
      </c>
      <c r="X36" s="1815"/>
      <c r="Y36" s="3302"/>
      <c r="Z36" s="1816" t="str">
        <f t="shared" si="15"/>
        <v>公共部分装修</v>
      </c>
      <c r="AA36" s="1813">
        <f t="shared" si="3"/>
        <v>1</v>
      </c>
      <c r="AB36" s="1813">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0"/>
      <c r="Q37" s="1812" t="str">
        <f t="shared" si="11"/>
        <v>成新度</v>
      </c>
      <c r="R37" s="774" t="s">
        <v>17</v>
      </c>
      <c r="S37" s="775" t="e">
        <f t="shared" si="12"/>
        <v>#N/A</v>
      </c>
      <c r="T37" s="774" t="s">
        <v>17</v>
      </c>
      <c r="U37" s="775" t="e">
        <f t="shared" si="13"/>
        <v>#N/A</v>
      </c>
      <c r="V37" s="774" t="s">
        <v>17</v>
      </c>
      <c r="W37" s="775" t="e">
        <f t="shared" si="14"/>
        <v>#N/A</v>
      </c>
      <c r="X37" s="1815"/>
      <c r="Y37" s="3302"/>
      <c r="Z37" s="1816" t="str">
        <f t="shared" si="15"/>
        <v>成新度</v>
      </c>
      <c r="AA37" s="1813" t="e">
        <f t="shared" si="3"/>
        <v>#N/A</v>
      </c>
      <c r="AB37" s="1813"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0"/>
      <c r="Q38" s="1797" t="str">
        <f t="shared" si="11"/>
        <v>写字楼等级</v>
      </c>
      <c r="R38" s="770" t="s">
        <v>17</v>
      </c>
      <c r="S38" s="771">
        <f t="shared" si="12"/>
        <v>100</v>
      </c>
      <c r="T38" s="770" t="s">
        <v>17</v>
      </c>
      <c r="U38" s="771">
        <f t="shared" si="13"/>
        <v>100</v>
      </c>
      <c r="V38" s="770" t="s">
        <v>17</v>
      </c>
      <c r="W38" s="771">
        <f t="shared" si="14"/>
        <v>100</v>
      </c>
      <c r="X38" s="772"/>
      <c r="Y38" s="3302"/>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0" t="s">
        <v>2558</v>
      </c>
      <c r="Q39" s="1812" t="str">
        <f t="shared" si="11"/>
        <v>物业管理</v>
      </c>
      <c r="R39" s="774" t="s">
        <v>17</v>
      </c>
      <c r="S39" s="775">
        <f t="shared" si="12"/>
        <v>100</v>
      </c>
      <c r="T39" s="774" t="s">
        <v>17</v>
      </c>
      <c r="U39" s="775">
        <f t="shared" si="13"/>
        <v>100</v>
      </c>
      <c r="V39" s="774" t="s">
        <v>17</v>
      </c>
      <c r="W39" s="775">
        <f t="shared" si="14"/>
        <v>100</v>
      </c>
      <c r="X39" s="1815"/>
      <c r="Y39" s="3302" t="s">
        <v>2558</v>
      </c>
      <c r="Z39" s="1816" t="str">
        <f t="shared" si="15"/>
        <v>物业管理</v>
      </c>
      <c r="AA39" s="1813">
        <f t="shared" si="3"/>
        <v>1</v>
      </c>
      <c r="AB39" s="1813">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0"/>
      <c r="Q40" s="1812" t="str">
        <f t="shared" si="11"/>
        <v>市政基础设施</v>
      </c>
      <c r="R40" s="774" t="s">
        <v>17</v>
      </c>
      <c r="S40" s="775">
        <f t="shared" si="12"/>
        <v>100</v>
      </c>
      <c r="T40" s="774" t="s">
        <v>17</v>
      </c>
      <c r="U40" s="775">
        <f t="shared" si="13"/>
        <v>100</v>
      </c>
      <c r="V40" s="774" t="s">
        <v>17</v>
      </c>
      <c r="W40" s="775">
        <f t="shared" si="14"/>
        <v>100</v>
      </c>
      <c r="X40" s="1815"/>
      <c r="Y40" s="3302"/>
      <c r="Z40" s="1816" t="str">
        <f t="shared" si="15"/>
        <v>市政基础设施</v>
      </c>
      <c r="AA40" s="1813">
        <f t="shared" si="3"/>
        <v>1</v>
      </c>
      <c r="AB40" s="1813">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0"/>
      <c r="Q41" s="1812" t="str">
        <f t="shared" si="11"/>
        <v>层高</v>
      </c>
      <c r="R41" s="774" t="s">
        <v>17</v>
      </c>
      <c r="S41" s="775">
        <f t="shared" si="12"/>
        <v>100</v>
      </c>
      <c r="T41" s="774" t="s">
        <v>17</v>
      </c>
      <c r="U41" s="775">
        <f t="shared" si="13"/>
        <v>100</v>
      </c>
      <c r="V41" s="774" t="s">
        <v>17</v>
      </c>
      <c r="W41" s="775">
        <f t="shared" si="14"/>
        <v>100</v>
      </c>
      <c r="X41" s="1815"/>
      <c r="Y41" s="3302"/>
      <c r="Z41" s="1816" t="str">
        <f t="shared" si="15"/>
        <v>层高</v>
      </c>
      <c r="AA41" s="1813">
        <f t="shared" si="3"/>
        <v>1</v>
      </c>
      <c r="AB41" s="1813">
        <f t="shared" si="4"/>
        <v>1</v>
      </c>
      <c r="AC41" s="2673">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0"/>
      <c r="Q42" s="776" t="str">
        <f t="shared" si="11"/>
        <v>单套建筑面积</v>
      </c>
      <c r="R42" s="777" t="s">
        <v>17</v>
      </c>
      <c r="S42" s="778">
        <f t="shared" si="12"/>
        <v>100</v>
      </c>
      <c r="T42" s="777" t="s">
        <v>17</v>
      </c>
      <c r="U42" s="778">
        <f t="shared" si="13"/>
        <v>100</v>
      </c>
      <c r="V42" s="777" t="s">
        <v>17</v>
      </c>
      <c r="W42" s="778">
        <f t="shared" si="14"/>
        <v>100</v>
      </c>
      <c r="X42" s="779"/>
      <c r="Y42" s="3302"/>
      <c r="Z42" s="780" t="str">
        <f t="shared" si="15"/>
        <v>单套建筑面积</v>
      </c>
      <c r="AA42" s="1813">
        <f t="shared" si="3"/>
        <v>1</v>
      </c>
      <c r="AB42" s="1813">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0"/>
      <c r="Q43" s="1812" t="str">
        <f t="shared" si="11"/>
        <v>内部装修</v>
      </c>
      <c r="R43" s="774" t="s">
        <v>17</v>
      </c>
      <c r="S43" s="775">
        <f t="shared" si="12"/>
        <v>100</v>
      </c>
      <c r="T43" s="774" t="s">
        <v>17</v>
      </c>
      <c r="U43" s="775">
        <f t="shared" si="13"/>
        <v>100</v>
      </c>
      <c r="V43" s="774" t="s">
        <v>17</v>
      </c>
      <c r="W43" s="775">
        <f t="shared" si="14"/>
        <v>100</v>
      </c>
      <c r="X43" s="1815"/>
      <c r="Y43" s="3302"/>
      <c r="Z43" s="1816" t="str">
        <f t="shared" si="15"/>
        <v>内部装修</v>
      </c>
      <c r="AA43" s="1813">
        <f t="shared" si="3"/>
        <v>1</v>
      </c>
      <c r="AB43" s="1813">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300"/>
      <c r="Q44" s="1812" t="str">
        <f t="shared" si="11"/>
        <v>内部装修维护情况</v>
      </c>
      <c r="R44" s="774" t="s">
        <v>17</v>
      </c>
      <c r="S44" s="775">
        <f t="shared" si="12"/>
        <v>100</v>
      </c>
      <c r="T44" s="774" t="s">
        <v>17</v>
      </c>
      <c r="U44" s="775">
        <f t="shared" si="13"/>
        <v>100</v>
      </c>
      <c r="V44" s="774" t="s">
        <v>17</v>
      </c>
      <c r="W44" s="775">
        <f t="shared" si="14"/>
        <v>100</v>
      </c>
      <c r="X44" s="1815"/>
      <c r="Y44" s="3302"/>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0"/>
      <c r="Q45" s="1797">
        <f t="shared" si="11"/>
        <v>111</v>
      </c>
      <c r="R45" s="770" t="s">
        <v>17</v>
      </c>
      <c r="S45" s="771">
        <f t="shared" si="12"/>
        <v>100</v>
      </c>
      <c r="T45" s="770" t="s">
        <v>17</v>
      </c>
      <c r="U45" s="771">
        <f t="shared" si="13"/>
        <v>100</v>
      </c>
      <c r="V45" s="770" t="s">
        <v>17</v>
      </c>
      <c r="W45" s="771">
        <f t="shared" si="14"/>
        <v>100</v>
      </c>
      <c r="X45" s="772"/>
      <c r="Y45" s="3302"/>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0"/>
      <c r="Q46" s="1812">
        <f t="shared" si="11"/>
        <v>111</v>
      </c>
      <c r="R46" s="774" t="s">
        <v>17</v>
      </c>
      <c r="S46" s="775">
        <f t="shared" si="12"/>
        <v>100</v>
      </c>
      <c r="T46" s="774" t="s">
        <v>17</v>
      </c>
      <c r="U46" s="775">
        <f t="shared" si="13"/>
        <v>100</v>
      </c>
      <c r="V46" s="774" t="s">
        <v>17</v>
      </c>
      <c r="W46" s="775">
        <f t="shared" si="14"/>
        <v>100</v>
      </c>
      <c r="X46" s="1815"/>
      <c r="Y46" s="3302"/>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1"/>
      <c r="Q47" s="1812">
        <f t="shared" si="11"/>
        <v>111</v>
      </c>
      <c r="R47" s="774" t="s">
        <v>17</v>
      </c>
      <c r="S47" s="775">
        <f t="shared" si="12"/>
        <v>100</v>
      </c>
      <c r="T47" s="774" t="s">
        <v>17</v>
      </c>
      <c r="U47" s="775">
        <f t="shared" si="13"/>
        <v>100</v>
      </c>
      <c r="V47" s="774" t="s">
        <v>17</v>
      </c>
      <c r="W47" s="775">
        <f t="shared" si="14"/>
        <v>100</v>
      </c>
      <c r="X47" s="1815"/>
      <c r="Y47" s="3303"/>
      <c r="Z47" s="1816">
        <f t="shared" si="15"/>
        <v>111</v>
      </c>
      <c r="AA47" s="1813">
        <f t="shared" si="3"/>
        <v>1</v>
      </c>
      <c r="AB47" s="1813">
        <f t="shared" si="4"/>
        <v>1</v>
      </c>
      <c r="AC47" s="2673">
        <f t="shared" si="5"/>
        <v>1</v>
      </c>
    </row>
    <row r="48" spans="1:29" ht="15">
      <c r="A48" s="479" t="s">
        <v>2570</v>
      </c>
      <c r="B48" s="480"/>
      <c r="C48" s="1410" t="s">
        <v>1</v>
      </c>
      <c r="D48" s="1411"/>
      <c r="E48" s="1412"/>
      <c r="F48" s="1413"/>
      <c r="G48" s="1414"/>
      <c r="H48" s="1415"/>
      <c r="I48" s="1412"/>
      <c r="J48" s="485"/>
      <c r="K48" s="783"/>
      <c r="L48" s="1146"/>
      <c r="M48" s="1134"/>
      <c r="N48" s="1134"/>
      <c r="O48" s="1134"/>
      <c r="P48" s="3306" t="str">
        <f>A48</f>
        <v>成交单价（元/平方米）</v>
      </c>
      <c r="Q48" s="3295"/>
      <c r="R48" s="3296">
        <f>E48</f>
        <v>0</v>
      </c>
      <c r="S48" s="3296"/>
      <c r="T48" s="3296">
        <f>G48</f>
        <v>0</v>
      </c>
      <c r="U48" s="3296"/>
      <c r="V48" s="3296">
        <f>I48</f>
        <v>0</v>
      </c>
      <c r="W48" s="3296"/>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306"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338" t="str">
        <f>A50</f>
        <v>估价对象XX用房的比较价值（楼面单价，元/平方米）</v>
      </c>
      <c r="Q50" s="3339"/>
      <c r="R50" s="3340" t="e">
        <f>IF(F1="售价",ROUND(AVERAGE(R49:V49),0),ROUND(AVERAGE(R49:V49),1))</f>
        <v>#DIV/0!</v>
      </c>
      <c r="S50" s="3340"/>
      <c r="T50" s="3340"/>
      <c r="U50" s="3340"/>
      <c r="V50" s="3340"/>
      <c r="W50" s="3340"/>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0"/>
      <c r="Q58" s="504"/>
    </row>
    <row r="59" spans="1:29" s="508" customFormat="1" ht="15">
      <c r="A59" s="505" t="s">
        <v>2541</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2581</v>
      </c>
      <c r="B64" s="528" t="s">
        <v>2547</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2692</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2556</v>
      </c>
      <c r="B101" s="528" t="s">
        <v>2605</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2607</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2609</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2610</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2611</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2694</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2613</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8" t="s">
        <v>2695</v>
      </c>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IF(C2="——",ROUND(C43*D3/10000,0),ROUND(C43*D3/10000,0)-D2)</f>
        <v>#DIV/0!</v>
      </c>
      <c r="C2" s="2585"/>
      <c r="D2" s="1127" t="e">
        <f ca="1">SUMIF(INDIRECT("'"&amp;F2&amp;"'"&amp;"!A:A"),"承租人权益价值",INDIRECT("'"&amp;F2&amp;"'"&amp;"!c:c"))</f>
        <v>#REF!</v>
      </c>
      <c r="E2" s="2586" t="s">
        <v>2321</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30792.58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0" t="s">
        <v>2639</v>
      </c>
      <c r="D4" s="3311"/>
      <c r="E4" s="3312" t="s">
        <v>2640</v>
      </c>
      <c r="F4" s="3313"/>
      <c r="G4" s="3310" t="s">
        <v>2641</v>
      </c>
      <c r="H4" s="3311"/>
      <c r="I4" s="3310" t="s">
        <v>2642</v>
      </c>
      <c r="J4" s="3311"/>
      <c r="K4" s="610" t="s">
        <v>2643</v>
      </c>
      <c r="L4" s="1133"/>
      <c r="M4" s="1134"/>
      <c r="N4" s="1134"/>
      <c r="O4" s="1134"/>
      <c r="P4" s="3314" t="s">
        <v>2644</v>
      </c>
      <c r="Q4" s="3315"/>
      <c r="R4" s="3320" t="s">
        <v>2640</v>
      </c>
      <c r="S4" s="3321"/>
      <c r="T4" s="3320" t="s">
        <v>2641</v>
      </c>
      <c r="U4" s="3321"/>
      <c r="V4" s="3326" t="s">
        <v>2642</v>
      </c>
      <c r="W4" s="3326"/>
      <c r="X4" s="1815"/>
      <c r="Y4" s="3320" t="s">
        <v>2644</v>
      </c>
      <c r="Z4" s="3321"/>
      <c r="AA4" s="3307" t="s">
        <v>2640</v>
      </c>
      <c r="AB4" s="3308" t="s">
        <v>2641</v>
      </c>
      <c r="AC4" s="3307" t="s">
        <v>2642</v>
      </c>
    </row>
    <row r="5" spans="1:29" ht="15">
      <c r="A5" s="404"/>
      <c r="B5" s="405"/>
      <c r="C5" s="3329" t="s">
        <v>2535</v>
      </c>
      <c r="D5" s="3330"/>
      <c r="E5" s="3336" t="s">
        <v>2536</v>
      </c>
      <c r="F5" s="3337"/>
      <c r="G5" s="3329" t="s">
        <v>2537</v>
      </c>
      <c r="H5" s="3330"/>
      <c r="I5" s="3329" t="s">
        <v>2538</v>
      </c>
      <c r="J5" s="3330"/>
      <c r="K5" s="610"/>
      <c r="L5" s="1133"/>
      <c r="M5" s="1134"/>
      <c r="N5" s="1134"/>
      <c r="O5" s="1134"/>
      <c r="P5" s="3316"/>
      <c r="Q5" s="3317"/>
      <c r="R5" s="3322"/>
      <c r="S5" s="3323"/>
      <c r="T5" s="3322"/>
      <c r="U5" s="3323"/>
      <c r="V5" s="3326"/>
      <c r="W5" s="3326"/>
      <c r="X5" s="1815"/>
      <c r="Y5" s="3322"/>
      <c r="Z5" s="3323"/>
      <c r="AA5" s="3308"/>
      <c r="AB5" s="3308"/>
      <c r="AC5" s="3308"/>
    </row>
    <row r="6" spans="1:29" ht="15.75" thickBot="1">
      <c r="A6" s="406"/>
      <c r="B6" s="407"/>
      <c r="C6" s="3327" t="s">
        <v>2539</v>
      </c>
      <c r="D6" s="3328"/>
      <c r="E6" s="3334" t="s">
        <v>2539</v>
      </c>
      <c r="F6" s="3335"/>
      <c r="G6" s="3327" t="s">
        <v>2539</v>
      </c>
      <c r="H6" s="3328"/>
      <c r="I6" s="3327" t="s">
        <v>2539</v>
      </c>
      <c r="J6" s="3328"/>
      <c r="K6" s="610" t="s">
        <v>2540</v>
      </c>
      <c r="L6" s="1133"/>
      <c r="M6" s="1134"/>
      <c r="N6" s="1134"/>
      <c r="O6" s="1134"/>
      <c r="P6" s="3318"/>
      <c r="Q6" s="3319"/>
      <c r="R6" s="3322"/>
      <c r="S6" s="3323"/>
      <c r="T6" s="3324"/>
      <c r="U6" s="3325"/>
      <c r="V6" s="3326"/>
      <c r="W6" s="3326"/>
      <c r="X6" s="1815"/>
      <c r="Y6" s="3324"/>
      <c r="Z6" s="3325"/>
      <c r="AA6" s="3309"/>
      <c r="AB6" s="3309"/>
      <c r="AC6" s="3309"/>
    </row>
    <row r="7" spans="1:29" s="117" customFormat="1" ht="15.75" thickBot="1">
      <c r="A7" s="408" t="s">
        <v>2541</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31" t="s">
        <v>2542</v>
      </c>
      <c r="Q7" s="3333"/>
      <c r="R7" s="770" t="s">
        <v>17</v>
      </c>
      <c r="S7" s="771">
        <f t="shared" ref="S7:S15" si="0">F7</f>
        <v>0</v>
      </c>
      <c r="T7" s="770" t="s">
        <v>17</v>
      </c>
      <c r="U7" s="771">
        <f t="shared" ref="U7:U15" si="1">H7</f>
        <v>0</v>
      </c>
      <c r="V7" s="770" t="s">
        <v>17</v>
      </c>
      <c r="W7" s="771">
        <f t="shared" ref="W7:W15" si="2">J7</f>
        <v>0</v>
      </c>
      <c r="X7" s="772"/>
      <c r="Y7" s="3331" t="s">
        <v>2542</v>
      </c>
      <c r="Z7" s="3332"/>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31" t="s">
        <v>2545</v>
      </c>
      <c r="Q8" s="3332"/>
      <c r="R8" s="770" t="s">
        <v>17</v>
      </c>
      <c r="S8" s="771">
        <f t="shared" si="0"/>
        <v>0</v>
      </c>
      <c r="T8" s="770" t="s">
        <v>17</v>
      </c>
      <c r="U8" s="771">
        <f t="shared" si="1"/>
        <v>0</v>
      </c>
      <c r="V8" s="770" t="s">
        <v>17</v>
      </c>
      <c r="W8" s="771">
        <f t="shared" si="2"/>
        <v>0</v>
      </c>
      <c r="X8" s="772"/>
      <c r="Y8" s="3331" t="s">
        <v>2545</v>
      </c>
      <c r="Z8" s="3332"/>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95" t="s">
        <v>2548</v>
      </c>
      <c r="Q9" s="1797" t="str">
        <f t="shared" ref="Q9:Q15" si="6">B9</f>
        <v>用途</v>
      </c>
      <c r="R9" s="770" t="s">
        <v>17</v>
      </c>
      <c r="S9" s="771">
        <f t="shared" si="0"/>
        <v>100</v>
      </c>
      <c r="T9" s="770" t="s">
        <v>17</v>
      </c>
      <c r="U9" s="771">
        <f t="shared" si="1"/>
        <v>100</v>
      </c>
      <c r="V9" s="770" t="s">
        <v>17</v>
      </c>
      <c r="W9" s="771">
        <f t="shared" si="2"/>
        <v>100</v>
      </c>
      <c r="X9" s="772"/>
      <c r="Y9" s="310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95"/>
      <c r="Q10" s="1797"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95"/>
      <c r="Q11" s="1797"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95"/>
      <c r="Q12" s="1797">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95"/>
      <c r="Q13" s="1797">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95"/>
      <c r="Q14" s="1797">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15">
      <c r="A15" s="440" t="s">
        <v>2552</v>
      </c>
      <c r="B15" s="69" t="s">
        <v>2696</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97" t="s">
        <v>2553</v>
      </c>
      <c r="Q15" s="1812" t="str">
        <f t="shared" si="6"/>
        <v>产业集聚程度</v>
      </c>
      <c r="R15" s="774" t="s">
        <v>17</v>
      </c>
      <c r="S15" s="775">
        <f t="shared" si="0"/>
        <v>100</v>
      </c>
      <c r="T15" s="774" t="s">
        <v>17</v>
      </c>
      <c r="U15" s="775">
        <f t="shared" si="1"/>
        <v>100</v>
      </c>
      <c r="V15" s="774" t="s">
        <v>17</v>
      </c>
      <c r="W15" s="775">
        <f t="shared" si="2"/>
        <v>100</v>
      </c>
      <c r="X15" s="1815"/>
      <c r="Y15" s="3297"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98"/>
      <c r="Q16" s="1812"/>
      <c r="R16" s="774"/>
      <c r="S16" s="775"/>
      <c r="T16" s="774"/>
      <c r="U16" s="775"/>
      <c r="V16" s="774"/>
      <c r="W16" s="775"/>
      <c r="X16" s="1815"/>
      <c r="Y16" s="3298"/>
      <c r="Z16" s="1816"/>
      <c r="AA16" s="1813">
        <v>1</v>
      </c>
      <c r="AB16" s="1813">
        <v>1</v>
      </c>
      <c r="AC16" s="1813">
        <v>1</v>
      </c>
    </row>
    <row r="17" spans="1:29" ht="15">
      <c r="A17" s="428"/>
      <c r="B17" s="451" t="s">
        <v>2092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98"/>
      <c r="Q17" s="1812" t="str">
        <f>B17</f>
        <v>交通便捷度</v>
      </c>
      <c r="R17" s="774" t="s">
        <v>17</v>
      </c>
      <c r="S17" s="775">
        <f>F17</f>
        <v>100</v>
      </c>
      <c r="T17" s="774" t="s">
        <v>17</v>
      </c>
      <c r="U17" s="775">
        <f>H17</f>
        <v>100</v>
      </c>
      <c r="V17" s="774" t="s">
        <v>17</v>
      </c>
      <c r="W17" s="775">
        <f>J17</f>
        <v>100</v>
      </c>
      <c r="X17" s="1815"/>
      <c r="Y17" s="3298"/>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298"/>
      <c r="Q18" s="1812"/>
      <c r="R18" s="774"/>
      <c r="S18" s="775"/>
      <c r="T18" s="774"/>
      <c r="U18" s="775"/>
      <c r="V18" s="774"/>
      <c r="W18" s="775"/>
      <c r="X18" s="1815"/>
      <c r="Y18" s="3298"/>
      <c r="Z18" s="1816"/>
      <c r="AA18" s="1813">
        <v>1</v>
      </c>
      <c r="AB18" s="1813">
        <v>1</v>
      </c>
      <c r="AC18" s="1813">
        <v>1</v>
      </c>
    </row>
    <row r="19" spans="1:29" ht="15">
      <c r="A19" s="428"/>
      <c r="B19" s="451" t="s">
        <v>2681</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98"/>
      <c r="Q19" s="1812" t="str">
        <f>B19</f>
        <v>公共配套设施</v>
      </c>
      <c r="R19" s="774" t="s">
        <v>17</v>
      </c>
      <c r="S19" s="775">
        <f>F19</f>
        <v>100</v>
      </c>
      <c r="T19" s="774" t="s">
        <v>17</v>
      </c>
      <c r="U19" s="775">
        <f>H19</f>
        <v>100</v>
      </c>
      <c r="V19" s="774" t="s">
        <v>17</v>
      </c>
      <c r="W19" s="775">
        <f>J19</f>
        <v>100</v>
      </c>
      <c r="X19" s="1815"/>
      <c r="Y19" s="3298"/>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298"/>
      <c r="Q20" s="1812"/>
      <c r="R20" s="774"/>
      <c r="S20" s="775"/>
      <c r="T20" s="774"/>
      <c r="U20" s="775"/>
      <c r="V20" s="774"/>
      <c r="W20" s="775"/>
      <c r="X20" s="1815"/>
      <c r="Y20" s="3298"/>
      <c r="Z20" s="1816"/>
      <c r="AA20" s="1813">
        <v>1</v>
      </c>
      <c r="AB20" s="1813">
        <v>1</v>
      </c>
      <c r="AC20" s="1813">
        <v>1</v>
      </c>
    </row>
    <row r="21" spans="1:29" ht="15">
      <c r="A21" s="428"/>
      <c r="B21" s="1387" t="s">
        <v>2682</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98"/>
      <c r="Q21" s="1812" t="str">
        <f>B21</f>
        <v>基础设施水平</v>
      </c>
      <c r="R21" s="774" t="s">
        <v>17</v>
      </c>
      <c r="S21" s="775">
        <f>F21</f>
        <v>100</v>
      </c>
      <c r="T21" s="774" t="s">
        <v>17</v>
      </c>
      <c r="U21" s="775">
        <f>H21</f>
        <v>100</v>
      </c>
      <c r="V21" s="774" t="s">
        <v>17</v>
      </c>
      <c r="W21" s="775">
        <f>J21</f>
        <v>100</v>
      </c>
      <c r="X21" s="1815"/>
      <c r="Y21" s="3298"/>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298"/>
      <c r="Q22" s="1812"/>
      <c r="R22" s="774"/>
      <c r="S22" s="775"/>
      <c r="T22" s="774"/>
      <c r="U22" s="775"/>
      <c r="V22" s="774"/>
      <c r="W22" s="775"/>
      <c r="X22" s="1815"/>
      <c r="Y22" s="3298"/>
      <c r="Z22" s="1816"/>
      <c r="AA22" s="1813">
        <v>1</v>
      </c>
      <c r="AB22" s="1813">
        <v>1</v>
      </c>
      <c r="AC22" s="1813">
        <v>1</v>
      </c>
    </row>
    <row r="23" spans="1:29" ht="15">
      <c r="A23" s="428"/>
      <c r="B23" s="451" t="s">
        <v>2683</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98"/>
      <c r="Q23" s="1812" t="str">
        <f>B23</f>
        <v>环境质量</v>
      </c>
      <c r="R23" s="774" t="s">
        <v>17</v>
      </c>
      <c r="S23" s="775">
        <f>F23</f>
        <v>100</v>
      </c>
      <c r="T23" s="774" t="s">
        <v>17</v>
      </c>
      <c r="U23" s="775">
        <f>H23</f>
        <v>100</v>
      </c>
      <c r="V23" s="774" t="s">
        <v>17</v>
      </c>
      <c r="W23" s="775">
        <f>J23</f>
        <v>100</v>
      </c>
      <c r="X23" s="1815"/>
      <c r="Y23" s="3298"/>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298"/>
      <c r="Q24" s="1812"/>
      <c r="R24" s="774"/>
      <c r="S24" s="775"/>
      <c r="T24" s="774"/>
      <c r="U24" s="775"/>
      <c r="V24" s="774"/>
      <c r="W24" s="775"/>
      <c r="X24" s="1815"/>
      <c r="Y24" s="329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98"/>
      <c r="Q25" s="1812">
        <f>B25</f>
        <v>111</v>
      </c>
      <c r="R25" s="774" t="s">
        <v>17</v>
      </c>
      <c r="S25" s="775">
        <f>F25</f>
        <v>100</v>
      </c>
      <c r="T25" s="774" t="s">
        <v>17</v>
      </c>
      <c r="U25" s="775">
        <f>H25</f>
        <v>100</v>
      </c>
      <c r="V25" s="774" t="s">
        <v>17</v>
      </c>
      <c r="W25" s="775">
        <f>J25</f>
        <v>100</v>
      </c>
      <c r="X25" s="1815"/>
      <c r="Y25" s="329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98"/>
      <c r="Q26" s="1812">
        <f t="shared" ref="Q26:Q40" si="11">B26</f>
        <v>111</v>
      </c>
      <c r="R26" s="774" t="s">
        <v>17</v>
      </c>
      <c r="S26" s="775">
        <f>F26</f>
        <v>100</v>
      </c>
      <c r="T26" s="774" t="s">
        <v>17</v>
      </c>
      <c r="U26" s="775">
        <f>H26</f>
        <v>100</v>
      </c>
      <c r="V26" s="774" t="s">
        <v>17</v>
      </c>
      <c r="W26" s="775">
        <f>J26</f>
        <v>100</v>
      </c>
      <c r="X26" s="1815"/>
      <c r="Y26" s="329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98"/>
      <c r="Q27" s="1797">
        <f t="shared" si="11"/>
        <v>111</v>
      </c>
      <c r="R27" s="770" t="s">
        <v>17</v>
      </c>
      <c r="S27" s="771">
        <f>F27</f>
        <v>100</v>
      </c>
      <c r="T27" s="770" t="s">
        <v>17</v>
      </c>
      <c r="U27" s="771">
        <f>H27</f>
        <v>100</v>
      </c>
      <c r="V27" s="770" t="s">
        <v>17</v>
      </c>
      <c r="W27" s="771">
        <f>J27</f>
        <v>100</v>
      </c>
      <c r="X27" s="772"/>
      <c r="Y27" s="329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98"/>
      <c r="Q28" s="1812">
        <f t="shared" si="11"/>
        <v>111</v>
      </c>
      <c r="R28" s="774" t="s">
        <v>17</v>
      </c>
      <c r="S28" s="775">
        <f t="shared" ref="S28:S40" si="12">F28</f>
        <v>100</v>
      </c>
      <c r="T28" s="774" t="s">
        <v>17</v>
      </c>
      <c r="U28" s="775">
        <f t="shared" ref="U28:U40" si="13">H28</f>
        <v>100</v>
      </c>
      <c r="V28" s="774" t="s">
        <v>17</v>
      </c>
      <c r="W28" s="775">
        <f t="shared" ref="W28:W40" si="14">J28</f>
        <v>100</v>
      </c>
      <c r="X28" s="1815"/>
      <c r="Y28" s="3298"/>
      <c r="Z28" s="1816">
        <f t="shared" ref="Z28:Z40" si="15">Q28</f>
        <v>111</v>
      </c>
      <c r="AA28" s="1813">
        <f t="shared" si="3"/>
        <v>1</v>
      </c>
      <c r="AB28" s="1813">
        <f t="shared" si="4"/>
        <v>1</v>
      </c>
      <c r="AC28" s="1813">
        <f t="shared" si="5"/>
        <v>1</v>
      </c>
    </row>
    <row r="29" spans="1:29" ht="1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353" t="s">
        <v>2558</v>
      </c>
      <c r="Q29" s="1812" t="str">
        <f t="shared" si="11"/>
        <v>建筑类型</v>
      </c>
      <c r="R29" s="774" t="s">
        <v>17</v>
      </c>
      <c r="S29" s="775">
        <f t="shared" si="12"/>
        <v>100</v>
      </c>
      <c r="T29" s="774" t="s">
        <v>17</v>
      </c>
      <c r="U29" s="775">
        <f t="shared" si="13"/>
        <v>100</v>
      </c>
      <c r="V29" s="774" t="s">
        <v>17</v>
      </c>
      <c r="W29" s="775">
        <f t="shared" si="14"/>
        <v>100</v>
      </c>
      <c r="X29" s="1815"/>
      <c r="Y29" s="3302"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02"/>
      <c r="Q30" s="776" t="str">
        <f t="shared" si="11"/>
        <v>项目建筑规模</v>
      </c>
      <c r="R30" s="777" t="s">
        <v>17</v>
      </c>
      <c r="S30" s="778" t="e">
        <f t="shared" si="12"/>
        <v>#N/A</v>
      </c>
      <c r="T30" s="777" t="s">
        <v>17</v>
      </c>
      <c r="U30" s="778" t="e">
        <f t="shared" si="13"/>
        <v>#N/A</v>
      </c>
      <c r="V30" s="777" t="s">
        <v>17</v>
      </c>
      <c r="W30" s="778" t="e">
        <f t="shared" si="14"/>
        <v>#N/A</v>
      </c>
      <c r="X30" s="779"/>
      <c r="Y30" s="3302"/>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02"/>
      <c r="Q31" s="1812" t="str">
        <f t="shared" si="11"/>
        <v>建筑结构</v>
      </c>
      <c r="R31" s="774" t="s">
        <v>17</v>
      </c>
      <c r="S31" s="775">
        <f t="shared" si="12"/>
        <v>100</v>
      </c>
      <c r="T31" s="774" t="s">
        <v>17</v>
      </c>
      <c r="U31" s="775">
        <f t="shared" si="13"/>
        <v>100</v>
      </c>
      <c r="V31" s="774" t="s">
        <v>17</v>
      </c>
      <c r="W31" s="775">
        <f t="shared" si="14"/>
        <v>100</v>
      </c>
      <c r="X31" s="1815"/>
      <c r="Y31" s="3302"/>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02"/>
      <c r="Q32" s="1812" t="str">
        <f t="shared" si="11"/>
        <v>公共部分装修</v>
      </c>
      <c r="R32" s="774" t="s">
        <v>17</v>
      </c>
      <c r="S32" s="775">
        <f t="shared" si="12"/>
        <v>100</v>
      </c>
      <c r="T32" s="774" t="s">
        <v>17</v>
      </c>
      <c r="U32" s="775">
        <f t="shared" si="13"/>
        <v>100</v>
      </c>
      <c r="V32" s="774" t="s">
        <v>17</v>
      </c>
      <c r="W32" s="775">
        <f t="shared" si="14"/>
        <v>100</v>
      </c>
      <c r="X32" s="1815"/>
      <c r="Y32" s="3302"/>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02"/>
      <c r="Q33" s="1812" t="str">
        <f t="shared" si="11"/>
        <v>成新度</v>
      </c>
      <c r="R33" s="774" t="s">
        <v>17</v>
      </c>
      <c r="S33" s="775" t="e">
        <f t="shared" si="12"/>
        <v>#N/A</v>
      </c>
      <c r="T33" s="774" t="s">
        <v>17</v>
      </c>
      <c r="U33" s="775" t="e">
        <f t="shared" si="13"/>
        <v>#N/A</v>
      </c>
      <c r="V33" s="774" t="s">
        <v>17</v>
      </c>
      <c r="W33" s="775" t="e">
        <f t="shared" si="14"/>
        <v>#N/A</v>
      </c>
      <c r="X33" s="1815"/>
      <c r="Y33" s="3302"/>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02"/>
      <c r="Q34" s="1797" t="str">
        <f t="shared" si="11"/>
        <v>物业管理</v>
      </c>
      <c r="R34" s="770" t="s">
        <v>17</v>
      </c>
      <c r="S34" s="771">
        <f t="shared" si="12"/>
        <v>100</v>
      </c>
      <c r="T34" s="770" t="s">
        <v>17</v>
      </c>
      <c r="U34" s="771">
        <f t="shared" si="13"/>
        <v>100</v>
      </c>
      <c r="V34" s="770" t="s">
        <v>17</v>
      </c>
      <c r="W34" s="771">
        <f t="shared" si="14"/>
        <v>100</v>
      </c>
      <c r="X34" s="772"/>
      <c r="Y34" s="3302"/>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02" t="s">
        <v>2558</v>
      </c>
      <c r="Q35" s="1812" t="str">
        <f t="shared" si="11"/>
        <v>市政基础设施</v>
      </c>
      <c r="R35" s="774" t="s">
        <v>17</v>
      </c>
      <c r="S35" s="775">
        <f t="shared" si="12"/>
        <v>100</v>
      </c>
      <c r="T35" s="774" t="s">
        <v>17</v>
      </c>
      <c r="U35" s="775">
        <f t="shared" si="13"/>
        <v>100</v>
      </c>
      <c r="V35" s="774" t="s">
        <v>17</v>
      </c>
      <c r="W35" s="775">
        <f t="shared" si="14"/>
        <v>100</v>
      </c>
      <c r="X35" s="1815"/>
      <c r="Y35" s="3302"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02"/>
      <c r="Q36" s="1812" t="str">
        <f t="shared" si="11"/>
        <v>内部装修</v>
      </c>
      <c r="R36" s="774" t="s">
        <v>17</v>
      </c>
      <c r="S36" s="775">
        <f t="shared" si="12"/>
        <v>100</v>
      </c>
      <c r="T36" s="774" t="s">
        <v>17</v>
      </c>
      <c r="U36" s="775">
        <f t="shared" si="13"/>
        <v>100</v>
      </c>
      <c r="V36" s="774" t="s">
        <v>17</v>
      </c>
      <c r="W36" s="775">
        <f t="shared" si="14"/>
        <v>100</v>
      </c>
      <c r="X36" s="1815"/>
      <c r="Y36" s="3302"/>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02"/>
      <c r="Q37" s="1812" t="str">
        <f t="shared" si="11"/>
        <v>内部装修状况</v>
      </c>
      <c r="R37" s="774" t="s">
        <v>17</v>
      </c>
      <c r="S37" s="775">
        <f t="shared" si="12"/>
        <v>100</v>
      </c>
      <c r="T37" s="774" t="s">
        <v>17</v>
      </c>
      <c r="U37" s="775">
        <f t="shared" si="13"/>
        <v>100</v>
      </c>
      <c r="V37" s="774" t="s">
        <v>17</v>
      </c>
      <c r="W37" s="775">
        <f t="shared" si="14"/>
        <v>100</v>
      </c>
      <c r="X37" s="1815"/>
      <c r="Y37" s="330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02"/>
      <c r="Q38" s="776">
        <f t="shared" si="11"/>
        <v>111</v>
      </c>
      <c r="R38" s="777" t="s">
        <v>17</v>
      </c>
      <c r="S38" s="778">
        <f t="shared" si="12"/>
        <v>100</v>
      </c>
      <c r="T38" s="777" t="s">
        <v>17</v>
      </c>
      <c r="U38" s="778">
        <f t="shared" si="13"/>
        <v>100</v>
      </c>
      <c r="V38" s="777" t="s">
        <v>17</v>
      </c>
      <c r="W38" s="778">
        <f t="shared" si="14"/>
        <v>100</v>
      </c>
      <c r="X38" s="779"/>
      <c r="Y38" s="330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02"/>
      <c r="Q39" s="1812">
        <f t="shared" si="11"/>
        <v>111</v>
      </c>
      <c r="R39" s="774" t="s">
        <v>17</v>
      </c>
      <c r="S39" s="775">
        <f t="shared" si="12"/>
        <v>100</v>
      </c>
      <c r="T39" s="774" t="s">
        <v>17</v>
      </c>
      <c r="U39" s="775">
        <f t="shared" si="13"/>
        <v>100</v>
      </c>
      <c r="V39" s="774" t="s">
        <v>17</v>
      </c>
      <c r="W39" s="775">
        <f t="shared" si="14"/>
        <v>100</v>
      </c>
      <c r="X39" s="1815"/>
      <c r="Y39" s="3302"/>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3"/>
      <c r="Q40" s="1812">
        <f t="shared" si="11"/>
        <v>111</v>
      </c>
      <c r="R40" s="774" t="s">
        <v>17</v>
      </c>
      <c r="S40" s="775">
        <f t="shared" si="12"/>
        <v>100</v>
      </c>
      <c r="T40" s="774" t="s">
        <v>17</v>
      </c>
      <c r="U40" s="775">
        <f t="shared" si="13"/>
        <v>100</v>
      </c>
      <c r="V40" s="774" t="s">
        <v>17</v>
      </c>
      <c r="W40" s="775">
        <f t="shared" si="14"/>
        <v>100</v>
      </c>
      <c r="X40" s="1815"/>
      <c r="Y40" s="3303"/>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295" t="str">
        <f>A41</f>
        <v>成交单价（元/平方米）</v>
      </c>
      <c r="Q41" s="3295"/>
      <c r="R41" s="3296">
        <f>E41</f>
        <v>0</v>
      </c>
      <c r="S41" s="3296"/>
      <c r="T41" s="3296">
        <f>G41</f>
        <v>0</v>
      </c>
      <c r="U41" s="3296"/>
      <c r="V41" s="3296">
        <f>I41</f>
        <v>0</v>
      </c>
      <c r="W41" s="3296"/>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92" t="str">
        <f>A43</f>
        <v>估价对象XX用房的比较价值（楼面单价，元/平方米）</v>
      </c>
      <c r="Q43" s="3293"/>
      <c r="R43" s="3294" t="e">
        <f>IF(F1="售价",ROUND(AVERAGE(R42:V42),0),ROUND(AVERAGE(R42:V42),1))</f>
        <v>#DIV/0!</v>
      </c>
      <c r="S43" s="3294"/>
      <c r="T43" s="3294"/>
      <c r="U43" s="3294"/>
      <c r="V43" s="3294"/>
      <c r="W43" s="329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IF(C2="——",ROUND(C37*D3/10000,0),ROUND(C37*D3/10000,0)-D2)</f>
        <v>#DIV/0!</v>
      </c>
      <c r="C2" s="2585"/>
      <c r="D2" s="1127" t="e">
        <f ca="1">SUMIF(INDIRECT("'"&amp;F2&amp;"'"&amp;"!A:A"),"承租人权益价值",INDIRECT("'"&amp;F2&amp;"'"&amp;"!c:c"))</f>
        <v>#REF!</v>
      </c>
      <c r="E2" s="2586" t="s">
        <v>2321</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0" t="s">
        <v>2639</v>
      </c>
      <c r="D4" s="3311"/>
      <c r="E4" s="3312" t="s">
        <v>2640</v>
      </c>
      <c r="F4" s="3313"/>
      <c r="G4" s="3310" t="s">
        <v>2641</v>
      </c>
      <c r="H4" s="3311"/>
      <c r="I4" s="3310" t="s">
        <v>2642</v>
      </c>
      <c r="J4" s="3311"/>
      <c r="K4" s="610" t="s">
        <v>2643</v>
      </c>
      <c r="L4" s="1133"/>
      <c r="M4" s="1134"/>
      <c r="N4" s="1134"/>
      <c r="O4" s="1134"/>
      <c r="P4" s="3314" t="s">
        <v>2644</v>
      </c>
      <c r="Q4" s="3315"/>
      <c r="R4" s="3320" t="s">
        <v>2640</v>
      </c>
      <c r="S4" s="3321"/>
      <c r="T4" s="3320" t="s">
        <v>2641</v>
      </c>
      <c r="U4" s="3321"/>
      <c r="V4" s="3326" t="s">
        <v>2642</v>
      </c>
      <c r="W4" s="3326"/>
      <c r="X4" s="1815"/>
      <c r="Y4" s="3320" t="s">
        <v>2644</v>
      </c>
      <c r="Z4" s="3321"/>
      <c r="AA4" s="3307" t="s">
        <v>2640</v>
      </c>
      <c r="AB4" s="3308" t="s">
        <v>2641</v>
      </c>
      <c r="AC4" s="3307" t="s">
        <v>2642</v>
      </c>
    </row>
    <row r="5" spans="1:29" ht="15">
      <c r="A5" s="404"/>
      <c r="B5" s="405"/>
      <c r="C5" s="3329" t="s">
        <v>2535</v>
      </c>
      <c r="D5" s="3330"/>
      <c r="E5" s="3336" t="s">
        <v>2536</v>
      </c>
      <c r="F5" s="3337"/>
      <c r="G5" s="3329" t="s">
        <v>2537</v>
      </c>
      <c r="H5" s="3330"/>
      <c r="I5" s="3329" t="s">
        <v>2538</v>
      </c>
      <c r="J5" s="3330"/>
      <c r="K5" s="610"/>
      <c r="L5" s="1133"/>
      <c r="M5" s="1134"/>
      <c r="N5" s="1134"/>
      <c r="O5" s="1134"/>
      <c r="P5" s="3316"/>
      <c r="Q5" s="3317"/>
      <c r="R5" s="3322"/>
      <c r="S5" s="3323"/>
      <c r="T5" s="3322"/>
      <c r="U5" s="3323"/>
      <c r="V5" s="3326"/>
      <c r="W5" s="3326"/>
      <c r="X5" s="1815"/>
      <c r="Y5" s="3322"/>
      <c r="Z5" s="3323"/>
      <c r="AA5" s="3308"/>
      <c r="AB5" s="3308"/>
      <c r="AC5" s="3308"/>
    </row>
    <row r="6" spans="1:29" ht="15.75" thickBot="1">
      <c r="A6" s="406"/>
      <c r="B6" s="407"/>
      <c r="C6" s="3327" t="s">
        <v>2539</v>
      </c>
      <c r="D6" s="3328"/>
      <c r="E6" s="3334" t="s">
        <v>2539</v>
      </c>
      <c r="F6" s="3335"/>
      <c r="G6" s="3327" t="s">
        <v>2539</v>
      </c>
      <c r="H6" s="3328"/>
      <c r="I6" s="3327" t="s">
        <v>2539</v>
      </c>
      <c r="J6" s="3328"/>
      <c r="K6" s="610" t="s">
        <v>2540</v>
      </c>
      <c r="L6" s="1133"/>
      <c r="M6" s="1134"/>
      <c r="N6" s="1134"/>
      <c r="O6" s="1134"/>
      <c r="P6" s="3318"/>
      <c r="Q6" s="3319"/>
      <c r="R6" s="3322"/>
      <c r="S6" s="3323"/>
      <c r="T6" s="3324"/>
      <c r="U6" s="3325"/>
      <c r="V6" s="3326"/>
      <c r="W6" s="3326"/>
      <c r="X6" s="1815"/>
      <c r="Y6" s="3324"/>
      <c r="Z6" s="3325"/>
      <c r="AA6" s="3309"/>
      <c r="AB6" s="3309"/>
      <c r="AC6" s="3309"/>
    </row>
    <row r="7" spans="1:29" s="117" customFormat="1" ht="15.75" thickBot="1">
      <c r="A7" s="408" t="s">
        <v>2541</v>
      </c>
      <c r="B7" s="409"/>
      <c r="C7" s="410">
        <f>'数据-取费表'!B2</f>
        <v>43339</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331" t="s">
        <v>2542</v>
      </c>
      <c r="Q7" s="3333"/>
      <c r="R7" s="770" t="s">
        <v>17</v>
      </c>
      <c r="S7" s="771">
        <f t="shared" ref="S7:S14" si="0">F7</f>
        <v>0</v>
      </c>
      <c r="T7" s="770" t="s">
        <v>17</v>
      </c>
      <c r="U7" s="771">
        <f t="shared" ref="U7:U14" si="1">H7</f>
        <v>0</v>
      </c>
      <c r="V7" s="770" t="s">
        <v>17</v>
      </c>
      <c r="W7" s="771">
        <f t="shared" ref="W7:W14" si="2">J7</f>
        <v>0</v>
      </c>
      <c r="X7" s="772"/>
      <c r="Y7" s="3331" t="s">
        <v>2542</v>
      </c>
      <c r="Z7" s="3332"/>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31" t="s">
        <v>2545</v>
      </c>
      <c r="Q8" s="3332"/>
      <c r="R8" s="770" t="s">
        <v>17</v>
      </c>
      <c r="S8" s="771">
        <f t="shared" si="0"/>
        <v>0</v>
      </c>
      <c r="T8" s="770" t="s">
        <v>17</v>
      </c>
      <c r="U8" s="771">
        <f t="shared" si="1"/>
        <v>0</v>
      </c>
      <c r="V8" s="770" t="s">
        <v>17</v>
      </c>
      <c r="W8" s="771">
        <f t="shared" si="2"/>
        <v>0</v>
      </c>
      <c r="X8" s="772"/>
      <c r="Y8" s="3331" t="s">
        <v>2545</v>
      </c>
      <c r="Z8" s="3332"/>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95" t="s">
        <v>2548</v>
      </c>
      <c r="Q9" s="1797" t="str">
        <f t="shared" ref="Q9:Q14" si="6">B9</f>
        <v>用途</v>
      </c>
      <c r="R9" s="770" t="s">
        <v>17</v>
      </c>
      <c r="S9" s="771">
        <f t="shared" si="0"/>
        <v>100</v>
      </c>
      <c r="T9" s="770" t="s">
        <v>17</v>
      </c>
      <c r="U9" s="771">
        <f t="shared" si="1"/>
        <v>100</v>
      </c>
      <c r="V9" s="770" t="s">
        <v>17</v>
      </c>
      <c r="W9" s="771">
        <f t="shared" si="2"/>
        <v>100</v>
      </c>
      <c r="X9" s="772"/>
      <c r="Y9" s="310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95"/>
      <c r="Q10" s="1797"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95"/>
      <c r="Q11" s="1797">
        <f t="shared" si="6"/>
        <v>111</v>
      </c>
      <c r="R11" s="770" t="s">
        <v>17</v>
      </c>
      <c r="S11" s="771">
        <f t="shared" si="0"/>
        <v>100</v>
      </c>
      <c r="T11" s="770" t="s">
        <v>17</v>
      </c>
      <c r="U11" s="771">
        <f t="shared" si="1"/>
        <v>100</v>
      </c>
      <c r="V11" s="770" t="s">
        <v>17</v>
      </c>
      <c r="W11" s="771">
        <f t="shared" si="2"/>
        <v>100</v>
      </c>
      <c r="X11" s="772"/>
      <c r="Y11" s="310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95"/>
      <c r="Q12" s="1797">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95"/>
      <c r="Q13" s="1797">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
      <c r="A14" s="440" t="s">
        <v>2552</v>
      </c>
      <c r="B14" s="69" t="s">
        <v>2702</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97" t="s">
        <v>2553</v>
      </c>
      <c r="Q14" s="1812" t="str">
        <f t="shared" si="6"/>
        <v>交通便捷度</v>
      </c>
      <c r="R14" s="774" t="s">
        <v>17</v>
      </c>
      <c r="S14" s="775">
        <f t="shared" si="0"/>
        <v>100</v>
      </c>
      <c r="T14" s="774" t="s">
        <v>17</v>
      </c>
      <c r="U14" s="775">
        <f t="shared" si="1"/>
        <v>100</v>
      </c>
      <c r="V14" s="774" t="s">
        <v>17</v>
      </c>
      <c r="W14" s="775">
        <f t="shared" si="2"/>
        <v>100</v>
      </c>
      <c r="X14" s="1815"/>
      <c r="Y14" s="3297"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98"/>
      <c r="Q15" s="1812"/>
      <c r="R15" s="774"/>
      <c r="S15" s="775"/>
      <c r="T15" s="774"/>
      <c r="U15" s="775"/>
      <c r="V15" s="774"/>
      <c r="W15" s="775"/>
      <c r="X15" s="1815"/>
      <c r="Y15" s="3298"/>
      <c r="Z15" s="1816"/>
      <c r="AA15" s="1813">
        <v>1</v>
      </c>
      <c r="AB15" s="1813">
        <v>1</v>
      </c>
      <c r="AC15" s="1813">
        <v>1</v>
      </c>
    </row>
    <row r="16" spans="1:29" ht="15">
      <c r="A16" s="428"/>
      <c r="B16" s="451" t="s">
        <v>2681</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98"/>
      <c r="Q16" s="1812" t="str">
        <f>B16</f>
        <v>公共配套设施</v>
      </c>
      <c r="R16" s="774" t="s">
        <v>17</v>
      </c>
      <c r="S16" s="775">
        <f>F16</f>
        <v>100</v>
      </c>
      <c r="T16" s="774" t="s">
        <v>17</v>
      </c>
      <c r="U16" s="775">
        <f>H16</f>
        <v>100</v>
      </c>
      <c r="V16" s="774" t="s">
        <v>17</v>
      </c>
      <c r="W16" s="775">
        <f>J16</f>
        <v>100</v>
      </c>
      <c r="X16" s="1815"/>
      <c r="Y16" s="3298"/>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298"/>
      <c r="Q17" s="1812"/>
      <c r="R17" s="774"/>
      <c r="S17" s="775"/>
      <c r="T17" s="774"/>
      <c r="U17" s="775"/>
      <c r="V17" s="774"/>
      <c r="W17" s="775"/>
      <c r="X17" s="1815"/>
      <c r="Y17" s="3298"/>
      <c r="Z17" s="1816"/>
      <c r="AA17" s="1813">
        <v>1</v>
      </c>
      <c r="AB17" s="1813">
        <v>1</v>
      </c>
      <c r="AC17" s="1813">
        <v>1</v>
      </c>
    </row>
    <row r="18" spans="1:29" ht="15">
      <c r="A18" s="428"/>
      <c r="B18" s="1387" t="s">
        <v>2682</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98"/>
      <c r="Q18" s="1812" t="str">
        <f>B18</f>
        <v>基础设施水平</v>
      </c>
      <c r="R18" s="774" t="s">
        <v>17</v>
      </c>
      <c r="S18" s="775">
        <f>F18</f>
        <v>100</v>
      </c>
      <c r="T18" s="774" t="s">
        <v>17</v>
      </c>
      <c r="U18" s="775">
        <f>H18</f>
        <v>100</v>
      </c>
      <c r="V18" s="774" t="s">
        <v>17</v>
      </c>
      <c r="W18" s="775">
        <f>J18</f>
        <v>100</v>
      </c>
      <c r="X18" s="1815"/>
      <c r="Y18" s="3298"/>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298"/>
      <c r="Q19" s="1812"/>
      <c r="R19" s="774"/>
      <c r="S19" s="775"/>
      <c r="T19" s="774"/>
      <c r="U19" s="775"/>
      <c r="V19" s="774"/>
      <c r="W19" s="775"/>
      <c r="X19" s="1815"/>
      <c r="Y19" s="3298"/>
      <c r="Z19" s="1816"/>
      <c r="AA19" s="1813">
        <v>1</v>
      </c>
      <c r="AB19" s="1813">
        <v>1</v>
      </c>
      <c r="AC19" s="1813">
        <v>1</v>
      </c>
    </row>
    <row r="20" spans="1:29" ht="15">
      <c r="A20" s="428"/>
      <c r="B20" s="451" t="s">
        <v>2703</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98"/>
      <c r="Q20" s="1812" t="str">
        <f>B20</f>
        <v>自然及人文环境</v>
      </c>
      <c r="R20" s="774" t="s">
        <v>17</v>
      </c>
      <c r="S20" s="775">
        <f>F20</f>
        <v>100</v>
      </c>
      <c r="T20" s="774" t="s">
        <v>17</v>
      </c>
      <c r="U20" s="775">
        <f>H20</f>
        <v>100</v>
      </c>
      <c r="V20" s="774" t="s">
        <v>17</v>
      </c>
      <c r="W20" s="775">
        <f>J20</f>
        <v>100</v>
      </c>
      <c r="X20" s="1815"/>
      <c r="Y20" s="329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98"/>
      <c r="Q21" s="1812"/>
      <c r="R21" s="774"/>
      <c r="S21" s="775"/>
      <c r="T21" s="774"/>
      <c r="U21" s="775"/>
      <c r="V21" s="774"/>
      <c r="W21" s="775"/>
      <c r="X21" s="1815"/>
      <c r="Y21" s="3298"/>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98"/>
      <c r="Q22" s="1812" t="str">
        <f>B22</f>
        <v>楼层</v>
      </c>
      <c r="R22" s="774" t="s">
        <v>17</v>
      </c>
      <c r="S22" s="775">
        <f>F22</f>
        <v>100</v>
      </c>
      <c r="T22" s="774" t="s">
        <v>17</v>
      </c>
      <c r="U22" s="775">
        <f>H22</f>
        <v>100</v>
      </c>
      <c r="V22" s="774" t="s">
        <v>17</v>
      </c>
      <c r="W22" s="775">
        <f>J22</f>
        <v>100</v>
      </c>
      <c r="X22" s="1815"/>
      <c r="Y22" s="3298"/>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98"/>
      <c r="Q23" s="1812">
        <f>B23</f>
        <v>111</v>
      </c>
      <c r="R23" s="774" t="s">
        <v>17</v>
      </c>
      <c r="S23" s="775">
        <f>F23</f>
        <v>100</v>
      </c>
      <c r="T23" s="774" t="s">
        <v>17</v>
      </c>
      <c r="U23" s="775">
        <f>H23</f>
        <v>100</v>
      </c>
      <c r="V23" s="774" t="s">
        <v>17</v>
      </c>
      <c r="W23" s="775">
        <f>J23</f>
        <v>100</v>
      </c>
      <c r="X23" s="1815"/>
      <c r="Y23" s="3298"/>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98"/>
      <c r="Q24" s="1812">
        <f t="shared" ref="Q24:Q34" si="11">B24</f>
        <v>111</v>
      </c>
      <c r="R24" s="774" t="s">
        <v>17</v>
      </c>
      <c r="S24" s="775">
        <f>F24</f>
        <v>100</v>
      </c>
      <c r="T24" s="774" t="s">
        <v>17</v>
      </c>
      <c r="U24" s="775">
        <f>H24</f>
        <v>100</v>
      </c>
      <c r="V24" s="774" t="s">
        <v>17</v>
      </c>
      <c r="W24" s="775">
        <f>J24</f>
        <v>100</v>
      </c>
      <c r="X24" s="1815"/>
      <c r="Y24" s="3298"/>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98"/>
      <c r="Q25" s="1797">
        <f t="shared" si="11"/>
        <v>111</v>
      </c>
      <c r="R25" s="770" t="s">
        <v>17</v>
      </c>
      <c r="S25" s="771">
        <f>F25</f>
        <v>100</v>
      </c>
      <c r="T25" s="770" t="s">
        <v>17</v>
      </c>
      <c r="U25" s="771">
        <f>H25</f>
        <v>100</v>
      </c>
      <c r="V25" s="770" t="s">
        <v>17</v>
      </c>
      <c r="W25" s="771">
        <f>J25</f>
        <v>100</v>
      </c>
      <c r="X25" s="772"/>
      <c r="Y25" s="3298"/>
      <c r="Z25" s="55">
        <f>Q25</f>
        <v>111</v>
      </c>
      <c r="AA25" s="1813">
        <f>D25/F25</f>
        <v>1</v>
      </c>
      <c r="AB25" s="1813">
        <f>D25/H25</f>
        <v>1</v>
      </c>
      <c r="AC25" s="1813">
        <f>D25/J25</f>
        <v>1</v>
      </c>
    </row>
    <row r="26" spans="1:29" ht="1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353"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302"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02"/>
      <c r="Q27" s="776" t="str">
        <f t="shared" si="11"/>
        <v>成新率</v>
      </c>
      <c r="R27" s="777" t="s">
        <v>17</v>
      </c>
      <c r="S27" s="778" t="e">
        <f t="shared" si="12"/>
        <v>#N/A</v>
      </c>
      <c r="T27" s="777" t="s">
        <v>17</v>
      </c>
      <c r="U27" s="778" t="e">
        <f t="shared" si="13"/>
        <v>#N/A</v>
      </c>
      <c r="V27" s="777" t="s">
        <v>17</v>
      </c>
      <c r="W27" s="778" t="e">
        <f t="shared" si="14"/>
        <v>#N/A</v>
      </c>
      <c r="X27" s="779"/>
      <c r="Y27" s="3302"/>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02"/>
      <c r="Q28" s="1812" t="str">
        <f t="shared" si="11"/>
        <v>物业等级</v>
      </c>
      <c r="R28" s="774" t="s">
        <v>17</v>
      </c>
      <c r="S28" s="775">
        <f t="shared" si="12"/>
        <v>100</v>
      </c>
      <c r="T28" s="774" t="s">
        <v>17</v>
      </c>
      <c r="U28" s="775">
        <f t="shared" si="13"/>
        <v>100</v>
      </c>
      <c r="V28" s="774" t="s">
        <v>17</v>
      </c>
      <c r="W28" s="775">
        <f t="shared" si="14"/>
        <v>100</v>
      </c>
      <c r="X28" s="1815"/>
      <c r="Y28" s="3302"/>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02"/>
      <c r="Q29" s="1812" t="str">
        <f t="shared" si="11"/>
        <v>有无电梯</v>
      </c>
      <c r="R29" s="774" t="s">
        <v>17</v>
      </c>
      <c r="S29" s="775">
        <f t="shared" si="12"/>
        <v>100</v>
      </c>
      <c r="T29" s="774" t="s">
        <v>17</v>
      </c>
      <c r="U29" s="775">
        <f t="shared" si="13"/>
        <v>100</v>
      </c>
      <c r="V29" s="774" t="s">
        <v>17</v>
      </c>
      <c r="W29" s="775">
        <f t="shared" si="14"/>
        <v>100</v>
      </c>
      <c r="X29" s="1815"/>
      <c r="Y29" s="3302"/>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02"/>
      <c r="Q30" s="1812" t="str">
        <f t="shared" si="11"/>
        <v>建筑面积</v>
      </c>
      <c r="R30" s="774" t="s">
        <v>17</v>
      </c>
      <c r="S30" s="775" t="e">
        <f t="shared" si="12"/>
        <v>#N/A</v>
      </c>
      <c r="T30" s="774" t="s">
        <v>17</v>
      </c>
      <c r="U30" s="775" t="e">
        <f t="shared" si="13"/>
        <v>#N/A</v>
      </c>
      <c r="V30" s="774" t="s">
        <v>17</v>
      </c>
      <c r="W30" s="775" t="e">
        <f t="shared" si="14"/>
        <v>#N/A</v>
      </c>
      <c r="X30" s="1815"/>
      <c r="Y30" s="3302"/>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02"/>
      <c r="Q31" s="1797" t="str">
        <f t="shared" si="11"/>
        <v>是否封闭</v>
      </c>
      <c r="R31" s="770" t="s">
        <v>17</v>
      </c>
      <c r="S31" s="771">
        <f t="shared" si="12"/>
        <v>100</v>
      </c>
      <c r="T31" s="770" t="s">
        <v>17</v>
      </c>
      <c r="U31" s="771">
        <f t="shared" si="13"/>
        <v>100</v>
      </c>
      <c r="V31" s="770" t="s">
        <v>17</v>
      </c>
      <c r="W31" s="771">
        <f t="shared" si="14"/>
        <v>100</v>
      </c>
      <c r="X31" s="772"/>
      <c r="Y31" s="330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02" t="s">
        <v>2558</v>
      </c>
      <c r="Q32" s="1812">
        <f t="shared" si="11"/>
        <v>111</v>
      </c>
      <c r="R32" s="774" t="s">
        <v>17</v>
      </c>
      <c r="S32" s="775">
        <f t="shared" si="12"/>
        <v>100</v>
      </c>
      <c r="T32" s="774" t="s">
        <v>17</v>
      </c>
      <c r="U32" s="775">
        <f t="shared" si="13"/>
        <v>100</v>
      </c>
      <c r="V32" s="774" t="s">
        <v>17</v>
      </c>
      <c r="W32" s="775">
        <f t="shared" si="14"/>
        <v>100</v>
      </c>
      <c r="X32" s="1815"/>
      <c r="Y32" s="3302" t="s">
        <v>2558</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02"/>
      <c r="Q33" s="1812">
        <f t="shared" si="11"/>
        <v>111</v>
      </c>
      <c r="R33" s="774" t="s">
        <v>17</v>
      </c>
      <c r="S33" s="775">
        <f t="shared" si="12"/>
        <v>100</v>
      </c>
      <c r="T33" s="774" t="s">
        <v>17</v>
      </c>
      <c r="U33" s="775">
        <f t="shared" si="13"/>
        <v>100</v>
      </c>
      <c r="V33" s="774" t="s">
        <v>17</v>
      </c>
      <c r="W33" s="775">
        <f t="shared" si="14"/>
        <v>100</v>
      </c>
      <c r="X33" s="1815"/>
      <c r="Y33" s="3302"/>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302"/>
      <c r="Q34" s="1812">
        <f t="shared" si="11"/>
        <v>111</v>
      </c>
      <c r="R34" s="774" t="s">
        <v>17</v>
      </c>
      <c r="S34" s="775">
        <f t="shared" si="12"/>
        <v>100</v>
      </c>
      <c r="T34" s="774" t="s">
        <v>17</v>
      </c>
      <c r="U34" s="775">
        <f t="shared" si="13"/>
        <v>100</v>
      </c>
      <c r="V34" s="774" t="s">
        <v>17</v>
      </c>
      <c r="W34" s="775">
        <f t="shared" si="14"/>
        <v>100</v>
      </c>
      <c r="X34" s="1815"/>
      <c r="Y34" s="3302"/>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295" t="str">
        <f>A35</f>
        <v>成交单价（元/平方米）</v>
      </c>
      <c r="Q35" s="3295"/>
      <c r="R35" s="3296">
        <f>E35</f>
        <v>0</v>
      </c>
      <c r="S35" s="3296"/>
      <c r="T35" s="3296">
        <f>G35</f>
        <v>0</v>
      </c>
      <c r="U35" s="3296"/>
      <c r="V35" s="3296">
        <f>I35</f>
        <v>0</v>
      </c>
      <c r="W35" s="3296"/>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92" t="str">
        <f>A37</f>
        <v>估价对象XX用房的比较价值（楼面单价，元/平方米）</v>
      </c>
      <c r="Q37" s="3293"/>
      <c r="R37" s="3294" t="e">
        <f>IF(F1="售价",ROUND(AVERAGE(R36:V36),0),ROUND(AVERAGE(R36:V36),1))</f>
        <v>#DIV/0!</v>
      </c>
      <c r="S37" s="3294"/>
      <c r="T37" s="3294"/>
      <c r="U37" s="3294"/>
      <c r="V37" s="3294"/>
      <c r="W37" s="329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4" stopIfTrue="1" operator="containsText" text="超过">
      <formula>NOT(ISERROR(SEARCH("超过",F40)))</formula>
    </cfRule>
  </conditionalFormatting>
  <conditionalFormatting sqref="J42">
    <cfRule type="containsText" dxfId="84" priority="13" stopIfTrue="1" operator="containsText" text="超过">
      <formula>NOT(ISERROR(SEARCH("超过",J42)))</formula>
    </cfRule>
  </conditionalFormatting>
  <conditionalFormatting sqref="H42">
    <cfRule type="containsText" dxfId="83" priority="12" stopIfTrue="1" operator="containsText" text="超过">
      <formula>NOT(ISERROR(SEARCH("超过",H42)))</formula>
    </cfRule>
  </conditionalFormatting>
  <conditionalFormatting sqref="F42">
    <cfRule type="containsText" dxfId="82" priority="11" stopIfTrue="1" operator="containsText" text="超过">
      <formula>NOT(ISERROR(SEARCH("超过",F42)))</formula>
    </cfRule>
  </conditionalFormatting>
  <conditionalFormatting sqref="F41 H41 J41">
    <cfRule type="containsText" dxfId="81" priority="10" stopIfTrue="1" operator="containsText" text="超过">
      <formula>NOT(ISERROR(SEARCH("超过",F41)))</formula>
    </cfRule>
  </conditionalFormatting>
  <conditionalFormatting sqref="E40">
    <cfRule type="expression" dxfId="80" priority="9" stopIfTrue="1">
      <formula>$F$40="超过30%"</formula>
    </cfRule>
  </conditionalFormatting>
  <conditionalFormatting sqref="G42">
    <cfRule type="expression" dxfId="79" priority="8" stopIfTrue="1">
      <formula>$H$54+$H$42="超过30%"</formula>
    </cfRule>
  </conditionalFormatting>
  <conditionalFormatting sqref="E41">
    <cfRule type="expression" dxfId="78" priority="7" stopIfTrue="1">
      <formula>$F$41="超过20%"</formula>
    </cfRule>
  </conditionalFormatting>
  <conditionalFormatting sqref="E42">
    <cfRule type="expression" dxfId="77" priority="6" stopIfTrue="1">
      <formula>$F$42="超过30%"</formula>
    </cfRule>
  </conditionalFormatting>
  <conditionalFormatting sqref="G40">
    <cfRule type="expression" dxfId="76" priority="5" stopIfTrue="1">
      <formula>$H$52+$H$40="超过30%"</formula>
    </cfRule>
  </conditionalFormatting>
  <conditionalFormatting sqref="G41">
    <cfRule type="expression" dxfId="75" priority="4" stopIfTrue="1">
      <formula>$H$53+$H$41="超过20%"</formula>
    </cfRule>
  </conditionalFormatting>
  <conditionalFormatting sqref="I40">
    <cfRule type="expression" dxfId="74" priority="3" stopIfTrue="1">
      <formula>$J$40="超过30%"</formula>
    </cfRule>
  </conditionalFormatting>
  <conditionalFormatting sqref="I41">
    <cfRule type="expression" dxfId="73" priority="2" stopIfTrue="1">
      <formula>$J$41="超过20%"</formula>
    </cfRule>
  </conditionalFormatting>
  <conditionalFormatting sqref="I42">
    <cfRule type="expression" dxfId="7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D77" sqref="D7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9454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3070</v>
      </c>
      <c r="C3" s="247" t="s">
        <v>2737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310" t="s">
        <v>2639</v>
      </c>
      <c r="D4" s="3311"/>
      <c r="E4" s="3312" t="s">
        <v>2640</v>
      </c>
      <c r="F4" s="3313"/>
      <c r="G4" s="3310" t="s">
        <v>2641</v>
      </c>
      <c r="H4" s="3311"/>
      <c r="I4" s="3310" t="s">
        <v>2642</v>
      </c>
      <c r="J4" s="3311"/>
      <c r="K4" s="610" t="s">
        <v>2643</v>
      </c>
      <c r="L4" s="1133"/>
      <c r="M4" s="1134"/>
      <c r="N4" s="1134"/>
      <c r="O4" s="1134"/>
      <c r="P4" s="3314" t="s">
        <v>2644</v>
      </c>
      <c r="Q4" s="3315"/>
      <c r="R4" s="3320" t="s">
        <v>2640</v>
      </c>
      <c r="S4" s="3321"/>
      <c r="T4" s="3320" t="s">
        <v>2641</v>
      </c>
      <c r="U4" s="3321"/>
      <c r="V4" s="3326" t="s">
        <v>2642</v>
      </c>
      <c r="W4" s="3326"/>
      <c r="X4" s="1815"/>
      <c r="Y4" s="3320" t="s">
        <v>2644</v>
      </c>
      <c r="Z4" s="3321"/>
      <c r="AA4" s="3307" t="s">
        <v>2640</v>
      </c>
      <c r="AB4" s="3308" t="s">
        <v>2641</v>
      </c>
      <c r="AC4" s="3307" t="s">
        <v>2642</v>
      </c>
    </row>
    <row r="5" spans="1:30" ht="15">
      <c r="A5" s="404"/>
      <c r="B5" s="405"/>
      <c r="C5" s="3360" t="s">
        <v>3413</v>
      </c>
      <c r="D5" s="3361"/>
      <c r="E5" s="3364" t="str">
        <f>土地案例!A2</f>
        <v>梅山保税港区37-5号地块</v>
      </c>
      <c r="F5" s="3365"/>
      <c r="G5" s="3360" t="str">
        <f>土地案例!A4</f>
        <v>梅山保税港区37-3号地块</v>
      </c>
      <c r="H5" s="3361"/>
      <c r="I5" s="3360" t="str">
        <f>土地案例!A5</f>
        <v>梅山保税港区42-2号地块</v>
      </c>
      <c r="J5" s="3361"/>
      <c r="K5" s="610"/>
      <c r="L5" s="1133"/>
      <c r="M5" s="1134"/>
      <c r="N5" s="1134"/>
      <c r="O5" s="1134"/>
      <c r="P5" s="3316"/>
      <c r="Q5" s="3317"/>
      <c r="R5" s="3322"/>
      <c r="S5" s="3323"/>
      <c r="T5" s="3322"/>
      <c r="U5" s="3323"/>
      <c r="V5" s="3326"/>
      <c r="W5" s="3326"/>
      <c r="X5" s="1815"/>
      <c r="Y5" s="3322"/>
      <c r="Z5" s="3323"/>
      <c r="AA5" s="3308"/>
      <c r="AB5" s="3308"/>
      <c r="AC5" s="3308"/>
    </row>
    <row r="6" spans="1:30" ht="15.75" thickBot="1">
      <c r="A6" s="406"/>
      <c r="B6" s="407"/>
      <c r="C6" s="3358" t="s">
        <v>2784</v>
      </c>
      <c r="D6" s="3359"/>
      <c r="E6" s="3362" t="s">
        <v>2784</v>
      </c>
      <c r="F6" s="3363"/>
      <c r="G6" s="3358" t="s">
        <v>2784</v>
      </c>
      <c r="H6" s="3359"/>
      <c r="I6" s="3358" t="s">
        <v>2784</v>
      </c>
      <c r="J6" s="3359"/>
      <c r="K6" s="610" t="s">
        <v>2540</v>
      </c>
      <c r="L6" s="1133"/>
      <c r="M6" s="1134"/>
      <c r="N6" s="1134"/>
      <c r="O6" s="1134"/>
      <c r="P6" s="3318"/>
      <c r="Q6" s="3319"/>
      <c r="R6" s="3322"/>
      <c r="S6" s="3323"/>
      <c r="T6" s="3324"/>
      <c r="U6" s="3325"/>
      <c r="V6" s="3326"/>
      <c r="W6" s="3326"/>
      <c r="X6" s="1815"/>
      <c r="Y6" s="3324"/>
      <c r="Z6" s="3325"/>
      <c r="AA6" s="3309"/>
      <c r="AB6" s="3309"/>
      <c r="AC6" s="3309"/>
    </row>
    <row r="7" spans="1:30" s="117" customFormat="1" ht="15.75" thickBot="1">
      <c r="A7" s="408" t="s">
        <v>2541</v>
      </c>
      <c r="B7" s="409"/>
      <c r="C7" s="410">
        <f>'数据-取费表'!B2</f>
        <v>43339</v>
      </c>
      <c r="D7" s="411">
        <v>100</v>
      </c>
      <c r="E7" s="412" t="str">
        <f>土地案例!I2</f>
        <v>2017-06-14</v>
      </c>
      <c r="F7" s="413">
        <f>SUMIF(70:70,YEAR(E7)&amp;"-"&amp;INT((MONTH(E7)+2)/3),71:71)</f>
        <v>100</v>
      </c>
      <c r="G7" s="2695" t="str">
        <f>土地案例!I4</f>
        <v>2016-09-02</v>
      </c>
      <c r="H7" s="411">
        <f>SUMIF(70:70,YEAR(G7)&amp;"-"&amp;INT((MONTH(G7)+2)/3),71:71)</f>
        <v>100</v>
      </c>
      <c r="I7" s="2695" t="str">
        <f>土地案例!I5</f>
        <v>2016-08-05</v>
      </c>
      <c r="J7" s="411">
        <f>SUMIF(70:70,YEAR(I7)&amp;"-"&amp;INT((MONTH(I7)+2)/3),71:71)</f>
        <v>100</v>
      </c>
      <c r="K7" s="611"/>
      <c r="L7" s="1135"/>
      <c r="M7" s="1136"/>
      <c r="N7" s="1136"/>
      <c r="O7" s="1136"/>
      <c r="P7" s="3331" t="s">
        <v>2542</v>
      </c>
      <c r="Q7" s="3333"/>
      <c r="R7" s="770" t="s">
        <v>17</v>
      </c>
      <c r="S7" s="771">
        <f t="shared" ref="S7:S15" si="0">F7</f>
        <v>100</v>
      </c>
      <c r="T7" s="770" t="s">
        <v>17</v>
      </c>
      <c r="U7" s="771">
        <f t="shared" ref="U7:U15" si="1">H7</f>
        <v>100</v>
      </c>
      <c r="V7" s="770" t="s">
        <v>17</v>
      </c>
      <c r="W7" s="771">
        <f t="shared" ref="W7:W15" si="2">J7</f>
        <v>100</v>
      </c>
      <c r="X7" s="772"/>
      <c r="Y7" s="3331" t="s">
        <v>2542</v>
      </c>
      <c r="Z7" s="3332"/>
      <c r="AA7" s="773">
        <f>D7/F7</f>
        <v>1</v>
      </c>
      <c r="AB7" s="773">
        <f>D7/H7</f>
        <v>1</v>
      </c>
      <c r="AC7" s="773">
        <f>D7/J7</f>
        <v>1</v>
      </c>
    </row>
    <row r="8" spans="1:30" s="117" customFormat="1" ht="15.75" thickBot="1">
      <c r="A8" s="408" t="s">
        <v>2543</v>
      </c>
      <c r="B8" s="409"/>
      <c r="C8" s="414" t="s">
        <v>2544</v>
      </c>
      <c r="D8" s="411">
        <v>100</v>
      </c>
      <c r="E8" s="414" t="s">
        <v>3414</v>
      </c>
      <c r="F8" s="413">
        <f>SUMIF(73:73,E8,74:74)-SUMIF(73:73,C8,74:74)+100</f>
        <v>100</v>
      </c>
      <c r="G8" s="414" t="s">
        <v>3414</v>
      </c>
      <c r="H8" s="411">
        <f>SUMIF(73:73,G8,74:74)-SUMIF(73:73,C8,74:74)+100</f>
        <v>100</v>
      </c>
      <c r="I8" s="414" t="s">
        <v>3414</v>
      </c>
      <c r="J8" s="411">
        <f>SUMIF(73:73,I8,74:74)-SUMIF(73:73,C8,74:74)+100</f>
        <v>100</v>
      </c>
      <c r="K8" s="611"/>
      <c r="L8" s="1135"/>
      <c r="M8" s="1136"/>
      <c r="N8" s="1136"/>
      <c r="O8" s="1136"/>
      <c r="P8" s="3331" t="s">
        <v>2545</v>
      </c>
      <c r="Q8" s="3332"/>
      <c r="R8" s="770" t="s">
        <v>17</v>
      </c>
      <c r="S8" s="771">
        <f t="shared" si="0"/>
        <v>100</v>
      </c>
      <c r="T8" s="770" t="s">
        <v>17</v>
      </c>
      <c r="U8" s="771">
        <f t="shared" si="1"/>
        <v>100</v>
      </c>
      <c r="V8" s="770" t="s">
        <v>17</v>
      </c>
      <c r="W8" s="771">
        <f t="shared" si="2"/>
        <v>100</v>
      </c>
      <c r="X8" s="772"/>
      <c r="Y8" s="3331" t="s">
        <v>2545</v>
      </c>
      <c r="Z8" s="3332"/>
      <c r="AA8" s="773">
        <f t="shared" ref="AA8:AA45" si="3">D8/F8</f>
        <v>1</v>
      </c>
      <c r="AB8" s="773">
        <f t="shared" ref="AB8:AB45" si="4">D8/H8</f>
        <v>1</v>
      </c>
      <c r="AC8" s="773">
        <f t="shared" ref="AC8:AC45" si="5">D8/J8</f>
        <v>1</v>
      </c>
    </row>
    <row r="9" spans="1:30" s="117" customFormat="1">
      <c r="A9" s="415" t="s">
        <v>2546</v>
      </c>
      <c r="B9" s="71" t="s">
        <v>2547</v>
      </c>
      <c r="C9" s="2698" t="s">
        <v>3450</v>
      </c>
      <c r="D9" s="135">
        <v>100</v>
      </c>
      <c r="E9" s="2698" t="s">
        <v>3452</v>
      </c>
      <c r="F9" s="135">
        <f>SUMIF(75:75,E9,76:76)-SUMIF(75:75,C9,76:76)+100</f>
        <v>110</v>
      </c>
      <c r="G9" s="2698" t="s">
        <v>3452</v>
      </c>
      <c r="H9" s="135">
        <f>SUMIF(75:75,G9,76:76)-SUMIF(75:75,C9,76:76)+100</f>
        <v>110</v>
      </c>
      <c r="I9" s="2698" t="s">
        <v>3452</v>
      </c>
      <c r="J9" s="135">
        <f>SUMIF(75:75,I9,76:76)-SUMIF(75:75,C9,76:76)+100</f>
        <v>110</v>
      </c>
      <c r="K9" s="611"/>
      <c r="L9" s="1135"/>
      <c r="M9" s="1136"/>
      <c r="N9" s="1136"/>
      <c r="O9" s="1137"/>
      <c r="P9" s="3295" t="s">
        <v>2548</v>
      </c>
      <c r="Q9" s="1797" t="str">
        <f t="shared" ref="Q9:Q15" si="6">B9</f>
        <v>用途</v>
      </c>
      <c r="R9" s="770" t="s">
        <v>17</v>
      </c>
      <c r="S9" s="771">
        <f t="shared" si="0"/>
        <v>110</v>
      </c>
      <c r="T9" s="770" t="s">
        <v>17</v>
      </c>
      <c r="U9" s="771">
        <f t="shared" si="1"/>
        <v>110</v>
      </c>
      <c r="V9" s="770" t="s">
        <v>17</v>
      </c>
      <c r="W9" s="771">
        <f t="shared" si="2"/>
        <v>110</v>
      </c>
      <c r="X9" s="772"/>
      <c r="Y9" s="3101" t="s">
        <v>2549</v>
      </c>
      <c r="Z9" s="55" t="str">
        <f t="shared" ref="Z9:Z15" si="7">Q9</f>
        <v>用途</v>
      </c>
      <c r="AA9" s="773">
        <f t="shared" si="3"/>
        <v>0.90909090909090906</v>
      </c>
      <c r="AB9" s="773">
        <f t="shared" si="4"/>
        <v>0.90909090909090906</v>
      </c>
      <c r="AC9" s="773">
        <f t="shared" si="5"/>
        <v>0.90909090909090906</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95"/>
      <c r="Q10" s="1797" t="str">
        <f t="shared" si="6"/>
        <v>土地使用年限（年）</v>
      </c>
      <c r="R10" s="770" t="s">
        <v>17</v>
      </c>
      <c r="S10" s="771">
        <f t="shared" si="0"/>
        <v>105</v>
      </c>
      <c r="T10" s="770" t="s">
        <v>17</v>
      </c>
      <c r="U10" s="771">
        <f t="shared" si="1"/>
        <v>105</v>
      </c>
      <c r="V10" s="770" t="s">
        <v>17</v>
      </c>
      <c r="W10" s="771">
        <f t="shared" si="2"/>
        <v>105</v>
      </c>
      <c r="X10" s="772"/>
      <c r="Y10" s="3101"/>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f>面积表!L9</f>
        <v>0.49</v>
      </c>
      <c r="D11" s="136">
        <v>100</v>
      </c>
      <c r="E11" s="429">
        <f>土地案例!G2</f>
        <v>3</v>
      </c>
      <c r="F11" s="136">
        <f>LOOKUP(E11,80:80,81:81)-LOOKUP(C11,80:80,81:81)+100</f>
        <v>115</v>
      </c>
      <c r="G11" s="430">
        <f>土地案例!G4</f>
        <v>2.6999999999999997</v>
      </c>
      <c r="H11" s="136">
        <f>LOOKUP(G11,80:80,81:81)-LOOKUP(C11,80:80,81:81)+100</f>
        <v>110</v>
      </c>
      <c r="I11" s="429">
        <f>土地案例!G5</f>
        <v>3.1</v>
      </c>
      <c r="J11" s="136">
        <f>LOOKUP(I11,80:80,81:81)-LOOKUP(C11,80:80,81:81)+100</f>
        <v>115</v>
      </c>
      <c r="K11" s="673">
        <v>5</v>
      </c>
      <c r="L11" s="1141"/>
      <c r="M11" s="1134"/>
      <c r="N11" s="1134"/>
      <c r="O11" s="1142"/>
      <c r="P11" s="3295"/>
      <c r="Q11" s="1797" t="str">
        <f t="shared" si="6"/>
        <v>容积率</v>
      </c>
      <c r="R11" s="770" t="s">
        <v>17</v>
      </c>
      <c r="S11" s="771">
        <f t="shared" si="0"/>
        <v>115</v>
      </c>
      <c r="T11" s="770" t="s">
        <v>17</v>
      </c>
      <c r="U11" s="771">
        <f t="shared" si="1"/>
        <v>110</v>
      </c>
      <c r="V11" s="770" t="s">
        <v>17</v>
      </c>
      <c r="W11" s="771">
        <f t="shared" si="2"/>
        <v>115</v>
      </c>
      <c r="X11" s="772"/>
      <c r="Y11" s="3101"/>
      <c r="Z11" s="55" t="str">
        <f t="shared" si="7"/>
        <v>容积率</v>
      </c>
      <c r="AA11" s="773">
        <f t="shared" si="3"/>
        <v>0.86956521739130432</v>
      </c>
      <c r="AB11" s="773">
        <f t="shared" si="4"/>
        <v>0.90909090909090906</v>
      </c>
      <c r="AC11" s="773">
        <f t="shared" si="5"/>
        <v>0.86956521739130432</v>
      </c>
    </row>
    <row r="12" spans="1:30" s="117" customFormat="1" ht="15" hidden="1">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95"/>
      <c r="Q12" s="1797">
        <f t="shared" si="6"/>
        <v>0</v>
      </c>
      <c r="R12" s="770" t="s">
        <v>17</v>
      </c>
      <c r="S12" s="771">
        <f t="shared" si="0"/>
        <v>100</v>
      </c>
      <c r="T12" s="770" t="s">
        <v>17</v>
      </c>
      <c r="U12" s="771">
        <f t="shared" si="1"/>
        <v>100</v>
      </c>
      <c r="V12" s="770" t="s">
        <v>17</v>
      </c>
      <c r="W12" s="771">
        <f t="shared" si="2"/>
        <v>100</v>
      </c>
      <c r="X12" s="772"/>
      <c r="Y12" s="3101"/>
      <c r="Z12" s="55">
        <f t="shared" si="7"/>
        <v>0</v>
      </c>
      <c r="AA12" s="773">
        <f>D12/F12</f>
        <v>1</v>
      </c>
      <c r="AB12" s="773">
        <f>D12/H12</f>
        <v>1</v>
      </c>
      <c r="AC12" s="773">
        <f>D12/J12</f>
        <v>1</v>
      </c>
    </row>
    <row r="13" spans="1:30" ht="15" hidden="1">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95"/>
      <c r="Q13" s="1797">
        <f t="shared" si="6"/>
        <v>0</v>
      </c>
      <c r="R13" s="770" t="s">
        <v>17</v>
      </c>
      <c r="S13" s="771">
        <f t="shared" si="0"/>
        <v>100</v>
      </c>
      <c r="T13" s="770" t="s">
        <v>17</v>
      </c>
      <c r="U13" s="771">
        <f t="shared" si="1"/>
        <v>100</v>
      </c>
      <c r="V13" s="770" t="s">
        <v>17</v>
      </c>
      <c r="W13" s="771">
        <f t="shared" si="2"/>
        <v>100</v>
      </c>
      <c r="X13" s="772"/>
      <c r="Y13" s="3101"/>
      <c r="Z13" s="55">
        <f t="shared" si="7"/>
        <v>0</v>
      </c>
      <c r="AA13" s="773">
        <f>D13/F13</f>
        <v>1</v>
      </c>
      <c r="AB13" s="773">
        <f>D13/H13</f>
        <v>1</v>
      </c>
      <c r="AC13" s="773">
        <f>D13/J13</f>
        <v>1</v>
      </c>
    </row>
    <row r="14" spans="1:30" ht="15.75" hidden="1"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5"/>
      <c r="Q14" s="1797">
        <f t="shared" si="6"/>
        <v>0</v>
      </c>
      <c r="R14" s="770" t="s">
        <v>17</v>
      </c>
      <c r="S14" s="771">
        <f t="shared" si="0"/>
        <v>100</v>
      </c>
      <c r="T14" s="770" t="s">
        <v>17</v>
      </c>
      <c r="U14" s="771">
        <f t="shared" si="1"/>
        <v>100</v>
      </c>
      <c r="V14" s="770" t="s">
        <v>17</v>
      </c>
      <c r="W14" s="771">
        <f t="shared" si="2"/>
        <v>100</v>
      </c>
      <c r="X14" s="772"/>
      <c r="Y14" s="3101"/>
      <c r="Z14" s="55">
        <f t="shared" si="7"/>
        <v>0</v>
      </c>
      <c r="AA14" s="773">
        <f>D14/F14</f>
        <v>1</v>
      </c>
      <c r="AB14" s="773">
        <f>D14/H14</f>
        <v>1</v>
      </c>
      <c r="AC14" s="773">
        <f>D14/J14</f>
        <v>1</v>
      </c>
    </row>
    <row r="15" spans="1:30" ht="15">
      <c r="A15" s="440" t="s">
        <v>2552</v>
      </c>
      <c r="B15" s="69" t="s">
        <v>2086</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97" t="s">
        <v>2553</v>
      </c>
      <c r="Q15" s="1812" t="str">
        <f t="shared" si="6"/>
        <v>居住社区成熟度</v>
      </c>
      <c r="R15" s="774" t="s">
        <v>17</v>
      </c>
      <c r="S15" s="775">
        <f t="shared" si="0"/>
        <v>100</v>
      </c>
      <c r="T15" s="774" t="s">
        <v>17</v>
      </c>
      <c r="U15" s="775">
        <f t="shared" si="1"/>
        <v>100</v>
      </c>
      <c r="V15" s="774" t="s">
        <v>17</v>
      </c>
      <c r="W15" s="775">
        <f t="shared" si="2"/>
        <v>100</v>
      </c>
      <c r="X15" s="1815"/>
      <c r="Y15" s="3297" t="s">
        <v>2553</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298"/>
      <c r="Q16" s="1812"/>
      <c r="R16" s="774"/>
      <c r="S16" s="775"/>
      <c r="T16" s="774"/>
      <c r="U16" s="775"/>
      <c r="V16" s="774"/>
      <c r="W16" s="775"/>
      <c r="X16" s="1815"/>
      <c r="Y16" s="3298"/>
      <c r="Z16" s="1816"/>
      <c r="AA16" s="1813">
        <v>1</v>
      </c>
      <c r="AB16" s="1813">
        <v>1</v>
      </c>
      <c r="AC16" s="1813">
        <v>1</v>
      </c>
    </row>
    <row r="17" spans="1:29" ht="15">
      <c r="A17" s="428"/>
      <c r="B17" s="451" t="s">
        <v>2646</v>
      </c>
      <c r="C17" s="2663" t="str">
        <f>估价对象房地状况!C16</f>
        <v>较差</v>
      </c>
      <c r="D17" s="450">
        <v>100</v>
      </c>
      <c r="E17" s="3021"/>
      <c r="F17" s="450">
        <f>SUMIF(90:90,E18,91:91)-SUMIF(90:90,C18,91:91)+100</f>
        <v>98</v>
      </c>
      <c r="G17" s="452"/>
      <c r="H17" s="455">
        <f>SUMIF(90:90,G18,91:91)-SUMIF(90:90,C18,91:91)+100</f>
        <v>98</v>
      </c>
      <c r="I17" s="454"/>
      <c r="J17" s="455">
        <f>SUMIF(90:90,I18,91:91)-SUMIF(90:90,C18,91:91)+100</f>
        <v>98</v>
      </c>
      <c r="K17" s="673">
        <v>2</v>
      </c>
      <c r="L17" s="1143"/>
      <c r="M17" s="1134"/>
      <c r="N17" s="1134"/>
      <c r="O17" s="1142"/>
      <c r="P17" s="3298"/>
      <c r="Q17" s="1812" t="str">
        <f>B17</f>
        <v>商业繁华度</v>
      </c>
      <c r="R17" s="774" t="s">
        <v>17</v>
      </c>
      <c r="S17" s="775">
        <f>F17</f>
        <v>98</v>
      </c>
      <c r="T17" s="774" t="s">
        <v>17</v>
      </c>
      <c r="U17" s="775">
        <f>H17</f>
        <v>98</v>
      </c>
      <c r="V17" s="774" t="s">
        <v>17</v>
      </c>
      <c r="W17" s="775">
        <f>J17</f>
        <v>98</v>
      </c>
      <c r="X17" s="1815"/>
      <c r="Y17" s="3298"/>
      <c r="Z17" s="1816" t="str">
        <f>Q17</f>
        <v>商业繁华度</v>
      </c>
      <c r="AA17" s="1813">
        <f t="shared" si="3"/>
        <v>1.0204081632653061</v>
      </c>
      <c r="AB17" s="1813">
        <f t="shared" si="4"/>
        <v>1.0204081632653061</v>
      </c>
      <c r="AC17" s="1813">
        <f t="shared" si="5"/>
        <v>1.0204081632653061</v>
      </c>
    </row>
    <row r="18" spans="1:29" ht="15">
      <c r="A18" s="428"/>
      <c r="B18" s="456"/>
      <c r="C18" s="2607" t="s">
        <v>3446</v>
      </c>
      <c r="D18" s="450"/>
      <c r="E18" s="2609" t="s">
        <v>3448</v>
      </c>
      <c r="F18" s="450"/>
      <c r="G18" s="2609" t="s">
        <v>3448</v>
      </c>
      <c r="H18" s="448"/>
      <c r="I18" s="2608" t="s">
        <v>3448</v>
      </c>
      <c r="J18" s="448"/>
      <c r="K18" s="672"/>
      <c r="L18" s="1143"/>
      <c r="M18" s="1134"/>
      <c r="N18" s="1134"/>
      <c r="O18" s="1142"/>
      <c r="P18" s="3298"/>
      <c r="Q18" s="1812"/>
      <c r="R18" s="774"/>
      <c r="S18" s="775"/>
      <c r="T18" s="774"/>
      <c r="U18" s="775"/>
      <c r="V18" s="774"/>
      <c r="W18" s="775"/>
      <c r="X18" s="1815"/>
      <c r="Y18" s="3298"/>
      <c r="Z18" s="1816"/>
      <c r="AA18" s="1813">
        <v>1</v>
      </c>
      <c r="AB18" s="1813">
        <v>1</v>
      </c>
      <c r="AC18" s="1813">
        <v>1</v>
      </c>
    </row>
    <row r="19" spans="1:29" ht="15" hidden="1">
      <c r="A19" s="428"/>
      <c r="B19" s="451" t="s">
        <v>2680</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298"/>
      <c r="Q19" s="1812" t="str">
        <f>B19</f>
        <v>办公集聚程度</v>
      </c>
      <c r="R19" s="774" t="s">
        <v>17</v>
      </c>
      <c r="S19" s="775">
        <f>F19</f>
        <v>100</v>
      </c>
      <c r="T19" s="774" t="s">
        <v>17</v>
      </c>
      <c r="U19" s="775">
        <f>H19</f>
        <v>100</v>
      </c>
      <c r="V19" s="774" t="s">
        <v>17</v>
      </c>
      <c r="W19" s="775">
        <f>J19</f>
        <v>100</v>
      </c>
      <c r="X19" s="1815"/>
      <c r="Y19" s="3298"/>
      <c r="Z19" s="1816" t="str">
        <f>Q19</f>
        <v>办公集聚程度</v>
      </c>
      <c r="AA19" s="1813">
        <f t="shared" si="3"/>
        <v>1</v>
      </c>
      <c r="AB19" s="1813">
        <f t="shared" si="4"/>
        <v>1</v>
      </c>
      <c r="AC19" s="1813">
        <f t="shared" si="5"/>
        <v>1</v>
      </c>
    </row>
    <row r="20" spans="1:29" ht="15" hidden="1">
      <c r="A20" s="428"/>
      <c r="B20" s="456"/>
      <c r="C20" s="447"/>
      <c r="D20" s="448"/>
      <c r="E20" s="2604"/>
      <c r="F20" s="448"/>
      <c r="G20" s="2604"/>
      <c r="H20" s="448"/>
      <c r="I20" s="2603"/>
      <c r="J20" s="448"/>
      <c r="K20" s="672"/>
      <c r="L20" s="1143"/>
      <c r="M20" s="1134"/>
      <c r="N20" s="1134"/>
      <c r="O20" s="1142"/>
      <c r="P20" s="3298"/>
      <c r="Q20" s="1812"/>
      <c r="R20" s="774"/>
      <c r="S20" s="775"/>
      <c r="T20" s="774"/>
      <c r="U20" s="775"/>
      <c r="V20" s="774"/>
      <c r="W20" s="775"/>
      <c r="X20" s="1815"/>
      <c r="Y20" s="3298"/>
      <c r="Z20" s="1816"/>
      <c r="AA20" s="1813">
        <v>1</v>
      </c>
      <c r="AB20" s="1813">
        <v>1</v>
      </c>
      <c r="AC20" s="1813">
        <v>1</v>
      </c>
    </row>
    <row r="21" spans="1:29" ht="15">
      <c r="A21" s="428"/>
      <c r="B21" s="451" t="s">
        <v>2702</v>
      </c>
      <c r="C21" s="2606" t="str">
        <f>估价对象房地状况!C18</f>
        <v>一般</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298"/>
      <c r="Q21" s="1812" t="str">
        <f>B21</f>
        <v>交通便捷度</v>
      </c>
      <c r="R21" s="774" t="s">
        <v>17</v>
      </c>
      <c r="S21" s="775">
        <f>F21</f>
        <v>98</v>
      </c>
      <c r="T21" s="774" t="s">
        <v>17</v>
      </c>
      <c r="U21" s="775">
        <f>H21</f>
        <v>98</v>
      </c>
      <c r="V21" s="774" t="s">
        <v>17</v>
      </c>
      <c r="W21" s="775">
        <f>J21</f>
        <v>98</v>
      </c>
      <c r="X21" s="1815"/>
      <c r="Y21" s="3298"/>
      <c r="Z21" s="1816" t="str">
        <f>Q21</f>
        <v>交通便捷度</v>
      </c>
      <c r="AA21" s="1813">
        <f t="shared" si="3"/>
        <v>1.0204081632653061</v>
      </c>
      <c r="AB21" s="1813">
        <f t="shared" si="4"/>
        <v>1.0204081632653061</v>
      </c>
      <c r="AC21" s="1813">
        <f t="shared" si="5"/>
        <v>1.0204081632653061</v>
      </c>
    </row>
    <row r="22" spans="1:29" ht="15">
      <c r="A22" s="428"/>
      <c r="B22" s="1387"/>
      <c r="C22" s="447" t="s">
        <v>3444</v>
      </c>
      <c r="D22" s="450"/>
      <c r="E22" s="2604" t="s">
        <v>3446</v>
      </c>
      <c r="F22" s="448"/>
      <c r="G22" s="2604" t="s">
        <v>3446</v>
      </c>
      <c r="H22" s="448"/>
      <c r="I22" s="2603" t="s">
        <v>3446</v>
      </c>
      <c r="J22" s="448"/>
      <c r="K22" s="672"/>
      <c r="L22" s="1143"/>
      <c r="M22" s="1134"/>
      <c r="N22" s="1134"/>
      <c r="O22" s="1142"/>
      <c r="P22" s="3298"/>
      <c r="Q22" s="1812"/>
      <c r="R22" s="774"/>
      <c r="S22" s="775"/>
      <c r="T22" s="774"/>
      <c r="U22" s="775"/>
      <c r="V22" s="774"/>
      <c r="W22" s="775"/>
      <c r="X22" s="1815"/>
      <c r="Y22" s="3298"/>
      <c r="Z22" s="1816"/>
      <c r="AA22" s="1813">
        <v>1</v>
      </c>
      <c r="AB22" s="1813">
        <v>1</v>
      </c>
      <c r="AC22" s="1813">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98"/>
      <c r="Q23" s="1812" t="str">
        <f t="shared" ref="Q23:Q37" si="8">B23</f>
        <v>区域土地利用方向</v>
      </c>
      <c r="R23" s="774" t="s">
        <v>17</v>
      </c>
      <c r="S23" s="775">
        <f>F23</f>
        <v>100</v>
      </c>
      <c r="T23" s="774" t="s">
        <v>17</v>
      </c>
      <c r="U23" s="775">
        <f>H23</f>
        <v>100</v>
      </c>
      <c r="V23" s="774" t="s">
        <v>17</v>
      </c>
      <c r="W23" s="775">
        <f>J23</f>
        <v>100</v>
      </c>
      <c r="X23" s="1815"/>
      <c r="Y23" s="3298"/>
      <c r="Z23" s="1816" t="str">
        <f>Q23</f>
        <v>区域土地利用方向</v>
      </c>
      <c r="AA23" s="1813">
        <f t="shared" si="3"/>
        <v>1</v>
      </c>
      <c r="AB23" s="1813">
        <f t="shared" si="4"/>
        <v>1</v>
      </c>
      <c r="AC23" s="1813">
        <f t="shared" si="5"/>
        <v>1</v>
      </c>
    </row>
    <row r="24" spans="1:29" ht="15">
      <c r="A24" s="404"/>
      <c r="B24" s="456"/>
      <c r="C24" s="616" t="s">
        <v>3444</v>
      </c>
      <c r="D24" s="448"/>
      <c r="E24" s="2604" t="s">
        <v>3444</v>
      </c>
      <c r="F24" s="448"/>
      <c r="G24" s="2603" t="s">
        <v>3444</v>
      </c>
      <c r="H24" s="448"/>
      <c r="I24" s="2603" t="s">
        <v>3444</v>
      </c>
      <c r="J24" s="448"/>
      <c r="K24" s="812"/>
      <c r="L24" s="1143"/>
      <c r="M24" s="1134"/>
      <c r="N24" s="1134"/>
      <c r="O24" s="1142"/>
      <c r="P24" s="3298"/>
      <c r="Q24" s="1812"/>
      <c r="R24" s="774"/>
      <c r="S24" s="775"/>
      <c r="T24" s="774"/>
      <c r="U24" s="775"/>
      <c r="V24" s="774"/>
      <c r="W24" s="775"/>
      <c r="X24" s="1815"/>
      <c r="Y24" s="3298"/>
      <c r="Z24" s="1816"/>
      <c r="AA24" s="1813"/>
      <c r="AB24" s="1813"/>
      <c r="AC24" s="1813"/>
    </row>
    <row r="25" spans="1:29" ht="27">
      <c r="A25" s="404"/>
      <c r="B25" s="1387" t="s">
        <v>2739</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98"/>
      <c r="Q25" s="1812" t="str">
        <f t="shared" si="8"/>
        <v>自然及人文环境状况</v>
      </c>
      <c r="R25" s="774" t="s">
        <v>17</v>
      </c>
      <c r="S25" s="775">
        <f>F25</f>
        <v>100</v>
      </c>
      <c r="T25" s="774" t="s">
        <v>17</v>
      </c>
      <c r="U25" s="775">
        <f>H25</f>
        <v>100</v>
      </c>
      <c r="V25" s="774" t="s">
        <v>17</v>
      </c>
      <c r="W25" s="775">
        <f>J25</f>
        <v>100</v>
      </c>
      <c r="X25" s="1815"/>
      <c r="Y25" s="3298"/>
      <c r="Z25" s="1816" t="str">
        <f>Q25</f>
        <v>自然及人文环境状况</v>
      </c>
      <c r="AA25" s="1813">
        <f t="shared" si="3"/>
        <v>1</v>
      </c>
      <c r="AB25" s="1813">
        <f t="shared" si="4"/>
        <v>1</v>
      </c>
      <c r="AC25" s="1813">
        <f t="shared" si="5"/>
        <v>1</v>
      </c>
    </row>
    <row r="26" spans="1:29" ht="15">
      <c r="A26" s="404"/>
      <c r="B26" s="456"/>
      <c r="C26" s="447" t="s">
        <v>3444</v>
      </c>
      <c r="D26" s="448"/>
      <c r="E26" s="2610" t="s">
        <v>3444</v>
      </c>
      <c r="F26" s="448"/>
      <c r="G26" s="2610" t="s">
        <v>3444</v>
      </c>
      <c r="H26" s="448"/>
      <c r="I26" s="447" t="s">
        <v>3444</v>
      </c>
      <c r="J26" s="448"/>
      <c r="K26" s="672"/>
      <c r="L26" s="1143"/>
      <c r="M26" s="1134"/>
      <c r="N26" s="1134"/>
      <c r="O26" s="1142"/>
      <c r="P26" s="3298"/>
      <c r="Q26" s="1812"/>
      <c r="R26" s="774"/>
      <c r="S26" s="775"/>
      <c r="T26" s="774"/>
      <c r="U26" s="775"/>
      <c r="V26" s="774"/>
      <c r="W26" s="775"/>
      <c r="X26" s="1815"/>
      <c r="Y26" s="3298"/>
      <c r="Z26" s="1816"/>
      <c r="AA26" s="1813">
        <v>1</v>
      </c>
      <c r="AB26" s="1813">
        <v>1</v>
      </c>
      <c r="AC26" s="1813">
        <v>1</v>
      </c>
    </row>
    <row r="27" spans="1:29" s="117" customFormat="1" ht="15">
      <c r="A27" s="649"/>
      <c r="B27" s="1387" t="s">
        <v>2647</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298"/>
      <c r="Q27" s="1797" t="str">
        <f t="shared" si="8"/>
        <v>公共配套设施</v>
      </c>
      <c r="R27" s="770" t="s">
        <v>17</v>
      </c>
      <c r="S27" s="771">
        <f>F27</f>
        <v>100</v>
      </c>
      <c r="T27" s="770" t="s">
        <v>17</v>
      </c>
      <c r="U27" s="771">
        <f>H27</f>
        <v>100</v>
      </c>
      <c r="V27" s="770" t="s">
        <v>17</v>
      </c>
      <c r="W27" s="771">
        <f>J27</f>
        <v>100</v>
      </c>
      <c r="X27" s="772"/>
      <c r="Y27" s="3298"/>
      <c r="Z27" s="55" t="str">
        <f>Q27</f>
        <v>公共配套设施</v>
      </c>
      <c r="AA27" s="1813">
        <f>D27/F27</f>
        <v>1</v>
      </c>
      <c r="AB27" s="1813">
        <f>D27/H27</f>
        <v>1</v>
      </c>
      <c r="AC27" s="1813">
        <f>D27/J27</f>
        <v>1</v>
      </c>
    </row>
    <row r="28" spans="1:29" s="117" customFormat="1" ht="15">
      <c r="A28" s="649"/>
      <c r="B28" s="456"/>
      <c r="C28" s="2699" t="s">
        <v>3446</v>
      </c>
      <c r="D28" s="448"/>
      <c r="E28" s="2610" t="s">
        <v>3446</v>
      </c>
      <c r="F28" s="448"/>
      <c r="G28" s="2610" t="s">
        <v>3446</v>
      </c>
      <c r="H28" s="448"/>
      <c r="I28" s="447" t="s">
        <v>3446</v>
      </c>
      <c r="J28" s="448"/>
      <c r="K28" s="672"/>
      <c r="L28" s="1135"/>
      <c r="M28" s="1136"/>
      <c r="N28" s="1136"/>
      <c r="O28" s="1137"/>
      <c r="P28" s="3298"/>
      <c r="Q28" s="1797"/>
      <c r="R28" s="770"/>
      <c r="S28" s="771"/>
      <c r="T28" s="770"/>
      <c r="U28" s="771"/>
      <c r="V28" s="770"/>
      <c r="W28" s="771"/>
      <c r="X28" s="772"/>
      <c r="Y28" s="3298"/>
      <c r="Z28" s="55"/>
      <c r="AA28" s="1813">
        <v>1</v>
      </c>
      <c r="AB28" s="1813">
        <v>1</v>
      </c>
      <c r="AC28" s="1813">
        <v>1</v>
      </c>
    </row>
    <row r="29" spans="1:29" s="117" customFormat="1" ht="15">
      <c r="A29" s="649"/>
      <c r="B29" s="1387" t="s">
        <v>2648</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98"/>
      <c r="Q29" s="1797" t="str">
        <f t="shared" ref="Q29" si="9">B29</f>
        <v>基础设施水平</v>
      </c>
      <c r="R29" s="770" t="s">
        <v>17</v>
      </c>
      <c r="S29" s="771">
        <f>F29</f>
        <v>100</v>
      </c>
      <c r="T29" s="770" t="s">
        <v>17</v>
      </c>
      <c r="U29" s="771">
        <f>H29</f>
        <v>100</v>
      </c>
      <c r="V29" s="770" t="s">
        <v>17</v>
      </c>
      <c r="W29" s="771">
        <f>J29</f>
        <v>100</v>
      </c>
      <c r="X29" s="772"/>
      <c r="Y29" s="3298"/>
      <c r="Z29" s="55" t="str">
        <f>Q29</f>
        <v>基础设施水平</v>
      </c>
      <c r="AA29" s="1813">
        <f>D29/F29</f>
        <v>1</v>
      </c>
      <c r="AB29" s="1813">
        <f>D29/H29</f>
        <v>1</v>
      </c>
      <c r="AC29" s="1813">
        <f>D29/J29</f>
        <v>1</v>
      </c>
    </row>
    <row r="30" spans="1:29" s="117" customFormat="1" ht="15">
      <c r="A30" s="649"/>
      <c r="B30" s="456"/>
      <c r="C30" s="2699" t="s">
        <v>3436</v>
      </c>
      <c r="D30" s="448"/>
      <c r="E30" s="2700" t="s">
        <v>3436</v>
      </c>
      <c r="F30" s="448"/>
      <c r="G30" s="2700" t="s">
        <v>3436</v>
      </c>
      <c r="H30" s="448"/>
      <c r="I30" s="2700" t="s">
        <v>3436</v>
      </c>
      <c r="J30" s="448"/>
      <c r="K30" s="672"/>
      <c r="L30" s="1135"/>
      <c r="M30" s="1136"/>
      <c r="N30" s="1136"/>
      <c r="O30" s="1137"/>
      <c r="P30" s="3298"/>
      <c r="Q30" s="1797"/>
      <c r="R30" s="770"/>
      <c r="S30" s="771"/>
      <c r="T30" s="770"/>
      <c r="U30" s="771"/>
      <c r="V30" s="770"/>
      <c r="W30" s="771"/>
      <c r="X30" s="772"/>
      <c r="Y30" s="3298"/>
      <c r="Z30" s="55"/>
      <c r="AA30" s="1813">
        <v>1</v>
      </c>
      <c r="AB30" s="1813">
        <v>1</v>
      </c>
      <c r="AC30" s="1813">
        <v>1</v>
      </c>
    </row>
    <row r="31" spans="1:29" ht="15">
      <c r="A31" s="428"/>
      <c r="B31" s="456" t="s">
        <v>2649</v>
      </c>
      <c r="C31" s="616" t="s">
        <v>3449</v>
      </c>
      <c r="D31" s="435">
        <v>100</v>
      </c>
      <c r="E31" s="634" t="s">
        <v>3449</v>
      </c>
      <c r="F31" s="435">
        <f>SUMIF(104:104,E31,105:105)-SUMIF(104:104,C31,105:105)+100</f>
        <v>100</v>
      </c>
      <c r="G31" s="634" t="s">
        <v>3449</v>
      </c>
      <c r="H31" s="435">
        <f>SUMIF(104:104,G31,105:105)-SUMIF(104:104,C31,105:105)+100</f>
        <v>100</v>
      </c>
      <c r="I31" s="634" t="s">
        <v>3449</v>
      </c>
      <c r="J31" s="435">
        <f>SUMIF(104:104,I31,105:105)-SUMIF(104:104,C31,105:105)+100</f>
        <v>100</v>
      </c>
      <c r="K31" s="673">
        <v>2</v>
      </c>
      <c r="L31" s="1143"/>
      <c r="M31" s="1134"/>
      <c r="N31" s="1134"/>
      <c r="O31" s="1142"/>
      <c r="P31" s="329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98"/>
      <c r="Z31" s="1816" t="str">
        <f t="shared" ref="Z31:Z45" si="13">Q31</f>
        <v>临街状况</v>
      </c>
      <c r="AA31" s="1813">
        <f t="shared" si="3"/>
        <v>1</v>
      </c>
      <c r="AB31" s="1813">
        <f t="shared" si="4"/>
        <v>1</v>
      </c>
      <c r="AC31" s="1813">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298"/>
      <c r="Q32" s="1812" t="str">
        <f t="shared" si="8"/>
        <v>毗邻道路的类型与等级</v>
      </c>
      <c r="R32" s="774" t="s">
        <v>17</v>
      </c>
      <c r="S32" s="775">
        <f t="shared" si="10"/>
        <v>100</v>
      </c>
      <c r="T32" s="774" t="s">
        <v>17</v>
      </c>
      <c r="U32" s="775">
        <f t="shared" si="11"/>
        <v>100</v>
      </c>
      <c r="V32" s="774" t="s">
        <v>17</v>
      </c>
      <c r="W32" s="775">
        <f t="shared" si="12"/>
        <v>100</v>
      </c>
      <c r="X32" s="1815"/>
      <c r="Y32" s="3298"/>
      <c r="Z32" s="1816" t="str">
        <f t="shared" si="13"/>
        <v>毗邻道路的类型与等级</v>
      </c>
      <c r="AA32" s="1813">
        <f t="shared" si="3"/>
        <v>1</v>
      </c>
      <c r="AB32" s="1813">
        <f t="shared" si="4"/>
        <v>1</v>
      </c>
      <c r="AC32" s="1813">
        <f t="shared" si="5"/>
        <v>1</v>
      </c>
    </row>
    <row r="33" spans="1:29" ht="15.75" thickBot="1">
      <c r="A33" s="428"/>
      <c r="B33" s="456"/>
      <c r="C33" s="447" t="s">
        <v>3427</v>
      </c>
      <c r="D33" s="448"/>
      <c r="E33" s="2610" t="s">
        <v>3427</v>
      </c>
      <c r="F33" s="448"/>
      <c r="G33" s="2610" t="s">
        <v>3427</v>
      </c>
      <c r="H33" s="448"/>
      <c r="I33" s="447" t="s">
        <v>3427</v>
      </c>
      <c r="J33" s="448"/>
      <c r="K33" s="613"/>
      <c r="L33" s="1143"/>
      <c r="M33" s="1134"/>
      <c r="N33" s="1134"/>
      <c r="O33" s="1142"/>
      <c r="P33" s="3298"/>
      <c r="Q33" s="1812"/>
      <c r="R33" s="774"/>
      <c r="S33" s="775"/>
      <c r="T33" s="774"/>
      <c r="U33" s="775"/>
      <c r="V33" s="774"/>
      <c r="W33" s="775"/>
      <c r="X33" s="1815"/>
      <c r="Y33" s="3298"/>
      <c r="Z33" s="1816"/>
      <c r="AA33" s="1813">
        <v>1</v>
      </c>
      <c r="AB33" s="1813">
        <v>1</v>
      </c>
      <c r="AC33" s="1813">
        <v>1</v>
      </c>
    </row>
    <row r="34" spans="1:29" ht="15" hidden="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98"/>
      <c r="Q34" s="1812" t="str">
        <f t="shared" si="8"/>
        <v>土地级别</v>
      </c>
      <c r="R34" s="774" t="s">
        <v>17</v>
      </c>
      <c r="S34" s="775">
        <f t="shared" si="10"/>
        <v>100</v>
      </c>
      <c r="T34" s="774" t="s">
        <v>17</v>
      </c>
      <c r="U34" s="775">
        <f t="shared" si="11"/>
        <v>100</v>
      </c>
      <c r="V34" s="774" t="s">
        <v>17</v>
      </c>
      <c r="W34" s="775">
        <f t="shared" si="12"/>
        <v>100</v>
      </c>
      <c r="X34" s="1815"/>
      <c r="Y34" s="3298"/>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98"/>
      <c r="Q35" s="1812">
        <f t="shared" si="8"/>
        <v>111</v>
      </c>
      <c r="R35" s="774" t="s">
        <v>17</v>
      </c>
      <c r="S35" s="775">
        <f t="shared" si="10"/>
        <v>100</v>
      </c>
      <c r="T35" s="774" t="s">
        <v>17</v>
      </c>
      <c r="U35" s="775">
        <f t="shared" si="11"/>
        <v>100</v>
      </c>
      <c r="V35" s="774" t="s">
        <v>17</v>
      </c>
      <c r="W35" s="775">
        <f t="shared" si="12"/>
        <v>100</v>
      </c>
      <c r="X35" s="1815"/>
      <c r="Y35" s="3298"/>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53" t="s">
        <v>2558</v>
      </c>
      <c r="Q36" s="1812">
        <f t="shared" si="8"/>
        <v>111</v>
      </c>
      <c r="R36" s="774" t="s">
        <v>17</v>
      </c>
      <c r="S36" s="775">
        <f t="shared" si="10"/>
        <v>100</v>
      </c>
      <c r="T36" s="774" t="s">
        <v>17</v>
      </c>
      <c r="U36" s="775">
        <f t="shared" si="11"/>
        <v>100</v>
      </c>
      <c r="V36" s="774" t="s">
        <v>17</v>
      </c>
      <c r="W36" s="775">
        <f t="shared" si="12"/>
        <v>100</v>
      </c>
      <c r="X36" s="1815"/>
      <c r="Y36" s="3302" t="s">
        <v>2558</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02"/>
      <c r="Q37" s="1812">
        <f t="shared" si="8"/>
        <v>111</v>
      </c>
      <c r="R37" s="777" t="s">
        <v>17</v>
      </c>
      <c r="S37" s="778">
        <f t="shared" si="10"/>
        <v>100</v>
      </c>
      <c r="T37" s="777" t="s">
        <v>17</v>
      </c>
      <c r="U37" s="778">
        <f t="shared" si="11"/>
        <v>100</v>
      </c>
      <c r="V37" s="777" t="s">
        <v>17</v>
      </c>
      <c r="W37" s="778">
        <f t="shared" si="12"/>
        <v>100</v>
      </c>
      <c r="X37" s="779"/>
      <c r="Y37" s="3302"/>
      <c r="Z37" s="780">
        <f t="shared" si="13"/>
        <v>111</v>
      </c>
      <c r="AA37" s="1813">
        <f t="shared" si="3"/>
        <v>1</v>
      </c>
      <c r="AB37" s="1813">
        <f t="shared" si="4"/>
        <v>1</v>
      </c>
      <c r="AC37" s="1813">
        <f t="shared" si="5"/>
        <v>1</v>
      </c>
    </row>
    <row r="38" spans="1:29" ht="15">
      <c r="A38" s="472" t="s">
        <v>2556</v>
      </c>
      <c r="B38" s="456" t="s">
        <v>2741</v>
      </c>
      <c r="C38" s="679">
        <f>面积表!G27</f>
        <v>229635.6</v>
      </c>
      <c r="D38" s="467">
        <v>100</v>
      </c>
      <c r="E38" s="679">
        <f>土地案例!D2</f>
        <v>15112</v>
      </c>
      <c r="F38" s="467">
        <f>LOOKUP(E38,117:117,118:118)-LOOKUP(C38,117:117,118:118)+100</f>
        <v>95</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302"/>
      <c r="Q38" s="1812" t="str">
        <f>B38</f>
        <v>宗地面积</v>
      </c>
      <c r="R38" s="774" t="s">
        <v>17</v>
      </c>
      <c r="S38" s="775">
        <f t="shared" si="10"/>
        <v>95</v>
      </c>
      <c r="T38" s="774" t="s">
        <v>17</v>
      </c>
      <c r="U38" s="775">
        <f t="shared" si="11"/>
        <v>95</v>
      </c>
      <c r="V38" s="774" t="s">
        <v>17</v>
      </c>
      <c r="W38" s="775">
        <f t="shared" si="12"/>
        <v>96</v>
      </c>
      <c r="X38" s="1815"/>
      <c r="Y38" s="3302"/>
      <c r="Z38" s="1816" t="str">
        <f t="shared" si="13"/>
        <v>宗地面积</v>
      </c>
      <c r="AA38" s="1813">
        <f t="shared" si="3"/>
        <v>1.0526315789473684</v>
      </c>
      <c r="AB38" s="1813">
        <f t="shared" si="4"/>
        <v>1.0526315789473684</v>
      </c>
      <c r="AC38" s="1813">
        <f t="shared" si="5"/>
        <v>1.0416666666666667</v>
      </c>
    </row>
    <row r="39" spans="1:29" ht="15">
      <c r="A39" s="472"/>
      <c r="B39" s="422" t="s">
        <v>2742</v>
      </c>
      <c r="C39" s="2612" t="s">
        <v>3433</v>
      </c>
      <c r="D39" s="435">
        <v>100</v>
      </c>
      <c r="E39" s="2612" t="s">
        <v>3431</v>
      </c>
      <c r="F39" s="435">
        <f>SUMIF(119:119,E39,120:120)-SUMIF(119:119,C39,120:120)+100</f>
        <v>102</v>
      </c>
      <c r="G39" s="2612" t="s">
        <v>3431</v>
      </c>
      <c r="H39" s="435">
        <f>SUMIF(119:119,G39,120:120)-SUMIF(119:119,C39,120:120)+100</f>
        <v>102</v>
      </c>
      <c r="I39" s="2612" t="s">
        <v>3431</v>
      </c>
      <c r="J39" s="435">
        <f>SUMIF(119:119,I39,120:120)-SUMIF(119:119,C39,120:120)+100</f>
        <v>102</v>
      </c>
      <c r="K39" s="612">
        <v>2</v>
      </c>
      <c r="L39" s="1143"/>
      <c r="M39" s="1134"/>
      <c r="N39" s="1134"/>
      <c r="O39" s="1142"/>
      <c r="P39" s="3302"/>
      <c r="Q39" s="1812" t="str">
        <f t="shared" ref="Q39:Q45" si="14">B39</f>
        <v>宗地形状</v>
      </c>
      <c r="R39" s="774" t="s">
        <v>17</v>
      </c>
      <c r="S39" s="775">
        <f t="shared" si="10"/>
        <v>102</v>
      </c>
      <c r="T39" s="774" t="s">
        <v>17</v>
      </c>
      <c r="U39" s="775">
        <f t="shared" si="11"/>
        <v>102</v>
      </c>
      <c r="V39" s="774" t="s">
        <v>17</v>
      </c>
      <c r="W39" s="775">
        <f t="shared" si="12"/>
        <v>102</v>
      </c>
      <c r="X39" s="1815"/>
      <c r="Y39" s="3302"/>
      <c r="Z39" s="1816" t="str">
        <f t="shared" si="13"/>
        <v>宗地形状</v>
      </c>
      <c r="AA39" s="1813">
        <f t="shared" si="3"/>
        <v>0.98039215686274506</v>
      </c>
      <c r="AB39" s="1813">
        <f t="shared" si="4"/>
        <v>0.98039215686274506</v>
      </c>
      <c r="AC39" s="1813">
        <f t="shared" si="5"/>
        <v>0.98039215686274506</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v>2</v>
      </c>
      <c r="L40" s="1143"/>
      <c r="M40" s="1134"/>
      <c r="N40" s="1134"/>
      <c r="O40" s="1142"/>
      <c r="P40" s="3302"/>
      <c r="Q40" s="1812" t="str">
        <f t="shared" si="14"/>
        <v>临街宽度及深度</v>
      </c>
      <c r="R40" s="774" t="s">
        <v>17</v>
      </c>
      <c r="S40" s="775">
        <f t="shared" si="10"/>
        <v>100</v>
      </c>
      <c r="T40" s="774" t="s">
        <v>17</v>
      </c>
      <c r="U40" s="775">
        <f t="shared" si="11"/>
        <v>100</v>
      </c>
      <c r="V40" s="774" t="s">
        <v>17</v>
      </c>
      <c r="W40" s="775">
        <f t="shared" si="12"/>
        <v>100</v>
      </c>
      <c r="X40" s="1815"/>
      <c r="Y40" s="3302"/>
      <c r="Z40" s="1816" t="str">
        <f t="shared" si="13"/>
        <v>临街宽度及深度</v>
      </c>
      <c r="AA40" s="1813">
        <f t="shared" si="3"/>
        <v>1</v>
      </c>
      <c r="AB40" s="1813">
        <f t="shared" si="4"/>
        <v>1</v>
      </c>
      <c r="AC40" s="1813">
        <f t="shared" si="5"/>
        <v>1</v>
      </c>
    </row>
    <row r="41" spans="1:29" s="117" customFormat="1" ht="15">
      <c r="A41" s="473"/>
      <c r="B41" s="422" t="s">
        <v>2744</v>
      </c>
      <c r="C41" s="2701" t="s">
        <v>3436</v>
      </c>
      <c r="D41" s="136">
        <v>100</v>
      </c>
      <c r="E41" s="2701" t="s">
        <v>3440</v>
      </c>
      <c r="F41" s="435">
        <f>SUMIF(123:123,E41,124:124)-SUMIF(123:123,C41,124:124)+100</f>
        <v>98.5</v>
      </c>
      <c r="G41" s="2701" t="s">
        <v>3440</v>
      </c>
      <c r="H41" s="435">
        <f>SUMIF(123:123,G41,124:124)-SUMIF(123:123,C41,124:124)+100</f>
        <v>98.5</v>
      </c>
      <c r="I41" s="2701" t="s">
        <v>3440</v>
      </c>
      <c r="J41" s="435">
        <f>SUMIF(123:123,I41,124:124)-SUMIF(123:123,C41,124:124)+100</f>
        <v>98.5</v>
      </c>
      <c r="K41" s="612">
        <v>0.5</v>
      </c>
      <c r="L41" s="1135"/>
      <c r="M41" s="1136"/>
      <c r="N41" s="1136"/>
      <c r="O41" s="1137"/>
      <c r="P41" s="3302"/>
      <c r="Q41" s="1812" t="str">
        <f t="shared" si="14"/>
        <v>宗地开发程度</v>
      </c>
      <c r="R41" s="770" t="s">
        <v>17</v>
      </c>
      <c r="S41" s="771">
        <f t="shared" si="10"/>
        <v>98.5</v>
      </c>
      <c r="T41" s="770" t="s">
        <v>17</v>
      </c>
      <c r="U41" s="771">
        <f t="shared" si="11"/>
        <v>98.5</v>
      </c>
      <c r="V41" s="770" t="s">
        <v>17</v>
      </c>
      <c r="W41" s="771">
        <f t="shared" si="12"/>
        <v>98.5</v>
      </c>
      <c r="X41" s="772"/>
      <c r="Y41" s="3302"/>
      <c r="Z41" s="55" t="str">
        <f t="shared" si="13"/>
        <v>宗地开发程度</v>
      </c>
      <c r="AA41" s="773">
        <f t="shared" si="3"/>
        <v>1.015228426395939</v>
      </c>
      <c r="AB41" s="773">
        <f t="shared" si="4"/>
        <v>1.015228426395939</v>
      </c>
      <c r="AC41" s="773">
        <f t="shared" si="5"/>
        <v>1.015228426395939</v>
      </c>
    </row>
    <row r="42" spans="1:29" ht="15.75" thickBot="1">
      <c r="A42" s="472"/>
      <c r="B42" s="422" t="s">
        <v>2745</v>
      </c>
      <c r="C42" s="2612" t="s">
        <v>3442</v>
      </c>
      <c r="D42" s="435">
        <v>100</v>
      </c>
      <c r="E42" s="2612" t="s">
        <v>3442</v>
      </c>
      <c r="F42" s="435">
        <f>SUMIF(125:125,E42,126:126)-SUMIF(125:125,C42,126:126)+100</f>
        <v>100</v>
      </c>
      <c r="G42" s="2612" t="s">
        <v>3442</v>
      </c>
      <c r="H42" s="435">
        <f>SUMIF(125:125,G42,126:126)-SUMIF(125:125,C42,126:126)+100</f>
        <v>100</v>
      </c>
      <c r="I42" s="2612" t="s">
        <v>3442</v>
      </c>
      <c r="J42" s="435">
        <f>SUMIF(125:125,I42,126:126)-SUMIF(125:125,C42,126:126)+100</f>
        <v>100</v>
      </c>
      <c r="K42" s="612">
        <v>2</v>
      </c>
      <c r="L42" s="1143"/>
      <c r="M42" s="1134"/>
      <c r="N42" s="1134"/>
      <c r="O42" s="1142"/>
      <c r="P42" s="3302" t="s">
        <v>2558</v>
      </c>
      <c r="Q42" s="1812" t="str">
        <f t="shared" si="14"/>
        <v>工程地质条件</v>
      </c>
      <c r="R42" s="774" t="s">
        <v>17</v>
      </c>
      <c r="S42" s="775">
        <f t="shared" si="10"/>
        <v>100</v>
      </c>
      <c r="T42" s="774" t="s">
        <v>17</v>
      </c>
      <c r="U42" s="775">
        <f t="shared" si="11"/>
        <v>100</v>
      </c>
      <c r="V42" s="774" t="s">
        <v>17</v>
      </c>
      <c r="W42" s="775">
        <f t="shared" si="12"/>
        <v>100</v>
      </c>
      <c r="X42" s="1815"/>
      <c r="Y42" s="3302" t="s">
        <v>2558</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02"/>
      <c r="Q43" s="1812">
        <f t="shared" si="14"/>
        <v>111</v>
      </c>
      <c r="R43" s="774" t="s">
        <v>17</v>
      </c>
      <c r="S43" s="775">
        <f t="shared" si="10"/>
        <v>100</v>
      </c>
      <c r="T43" s="774" t="s">
        <v>17</v>
      </c>
      <c r="U43" s="775">
        <f t="shared" si="11"/>
        <v>100</v>
      </c>
      <c r="V43" s="774" t="s">
        <v>17</v>
      </c>
      <c r="W43" s="775">
        <f t="shared" si="12"/>
        <v>100</v>
      </c>
      <c r="X43" s="1815"/>
      <c r="Y43" s="3302"/>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02"/>
      <c r="Q44" s="1812">
        <f t="shared" si="14"/>
        <v>111</v>
      </c>
      <c r="R44" s="774" t="s">
        <v>17</v>
      </c>
      <c r="S44" s="775">
        <f t="shared" si="10"/>
        <v>100</v>
      </c>
      <c r="T44" s="774" t="s">
        <v>17</v>
      </c>
      <c r="U44" s="775">
        <f t="shared" si="11"/>
        <v>100</v>
      </c>
      <c r="V44" s="774" t="s">
        <v>17</v>
      </c>
      <c r="W44" s="775">
        <f t="shared" si="12"/>
        <v>100</v>
      </c>
      <c r="X44" s="1815"/>
      <c r="Y44" s="3302"/>
      <c r="Z44" s="1816">
        <f t="shared" si="13"/>
        <v>111</v>
      </c>
      <c r="AA44" s="1813">
        <f t="shared" si="3"/>
        <v>1</v>
      </c>
      <c r="AB44" s="1813">
        <f t="shared" si="4"/>
        <v>1</v>
      </c>
      <c r="AC44" s="1813">
        <f t="shared" si="5"/>
        <v>1</v>
      </c>
    </row>
    <row r="45" spans="1:29" s="471" customFormat="1" ht="15.75" hidden="1"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02"/>
      <c r="Q45" s="1812">
        <f t="shared" si="14"/>
        <v>111</v>
      </c>
      <c r="R45" s="777" t="s">
        <v>17</v>
      </c>
      <c r="S45" s="778">
        <f t="shared" si="10"/>
        <v>100</v>
      </c>
      <c r="T45" s="777" t="s">
        <v>17</v>
      </c>
      <c r="U45" s="778">
        <f t="shared" si="11"/>
        <v>100</v>
      </c>
      <c r="V45" s="777" t="s">
        <v>17</v>
      </c>
      <c r="W45" s="778">
        <f t="shared" si="12"/>
        <v>100</v>
      </c>
      <c r="X45" s="779"/>
      <c r="Y45" s="3302"/>
      <c r="Z45" s="780">
        <f t="shared" si="13"/>
        <v>111</v>
      </c>
      <c r="AA45" s="1813">
        <f t="shared" si="3"/>
        <v>1</v>
      </c>
      <c r="AB45" s="1813">
        <f t="shared" si="4"/>
        <v>1</v>
      </c>
      <c r="AC45" s="1813">
        <f t="shared" si="5"/>
        <v>1</v>
      </c>
    </row>
    <row r="46" spans="1:29" ht="15">
      <c r="A46" s="479" t="s">
        <v>2713</v>
      </c>
      <c r="B46" s="2703" t="s">
        <v>3411</v>
      </c>
      <c r="C46" s="682" t="s">
        <v>1</v>
      </c>
      <c r="D46" s="481"/>
      <c r="E46" s="482">
        <f>土地案例!M2</f>
        <v>2148</v>
      </c>
      <c r="F46" s="483"/>
      <c r="G46" s="484">
        <f>土地案例!M4</f>
        <v>1620</v>
      </c>
      <c r="H46" s="485"/>
      <c r="I46" s="482">
        <f>土地案例!M5</f>
        <v>1860</v>
      </c>
      <c r="J46" s="485"/>
      <c r="K46" s="783"/>
      <c r="L46" s="1146"/>
      <c r="M46" s="1147"/>
      <c r="N46" s="1134"/>
      <c r="O46" s="1147"/>
      <c r="P46" s="3295" t="str">
        <f>A46</f>
        <v>成交单价</v>
      </c>
      <c r="Q46" s="3295"/>
      <c r="R46" s="3326">
        <f>E46</f>
        <v>2148</v>
      </c>
      <c r="S46" s="3326"/>
      <c r="T46" s="3326">
        <f>G46</f>
        <v>1620</v>
      </c>
      <c r="U46" s="3326"/>
      <c r="V46" s="3326">
        <f>I46</f>
        <v>1860</v>
      </c>
      <c r="W46" s="3326"/>
      <c r="X46" s="759"/>
      <c r="Y46" s="781"/>
      <c r="Z46" s="759"/>
      <c r="AA46" s="759"/>
      <c r="AB46" s="759"/>
      <c r="AC46" s="759"/>
    </row>
    <row r="47" spans="1:29" ht="15.75" thickBot="1">
      <c r="A47" s="486" t="s">
        <v>2662</v>
      </c>
      <c r="B47" s="683"/>
      <c r="C47" s="490">
        <f>R48</f>
        <v>1556</v>
      </c>
      <c r="D47" s="489"/>
      <c r="E47" s="490">
        <f>R47</f>
        <v>1764</v>
      </c>
      <c r="F47" s="491"/>
      <c r="G47" s="488">
        <f>T47</f>
        <v>1391</v>
      </c>
      <c r="H47" s="489"/>
      <c r="I47" s="490">
        <f>V47</f>
        <v>1512</v>
      </c>
      <c r="J47" s="489"/>
      <c r="K47" s="784"/>
      <c r="L47" s="1146"/>
      <c r="M47" s="1147"/>
      <c r="N47" s="1147"/>
      <c r="O47" s="1147"/>
      <c r="P47" s="3295" t="str">
        <f>A47</f>
        <v>比较价值（元/平方米）</v>
      </c>
      <c r="Q47" s="3295"/>
      <c r="R47" s="3354">
        <f>ROUND(PRODUCT(R46,AA7:AA45),0)</f>
        <v>1764</v>
      </c>
      <c r="S47" s="3354"/>
      <c r="T47" s="3354">
        <f>ROUND(PRODUCT(T46,AB7:AB45),0)</f>
        <v>1391</v>
      </c>
      <c r="U47" s="3354"/>
      <c r="V47" s="3354">
        <f>ROUND(PRODUCT(V46,AC7:AC45),0)</f>
        <v>1512</v>
      </c>
      <c r="W47" s="3354"/>
      <c r="X47" s="759"/>
      <c r="Y47" s="759"/>
      <c r="Z47" s="759"/>
      <c r="AA47" s="759"/>
      <c r="AB47" s="759"/>
      <c r="AC47" s="759"/>
    </row>
    <row r="48" spans="1:29" ht="15.75" thickBot="1">
      <c r="A48" s="492" t="s">
        <v>3454</v>
      </c>
      <c r="B48" s="493"/>
      <c r="C48" s="494">
        <f>R48</f>
        <v>1556</v>
      </c>
      <c r="D48" s="494"/>
      <c r="E48" s="494"/>
      <c r="F48" s="494"/>
      <c r="G48" s="494"/>
      <c r="H48" s="494"/>
      <c r="I48" s="494"/>
      <c r="J48" s="494"/>
      <c r="K48" s="785"/>
      <c r="L48" s="1146"/>
      <c r="M48" s="1147"/>
      <c r="N48" s="1147"/>
      <c r="O48" s="1147"/>
      <c r="P48" s="3292" t="str">
        <f>A48</f>
        <v>估价对象商业用地比较价值（楼面单价，元/平方米）</v>
      </c>
      <c r="Q48" s="3293"/>
      <c r="R48" s="3355">
        <f>ROUND(AVERAGE(R47:V47),0)</f>
        <v>1556</v>
      </c>
      <c r="S48" s="3355"/>
      <c r="T48" s="3355"/>
      <c r="U48" s="3355"/>
      <c r="V48" s="3355"/>
      <c r="W48" s="33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0.21768707482993199</v>
      </c>
      <c r="F51" s="500" t="str">
        <f>IF(OR(E51&gt;=0.3,E51&lt;=-0.3),"超过30%","")</f>
        <v/>
      </c>
      <c r="G51" s="499">
        <f>IF(G46&lt;G47,G47/G46-1,G46/G47-1)</f>
        <v>0.16462976276060393</v>
      </c>
      <c r="H51" s="500" t="str">
        <f>IF(OR(G51&gt;=0.3,G51&lt;=-0.3),"超过30%","")</f>
        <v/>
      </c>
      <c r="I51" s="499">
        <f>IF(I46&lt;I47,I47/I46-1,I46/I47-1)</f>
        <v>0.23015873015873023</v>
      </c>
      <c r="J51" s="500" t="str">
        <f>IF(OR(I51&gt;=0.3,I51&lt;=-0.3),"超过30%","")</f>
        <v/>
      </c>
      <c r="K51" s="1108"/>
      <c r="L51" s="1109"/>
      <c r="M51" s="1147"/>
      <c r="N51" s="1147"/>
      <c r="O51" s="1147"/>
    </row>
    <row r="52" spans="1:15" ht="13.5" customHeight="1">
      <c r="A52" s="1147"/>
      <c r="B52" s="1147"/>
      <c r="C52" s="497" t="s">
        <v>2665</v>
      </c>
      <c r="D52" s="501"/>
      <c r="E52" s="499">
        <f>IF(E47&lt;G47,G47/E47-1,E47/G47-1)</f>
        <v>0.2681524083393243</v>
      </c>
      <c r="F52" s="500" t="str">
        <f>IF(OR(E52&gt;=0.2,E52&lt;=-0.2),"超过20%","")</f>
        <v>超过20%</v>
      </c>
      <c r="G52" s="499">
        <f>IF(G47&lt;I47,I47/G47-1,G47/I47-1)</f>
        <v>8.698777857656359E-2</v>
      </c>
      <c r="H52" s="500" t="str">
        <f>IF(OR(G52&gt;=0.2,G52&lt;=-0.2),"超过20%","")</f>
        <v/>
      </c>
      <c r="I52" s="499">
        <f>IF(I47&lt;E47,E47/I47-1,I47/E47-1)</f>
        <v>0.16666666666666674</v>
      </c>
      <c r="J52" s="500" t="str">
        <f>IF(OR(I52&gt;=0.2,I52&lt;=-0.2),"超过20%","")</f>
        <v/>
      </c>
      <c r="K52" s="1108"/>
      <c r="L52" s="1109"/>
      <c r="M52" s="1147"/>
      <c r="N52" s="1147"/>
      <c r="O52" s="1147"/>
    </row>
    <row r="53" spans="1:15" s="502" customFormat="1" ht="13.5" customHeight="1">
      <c r="A53" s="1148"/>
      <c r="B53" s="1148"/>
      <c r="C53" s="497" t="s">
        <v>2666</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4" t="s">
        <v>2748</v>
      </c>
      <c r="D55" s="2705" t="s">
        <v>2749</v>
      </c>
      <c r="E55" s="686" t="s">
        <v>2750</v>
      </c>
      <c r="F55" s="1110" t="s">
        <v>2751</v>
      </c>
      <c r="G55" s="3310" t="s">
        <v>2752</v>
      </c>
      <c r="H55" s="3356"/>
      <c r="I55" s="144" t="s">
        <v>2753</v>
      </c>
      <c r="J55" s="2706" t="str">
        <f>项目基本情况!F35</f>
        <v>浙江省宁波市</v>
      </c>
      <c r="K55" s="2707" t="s">
        <v>2754</v>
      </c>
      <c r="L55" s="1109"/>
      <c r="M55" s="1147"/>
      <c r="N55" s="1147"/>
      <c r="O55" s="1147"/>
    </row>
    <row r="56" spans="1:15" s="692" customFormat="1">
      <c r="A56" s="688" t="s">
        <v>2755</v>
      </c>
      <c r="B56" s="689">
        <f>C48</f>
        <v>1556</v>
      </c>
      <c r="C56" s="690">
        <v>1</v>
      </c>
      <c r="D56" s="1166">
        <v>1</v>
      </c>
      <c r="E56" s="690">
        <f>'数据-汇总表'!E8+'数据-汇总表'!E9</f>
        <v>28072.940000000002</v>
      </c>
      <c r="F56" s="1106">
        <f t="shared" ref="F56:F65" si="15">ROUND(B56*E56/10000,0)</f>
        <v>4368</v>
      </c>
      <c r="G56" s="3306"/>
      <c r="H56" s="3295"/>
      <c r="I56" s="1111">
        <v>1</v>
      </c>
      <c r="J56" s="1114">
        <v>1</v>
      </c>
      <c r="K56" s="1148"/>
      <c r="L56" s="944"/>
      <c r="M56" s="944"/>
      <c r="N56" s="944"/>
      <c r="O56" s="944"/>
    </row>
    <row r="57" spans="1:15" s="692" customFormat="1">
      <c r="A57" s="693" t="s">
        <v>2756</v>
      </c>
      <c r="B57" s="262">
        <f>ROUND($C$48*C57*D57,0)</f>
        <v>0</v>
      </c>
      <c r="C57" s="200">
        <f t="shared" ref="C57:C65" si="16">IF($C$55="北京市系数",I57,J57)</f>
        <v>0</v>
      </c>
      <c r="D57" s="1167">
        <v>0.25</v>
      </c>
      <c r="E57" s="694"/>
      <c r="F57" s="1106">
        <f t="shared" si="15"/>
        <v>0</v>
      </c>
      <c r="G57" s="3357" t="s">
        <v>2757</v>
      </c>
      <c r="H57" s="1107">
        <f>项目基本情况!B37</f>
        <v>0</v>
      </c>
      <c r="I57" s="1111">
        <f>SUMIF(修正!A45:A56,H57,修正!B45:B56)</f>
        <v>0</v>
      </c>
      <c r="J57" s="1115"/>
      <c r="K57" s="1147"/>
      <c r="L57" s="944"/>
      <c r="M57" s="944"/>
      <c r="N57" s="944"/>
      <c r="O57" s="944"/>
    </row>
    <row r="58" spans="1:15" s="692" customFormat="1">
      <c r="A58" s="693" t="s">
        <v>2758</v>
      </c>
      <c r="B58" s="262">
        <f t="shared" ref="B58:B65" si="17">ROUND($C$48*C58*D58,0)</f>
        <v>0</v>
      </c>
      <c r="C58" s="200">
        <f t="shared" si="16"/>
        <v>0</v>
      </c>
      <c r="D58" s="1167">
        <v>0.25</v>
      </c>
      <c r="E58" s="694"/>
      <c r="F58" s="1106">
        <f t="shared" si="15"/>
        <v>0</v>
      </c>
      <c r="G58" s="3357"/>
      <c r="H58" s="1107">
        <f>项目基本情况!B37</f>
        <v>0</v>
      </c>
      <c r="I58" s="1111">
        <f>SUMIF(修正!A45:A56,H58,修正!C45:C56)</f>
        <v>0</v>
      </c>
      <c r="J58" s="1115"/>
      <c r="K58" s="1148"/>
      <c r="L58" s="944"/>
      <c r="M58" s="944"/>
      <c r="N58" s="944"/>
      <c r="O58" s="944"/>
    </row>
    <row r="59" spans="1:15" s="692" customFormat="1">
      <c r="A59" s="693" t="s">
        <v>2759</v>
      </c>
      <c r="B59" s="262">
        <f t="shared" si="17"/>
        <v>0</v>
      </c>
      <c r="C59" s="200">
        <f t="shared" si="16"/>
        <v>0</v>
      </c>
      <c r="D59" s="1167">
        <v>0.25</v>
      </c>
      <c r="E59" s="694"/>
      <c r="F59" s="1106">
        <f t="shared" si="15"/>
        <v>0</v>
      </c>
      <c r="G59" s="3357"/>
      <c r="H59" s="1107">
        <f>项目基本情况!B37</f>
        <v>0</v>
      </c>
      <c r="I59" s="1111">
        <f>SUMIF(修正!A45:A56,H59,修正!D45:D56)</f>
        <v>0</v>
      </c>
      <c r="J59" s="1115"/>
      <c r="K59" s="1147"/>
      <c r="L59" s="944"/>
      <c r="M59" s="944"/>
      <c r="N59" s="944"/>
      <c r="O59" s="944"/>
    </row>
    <row r="60" spans="1:15" s="692" customFormat="1">
      <c r="A60" s="693" t="s">
        <v>2760</v>
      </c>
      <c r="B60" s="262">
        <f t="shared" si="17"/>
        <v>0</v>
      </c>
      <c r="C60" s="200">
        <f t="shared" si="16"/>
        <v>0</v>
      </c>
      <c r="D60" s="1167">
        <v>0.25</v>
      </c>
      <c r="E60" s="694"/>
      <c r="F60" s="1106">
        <f t="shared" si="15"/>
        <v>0</v>
      </c>
      <c r="G60" s="3357"/>
      <c r="H60" s="1107">
        <f>项目基本情况!B37</f>
        <v>0</v>
      </c>
      <c r="I60" s="1111">
        <f>SUMIF(修正!A45:A56,H60,修正!E45:E56)</f>
        <v>0</v>
      </c>
      <c r="J60" s="1115"/>
      <c r="K60" s="1148"/>
      <c r="L60" s="944"/>
      <c r="M60" s="944"/>
      <c r="N60" s="944"/>
      <c r="O60" s="944"/>
    </row>
    <row r="61" spans="1:15" s="692" customFormat="1">
      <c r="A61" s="693" t="s">
        <v>2761</v>
      </c>
      <c r="B61" s="262">
        <f t="shared" si="17"/>
        <v>0</v>
      </c>
      <c r="C61" s="200">
        <f t="shared" si="16"/>
        <v>0</v>
      </c>
      <c r="D61" s="1167">
        <v>0.25</v>
      </c>
      <c r="E61" s="261">
        <f>'数据-汇总表'!E11</f>
        <v>0</v>
      </c>
      <c r="F61" s="1106">
        <f t="shared" si="15"/>
        <v>0</v>
      </c>
      <c r="G61" s="2708" t="s">
        <v>2762</v>
      </c>
      <c r="H61" s="1107">
        <f>项目基本情况!C37</f>
        <v>0</v>
      </c>
      <c r="I61" s="1111">
        <f>SUMIF(修正!A45:A56,H61,修正!F45:F56)</f>
        <v>0</v>
      </c>
      <c r="J61" s="1115"/>
      <c r="K61" s="1147"/>
      <c r="L61" s="944"/>
      <c r="M61" s="944"/>
      <c r="N61" s="944"/>
      <c r="O61" s="944"/>
    </row>
    <row r="62" spans="1:15" s="692" customFormat="1">
      <c r="A62" s="693" t="s">
        <v>2763</v>
      </c>
      <c r="B62" s="262">
        <f t="shared" si="17"/>
        <v>0</v>
      </c>
      <c r="C62" s="200">
        <f t="shared" si="16"/>
        <v>0</v>
      </c>
      <c r="D62" s="1167">
        <v>0.25</v>
      </c>
      <c r="E62" s="261">
        <f>'数据-汇总表'!E12</f>
        <v>0</v>
      </c>
      <c r="F62" s="1106">
        <f t="shared" si="15"/>
        <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f t="shared" si="17"/>
        <v>0</v>
      </c>
      <c r="C63" s="200">
        <f t="shared" si="16"/>
        <v>0</v>
      </c>
      <c r="D63" s="1167">
        <v>0.25</v>
      </c>
      <c r="E63" s="261">
        <f>'数据-汇总表'!E13</f>
        <v>0</v>
      </c>
      <c r="F63" s="1106">
        <f t="shared" si="15"/>
        <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f t="shared" si="17"/>
        <v>0</v>
      </c>
      <c r="C64" s="200">
        <f t="shared" si="16"/>
        <v>0</v>
      </c>
      <c r="D64" s="1167">
        <v>0.25</v>
      </c>
      <c r="E64" s="261">
        <f>'数据-汇总表'!E14</f>
        <v>0</v>
      </c>
      <c r="F64" s="1106">
        <f t="shared" si="15"/>
        <v>0</v>
      </c>
      <c r="G64" s="2708" t="s">
        <v>2757</v>
      </c>
      <c r="H64" s="1107">
        <f>项目基本情况!B37</f>
        <v>0</v>
      </c>
      <c r="I64" s="1111">
        <f>SUMIF(修正!A45:A56,H64,修正!H45:H56)</f>
        <v>0</v>
      </c>
      <c r="J64" s="1115"/>
      <c r="K64" s="1148"/>
      <c r="L64" s="944"/>
      <c r="M64" s="944"/>
      <c r="N64" s="944"/>
      <c r="O64" s="944"/>
    </row>
    <row r="65" spans="1:17" s="692" customFormat="1" ht="15" thickBot="1">
      <c r="A65" s="693" t="s">
        <v>2768</v>
      </c>
      <c r="B65" s="262">
        <f t="shared" si="17"/>
        <v>0</v>
      </c>
      <c r="C65" s="200">
        <f t="shared" si="16"/>
        <v>0</v>
      </c>
      <c r="D65" s="1167">
        <v>0.25</v>
      </c>
      <c r="E65" s="261">
        <f>'数据-汇总表'!E15</f>
        <v>0</v>
      </c>
      <c r="F65" s="1106">
        <f t="shared" si="15"/>
        <v>0</v>
      </c>
      <c r="G65" s="2709"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60760.83</v>
      </c>
      <c r="F66" s="697">
        <f>IF(B46="楼面地价",SUM(F56:F65),ROUND(C48*E66/10000,0))</f>
        <v>9454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0" t="s">
        <v>2770</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1377</v>
      </c>
      <c r="B71" s="332" t="str">
        <f>"北京市平均增长率"&amp;TEXT(SUMIF(基准地价修正!N21:N25,A71,基准地价修正!P21:P25),"0.00%")</f>
        <v>北京市平均增长率1.54%</v>
      </c>
      <c r="C71" s="603">
        <v>100</v>
      </c>
      <c r="D71" s="595">
        <f>C71-$C$72</f>
        <v>100</v>
      </c>
      <c r="E71" s="595">
        <f t="shared" ref="E71:O71" si="20">D71-$C$72</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75" thickBot="1">
      <c r="A72" s="515" t="s">
        <v>2578</v>
      </c>
      <c r="B72" s="516"/>
      <c r="C72" s="517">
        <v>0</v>
      </c>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3017" t="s">
        <v>3453</v>
      </c>
      <c r="D75" s="3017" t="s">
        <v>3451</v>
      </c>
      <c r="E75" s="530"/>
      <c r="F75" s="530"/>
      <c r="G75" s="530"/>
      <c r="H75" s="530"/>
      <c r="I75" s="530"/>
      <c r="J75" s="530"/>
      <c r="K75" s="531"/>
      <c r="L75" s="532"/>
      <c r="M75" s="533"/>
      <c r="N75" s="1155"/>
      <c r="O75" s="1155"/>
      <c r="P75" s="45"/>
      <c r="Q75" s="504"/>
    </row>
    <row r="76" spans="1:17" ht="15.75" thickBot="1">
      <c r="A76" s="534"/>
      <c r="B76" s="535"/>
      <c r="C76" s="536">
        <v>100</v>
      </c>
      <c r="D76" s="536">
        <v>90</v>
      </c>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105</v>
      </c>
      <c r="E81" s="544">
        <f t="shared" si="22"/>
        <v>110</v>
      </c>
      <c r="F81" s="544">
        <f t="shared" si="22"/>
        <v>115</v>
      </c>
      <c r="G81" s="544">
        <f t="shared" si="22"/>
        <v>120</v>
      </c>
      <c r="H81" s="544">
        <f t="shared" si="22"/>
        <v>125</v>
      </c>
      <c r="I81" s="544">
        <f t="shared" si="22"/>
        <v>130</v>
      </c>
      <c r="J81" s="544">
        <f t="shared" si="22"/>
        <v>135</v>
      </c>
      <c r="K81" s="544">
        <f t="shared" si="22"/>
        <v>140</v>
      </c>
      <c r="L81" s="544">
        <f t="shared" si="22"/>
        <v>145</v>
      </c>
      <c r="M81" s="544">
        <f t="shared" si="22"/>
        <v>150</v>
      </c>
      <c r="N81" s="1156"/>
      <c r="O81" s="1156"/>
      <c r="P81" s="45"/>
      <c r="Q81" s="504"/>
    </row>
    <row r="82" spans="1:17" s="471" customFormat="1" ht="19.5" hidden="1" customHeight="1" thickTop="1">
      <c r="A82" s="553"/>
      <c r="B82" s="538">
        <f>B12</f>
        <v>0</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2772</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2773</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2684</v>
      </c>
      <c r="C106" s="3019" t="s">
        <v>3425</v>
      </c>
      <c r="D106" s="3019" t="s">
        <v>3426</v>
      </c>
      <c r="E106" s="3019" t="s">
        <v>3428</v>
      </c>
      <c r="F106" s="3019" t="s">
        <v>3429</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hidden="1" thickTop="1">
      <c r="A108" s="534"/>
      <c r="B108" s="538" t="s">
        <v>2740</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2556</v>
      </c>
      <c r="B116" s="528" t="s">
        <v>2778</v>
      </c>
      <c r="C116" s="529" t="str">
        <f>C117&amp;"(含)"&amp;"-"&amp;D117</f>
        <v>0(含)-20000</v>
      </c>
      <c r="D116" s="529" t="str">
        <f t="shared" ref="D116:M116" si="26">D117&amp;"(含)"&amp;"-"&amp;E117</f>
        <v>20000(含)-50000</v>
      </c>
      <c r="E116" s="529" t="str">
        <f t="shared" si="26"/>
        <v>50000(含)-100000</v>
      </c>
      <c r="F116" s="529" t="str">
        <f t="shared" si="26"/>
        <v>100000(含)-150000</v>
      </c>
      <c r="G116" s="529" t="str">
        <f t="shared" si="26"/>
        <v>150000(含)-200000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50000</v>
      </c>
      <c r="F117" s="595">
        <v>100000</v>
      </c>
      <c r="G117" s="595">
        <v>150000</v>
      </c>
      <c r="H117" s="595">
        <v>200000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2779</v>
      </c>
      <c r="C119" s="3020" t="s">
        <v>3430</v>
      </c>
      <c r="D119" s="3020" t="s">
        <v>3432</v>
      </c>
      <c r="E119" s="3020" t="s">
        <v>3434</v>
      </c>
      <c r="F119" s="3020" t="s">
        <v>3435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2781</v>
      </c>
      <c r="C123" s="3019" t="s">
        <v>3437</v>
      </c>
      <c r="D123" s="3019" t="s">
        <v>3438</v>
      </c>
      <c r="E123" s="3019" t="s">
        <v>3439</v>
      </c>
      <c r="F123" s="3019" t="s">
        <v>3441</v>
      </c>
      <c r="G123" s="554"/>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7"/>
      <c r="O124" s="1157"/>
      <c r="P124" s="558"/>
      <c r="Q124" s="559"/>
    </row>
    <row r="125" spans="1:17" ht="15" thickTop="1">
      <c r="A125" s="599"/>
      <c r="B125" s="538" t="s">
        <v>2782</v>
      </c>
      <c r="C125" s="3019" t="s">
        <v>3443</v>
      </c>
      <c r="D125" s="3019" t="s">
        <v>3445</v>
      </c>
      <c r="E125" s="3020" t="s">
        <v>3447</v>
      </c>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1" priority="14" stopIfTrue="1" operator="containsText" text="超过">
      <formula>NOT(ISERROR(SEARCH("超过",F51)))</formula>
    </cfRule>
  </conditionalFormatting>
  <conditionalFormatting sqref="J53">
    <cfRule type="containsText" dxfId="70" priority="13" stopIfTrue="1" operator="containsText" text="超过">
      <formula>NOT(ISERROR(SEARCH("超过",J53)))</formula>
    </cfRule>
  </conditionalFormatting>
  <conditionalFormatting sqref="H53">
    <cfRule type="containsText" dxfId="69" priority="12" stopIfTrue="1" operator="containsText" text="超过">
      <formula>NOT(ISERROR(SEARCH("超过",H53)))</formula>
    </cfRule>
  </conditionalFormatting>
  <conditionalFormatting sqref="F53">
    <cfRule type="containsText" dxfId="68" priority="11" stopIfTrue="1" operator="containsText" text="超过">
      <formula>NOT(ISERROR(SEARCH("超过",F53)))</formula>
    </cfRule>
  </conditionalFormatting>
  <conditionalFormatting sqref="F52 H52 J52">
    <cfRule type="containsText" dxfId="67" priority="10" stopIfTrue="1" operator="containsText" text="超过">
      <formula>NOT(ISERROR(SEARCH("超过",F52)))</formula>
    </cfRule>
  </conditionalFormatting>
  <conditionalFormatting sqref="E51">
    <cfRule type="expression" dxfId="66" priority="9" stopIfTrue="1">
      <formula>$F$51="超过30%"</formula>
    </cfRule>
  </conditionalFormatting>
  <conditionalFormatting sqref="G53">
    <cfRule type="expression" dxfId="65" priority="8" stopIfTrue="1">
      <formula>$H$53="超过30%"</formula>
    </cfRule>
  </conditionalFormatting>
  <conditionalFormatting sqref="E52">
    <cfRule type="expression" dxfId="64" priority="7" stopIfTrue="1">
      <formula>$F$52="超过20%"</formula>
    </cfRule>
  </conditionalFormatting>
  <conditionalFormatting sqref="E53">
    <cfRule type="expression" dxfId="63" priority="6" stopIfTrue="1">
      <formula>$F$53="超过30%"</formula>
    </cfRule>
  </conditionalFormatting>
  <conditionalFormatting sqref="G51">
    <cfRule type="expression" dxfId="62" priority="5" stopIfTrue="1">
      <formula>$H$53+$H$51="超过30%"</formula>
    </cfRule>
  </conditionalFormatting>
  <conditionalFormatting sqref="G52">
    <cfRule type="expression" dxfId="61" priority="4" stopIfTrue="1">
      <formula>$H$52="超过20%"</formula>
    </cfRule>
  </conditionalFormatting>
  <conditionalFormatting sqref="I51">
    <cfRule type="expression" dxfId="60" priority="3" stopIfTrue="1">
      <formula>$J$51="超过30%"</formula>
    </cfRule>
  </conditionalFormatting>
  <conditionalFormatting sqref="I52">
    <cfRule type="expression" dxfId="59" priority="2" stopIfTrue="1">
      <formula>$J$52="超过20%"</formula>
    </cfRule>
  </conditionalFormatting>
  <conditionalFormatting sqref="I53">
    <cfRule type="expression" dxfId="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workbookViewId="0">
      <selection activeCell="E23" sqref="E23:F23"/>
    </sheetView>
  </sheetViews>
  <sheetFormatPr defaultRowHeight="13.5"/>
  <cols>
    <col min="1" max="1" width="24.5" style="3013" customWidth="1"/>
    <col min="2" max="2" width="6.25" style="3013" customWidth="1"/>
    <col min="3" max="3" width="11.75" style="3013" customWidth="1"/>
    <col min="4" max="5" width="13.875" style="3013" customWidth="1"/>
    <col min="6" max="6" width="19.125" style="3013" customWidth="1"/>
    <col min="7" max="7" width="7.375" style="3013" customWidth="1"/>
    <col min="8" max="8" width="7.875" style="3013" customWidth="1"/>
    <col min="9" max="9" width="12.125" style="3013" customWidth="1"/>
    <col min="10" max="11" width="10.625" style="3013" customWidth="1"/>
    <col min="12" max="12" width="11.375" style="3013" customWidth="1"/>
    <col min="13" max="13" width="8" style="3013" customWidth="1"/>
    <col min="14" max="14" width="6.25" style="3013" customWidth="1"/>
    <col min="15" max="15" width="29.375" style="3013" customWidth="1"/>
    <col min="16" max="258" width="9" style="3013"/>
    <col min="259" max="259" width="24.5" style="3013" customWidth="1"/>
    <col min="260" max="260" width="6.25" style="3013" customWidth="1"/>
    <col min="261" max="261" width="11.75" style="3013" customWidth="1"/>
    <col min="262" max="263" width="13.875" style="3013" customWidth="1"/>
    <col min="264" max="264" width="19.125" style="3013" customWidth="1"/>
    <col min="265" max="265" width="7.875" style="3013" customWidth="1"/>
    <col min="266" max="266" width="9" style="3013" customWidth="1"/>
    <col min="267" max="268" width="10.625" style="3013" customWidth="1"/>
    <col min="269" max="269" width="14.375" style="3013" customWidth="1"/>
    <col min="270" max="270" width="6.25" style="3013" customWidth="1"/>
    <col min="271" max="271" width="29.375" style="3013" customWidth="1"/>
    <col min="272" max="514" width="9" style="3013"/>
    <col min="515" max="515" width="24.5" style="3013" customWidth="1"/>
    <col min="516" max="516" width="6.25" style="3013" customWidth="1"/>
    <col min="517" max="517" width="11.75" style="3013" customWidth="1"/>
    <col min="518" max="519" width="13.875" style="3013" customWidth="1"/>
    <col min="520" max="520" width="19.125" style="3013" customWidth="1"/>
    <col min="521" max="521" width="7.875" style="3013" customWidth="1"/>
    <col min="522" max="522" width="9" style="3013" customWidth="1"/>
    <col min="523" max="524" width="10.625" style="3013" customWidth="1"/>
    <col min="525" max="525" width="14.375" style="3013" customWidth="1"/>
    <col min="526" max="526" width="6.25" style="3013" customWidth="1"/>
    <col min="527" max="527" width="29.375" style="3013" customWidth="1"/>
    <col min="528" max="770" width="9" style="3013"/>
    <col min="771" max="771" width="24.5" style="3013" customWidth="1"/>
    <col min="772" max="772" width="6.25" style="3013" customWidth="1"/>
    <col min="773" max="773" width="11.75" style="3013" customWidth="1"/>
    <col min="774" max="775" width="13.875" style="3013" customWidth="1"/>
    <col min="776" max="776" width="19.125" style="3013" customWidth="1"/>
    <col min="777" max="777" width="7.875" style="3013" customWidth="1"/>
    <col min="778" max="778" width="9" style="3013" customWidth="1"/>
    <col min="779" max="780" width="10.625" style="3013" customWidth="1"/>
    <col min="781" max="781" width="14.375" style="3013" customWidth="1"/>
    <col min="782" max="782" width="6.25" style="3013" customWidth="1"/>
    <col min="783" max="783" width="29.375" style="3013" customWidth="1"/>
    <col min="784" max="1026" width="9" style="3013"/>
    <col min="1027" max="1027" width="24.5" style="3013" customWidth="1"/>
    <col min="1028" max="1028" width="6.25" style="3013" customWidth="1"/>
    <col min="1029" max="1029" width="11.75" style="3013" customWidth="1"/>
    <col min="1030" max="1031" width="13.875" style="3013" customWidth="1"/>
    <col min="1032" max="1032" width="19.125" style="3013" customWidth="1"/>
    <col min="1033" max="1033" width="7.875" style="3013" customWidth="1"/>
    <col min="1034" max="1034" width="9" style="3013" customWidth="1"/>
    <col min="1035" max="1036" width="10.625" style="3013" customWidth="1"/>
    <col min="1037" max="1037" width="14.375" style="3013" customWidth="1"/>
    <col min="1038" max="1038" width="6.25" style="3013" customWidth="1"/>
    <col min="1039" max="1039" width="29.375" style="3013" customWidth="1"/>
    <col min="1040" max="1282" width="9" style="3013"/>
    <col min="1283" max="1283" width="24.5" style="3013" customWidth="1"/>
    <col min="1284" max="1284" width="6.25" style="3013" customWidth="1"/>
    <col min="1285" max="1285" width="11.75" style="3013" customWidth="1"/>
    <col min="1286" max="1287" width="13.875" style="3013" customWidth="1"/>
    <col min="1288" max="1288" width="19.125" style="3013" customWidth="1"/>
    <col min="1289" max="1289" width="7.875" style="3013" customWidth="1"/>
    <col min="1290" max="1290" width="9" style="3013" customWidth="1"/>
    <col min="1291" max="1292" width="10.625" style="3013" customWidth="1"/>
    <col min="1293" max="1293" width="14.375" style="3013" customWidth="1"/>
    <col min="1294" max="1294" width="6.25" style="3013" customWidth="1"/>
    <col min="1295" max="1295" width="29.375" style="3013" customWidth="1"/>
    <col min="1296" max="1538" width="9" style="3013"/>
    <col min="1539" max="1539" width="24.5" style="3013" customWidth="1"/>
    <col min="1540" max="1540" width="6.25" style="3013" customWidth="1"/>
    <col min="1541" max="1541" width="11.75" style="3013" customWidth="1"/>
    <col min="1542" max="1543" width="13.875" style="3013" customWidth="1"/>
    <col min="1544" max="1544" width="19.125" style="3013" customWidth="1"/>
    <col min="1545" max="1545" width="7.875" style="3013" customWidth="1"/>
    <col min="1546" max="1546" width="9" style="3013" customWidth="1"/>
    <col min="1547" max="1548" width="10.625" style="3013" customWidth="1"/>
    <col min="1549" max="1549" width="14.375" style="3013" customWidth="1"/>
    <col min="1550" max="1550" width="6.25" style="3013" customWidth="1"/>
    <col min="1551" max="1551" width="29.375" style="3013" customWidth="1"/>
    <col min="1552" max="1794" width="9" style="3013"/>
    <col min="1795" max="1795" width="24.5" style="3013" customWidth="1"/>
    <col min="1796" max="1796" width="6.25" style="3013" customWidth="1"/>
    <col min="1797" max="1797" width="11.75" style="3013" customWidth="1"/>
    <col min="1798" max="1799" width="13.875" style="3013" customWidth="1"/>
    <col min="1800" max="1800" width="19.125" style="3013" customWidth="1"/>
    <col min="1801" max="1801" width="7.875" style="3013" customWidth="1"/>
    <col min="1802" max="1802" width="9" style="3013" customWidth="1"/>
    <col min="1803" max="1804" width="10.625" style="3013" customWidth="1"/>
    <col min="1805" max="1805" width="14.375" style="3013" customWidth="1"/>
    <col min="1806" max="1806" width="6.25" style="3013" customWidth="1"/>
    <col min="1807" max="1807" width="29.375" style="3013" customWidth="1"/>
    <col min="1808" max="2050" width="9" style="3013"/>
    <col min="2051" max="2051" width="24.5" style="3013" customWidth="1"/>
    <col min="2052" max="2052" width="6.25" style="3013" customWidth="1"/>
    <col min="2053" max="2053" width="11.75" style="3013" customWidth="1"/>
    <col min="2054" max="2055" width="13.875" style="3013" customWidth="1"/>
    <col min="2056" max="2056" width="19.125" style="3013" customWidth="1"/>
    <col min="2057" max="2057" width="7.875" style="3013" customWidth="1"/>
    <col min="2058" max="2058" width="9" style="3013" customWidth="1"/>
    <col min="2059" max="2060" width="10.625" style="3013" customWidth="1"/>
    <col min="2061" max="2061" width="14.375" style="3013" customWidth="1"/>
    <col min="2062" max="2062" width="6.25" style="3013" customWidth="1"/>
    <col min="2063" max="2063" width="29.375" style="3013" customWidth="1"/>
    <col min="2064" max="2306" width="9" style="3013"/>
    <col min="2307" max="2307" width="24.5" style="3013" customWidth="1"/>
    <col min="2308" max="2308" width="6.25" style="3013" customWidth="1"/>
    <col min="2309" max="2309" width="11.75" style="3013" customWidth="1"/>
    <col min="2310" max="2311" width="13.875" style="3013" customWidth="1"/>
    <col min="2312" max="2312" width="19.125" style="3013" customWidth="1"/>
    <col min="2313" max="2313" width="7.875" style="3013" customWidth="1"/>
    <col min="2314" max="2314" width="9" style="3013" customWidth="1"/>
    <col min="2315" max="2316" width="10.625" style="3013" customWidth="1"/>
    <col min="2317" max="2317" width="14.375" style="3013" customWidth="1"/>
    <col min="2318" max="2318" width="6.25" style="3013" customWidth="1"/>
    <col min="2319" max="2319" width="29.375" style="3013" customWidth="1"/>
    <col min="2320" max="2562" width="9" style="3013"/>
    <col min="2563" max="2563" width="24.5" style="3013" customWidth="1"/>
    <col min="2564" max="2564" width="6.25" style="3013" customWidth="1"/>
    <col min="2565" max="2565" width="11.75" style="3013" customWidth="1"/>
    <col min="2566" max="2567" width="13.875" style="3013" customWidth="1"/>
    <col min="2568" max="2568" width="19.125" style="3013" customWidth="1"/>
    <col min="2569" max="2569" width="7.875" style="3013" customWidth="1"/>
    <col min="2570" max="2570" width="9" style="3013" customWidth="1"/>
    <col min="2571" max="2572" width="10.625" style="3013" customWidth="1"/>
    <col min="2573" max="2573" width="14.375" style="3013" customWidth="1"/>
    <col min="2574" max="2574" width="6.25" style="3013" customWidth="1"/>
    <col min="2575" max="2575" width="29.375" style="3013" customWidth="1"/>
    <col min="2576" max="2818" width="9" style="3013"/>
    <col min="2819" max="2819" width="24.5" style="3013" customWidth="1"/>
    <col min="2820" max="2820" width="6.25" style="3013" customWidth="1"/>
    <col min="2821" max="2821" width="11.75" style="3013" customWidth="1"/>
    <col min="2822" max="2823" width="13.875" style="3013" customWidth="1"/>
    <col min="2824" max="2824" width="19.125" style="3013" customWidth="1"/>
    <col min="2825" max="2825" width="7.875" style="3013" customWidth="1"/>
    <col min="2826" max="2826" width="9" style="3013" customWidth="1"/>
    <col min="2827" max="2828" width="10.625" style="3013" customWidth="1"/>
    <col min="2829" max="2829" width="14.375" style="3013" customWidth="1"/>
    <col min="2830" max="2830" width="6.25" style="3013" customWidth="1"/>
    <col min="2831" max="2831" width="29.375" style="3013" customWidth="1"/>
    <col min="2832" max="3074" width="9" style="3013"/>
    <col min="3075" max="3075" width="24.5" style="3013" customWidth="1"/>
    <col min="3076" max="3076" width="6.25" style="3013" customWidth="1"/>
    <col min="3077" max="3077" width="11.75" style="3013" customWidth="1"/>
    <col min="3078" max="3079" width="13.875" style="3013" customWidth="1"/>
    <col min="3080" max="3080" width="19.125" style="3013" customWidth="1"/>
    <col min="3081" max="3081" width="7.875" style="3013" customWidth="1"/>
    <col min="3082" max="3082" width="9" style="3013" customWidth="1"/>
    <col min="3083" max="3084" width="10.625" style="3013" customWidth="1"/>
    <col min="3085" max="3085" width="14.375" style="3013" customWidth="1"/>
    <col min="3086" max="3086" width="6.25" style="3013" customWidth="1"/>
    <col min="3087" max="3087" width="29.375" style="3013" customWidth="1"/>
    <col min="3088" max="3330" width="9" style="3013"/>
    <col min="3331" max="3331" width="24.5" style="3013" customWidth="1"/>
    <col min="3332" max="3332" width="6.25" style="3013" customWidth="1"/>
    <col min="3333" max="3333" width="11.75" style="3013" customWidth="1"/>
    <col min="3334" max="3335" width="13.875" style="3013" customWidth="1"/>
    <col min="3336" max="3336" width="19.125" style="3013" customWidth="1"/>
    <col min="3337" max="3337" width="7.875" style="3013" customWidth="1"/>
    <col min="3338" max="3338" width="9" style="3013" customWidth="1"/>
    <col min="3339" max="3340" width="10.625" style="3013" customWidth="1"/>
    <col min="3341" max="3341" width="14.375" style="3013" customWidth="1"/>
    <col min="3342" max="3342" width="6.25" style="3013" customWidth="1"/>
    <col min="3343" max="3343" width="29.375" style="3013" customWidth="1"/>
    <col min="3344" max="3586" width="9" style="3013"/>
    <col min="3587" max="3587" width="24.5" style="3013" customWidth="1"/>
    <col min="3588" max="3588" width="6.25" style="3013" customWidth="1"/>
    <col min="3589" max="3589" width="11.75" style="3013" customWidth="1"/>
    <col min="3590" max="3591" width="13.875" style="3013" customWidth="1"/>
    <col min="3592" max="3592" width="19.125" style="3013" customWidth="1"/>
    <col min="3593" max="3593" width="7.875" style="3013" customWidth="1"/>
    <col min="3594" max="3594" width="9" style="3013" customWidth="1"/>
    <col min="3595" max="3596" width="10.625" style="3013" customWidth="1"/>
    <col min="3597" max="3597" width="14.375" style="3013" customWidth="1"/>
    <col min="3598" max="3598" width="6.25" style="3013" customWidth="1"/>
    <col min="3599" max="3599" width="29.375" style="3013" customWidth="1"/>
    <col min="3600" max="3842" width="9" style="3013"/>
    <col min="3843" max="3843" width="24.5" style="3013" customWidth="1"/>
    <col min="3844" max="3844" width="6.25" style="3013" customWidth="1"/>
    <col min="3845" max="3845" width="11.75" style="3013" customWidth="1"/>
    <col min="3846" max="3847" width="13.875" style="3013" customWidth="1"/>
    <col min="3848" max="3848" width="19.125" style="3013" customWidth="1"/>
    <col min="3849" max="3849" width="7.875" style="3013" customWidth="1"/>
    <col min="3850" max="3850" width="9" style="3013" customWidth="1"/>
    <col min="3851" max="3852" width="10.625" style="3013" customWidth="1"/>
    <col min="3853" max="3853" width="14.375" style="3013" customWidth="1"/>
    <col min="3854" max="3854" width="6.25" style="3013" customWidth="1"/>
    <col min="3855" max="3855" width="29.375" style="3013" customWidth="1"/>
    <col min="3856" max="4098" width="9" style="3013"/>
    <col min="4099" max="4099" width="24.5" style="3013" customWidth="1"/>
    <col min="4100" max="4100" width="6.25" style="3013" customWidth="1"/>
    <col min="4101" max="4101" width="11.75" style="3013" customWidth="1"/>
    <col min="4102" max="4103" width="13.875" style="3013" customWidth="1"/>
    <col min="4104" max="4104" width="19.125" style="3013" customWidth="1"/>
    <col min="4105" max="4105" width="7.875" style="3013" customWidth="1"/>
    <col min="4106" max="4106" width="9" style="3013" customWidth="1"/>
    <col min="4107" max="4108" width="10.625" style="3013" customWidth="1"/>
    <col min="4109" max="4109" width="14.375" style="3013" customWidth="1"/>
    <col min="4110" max="4110" width="6.25" style="3013" customWidth="1"/>
    <col min="4111" max="4111" width="29.375" style="3013" customWidth="1"/>
    <col min="4112" max="4354" width="9" style="3013"/>
    <col min="4355" max="4355" width="24.5" style="3013" customWidth="1"/>
    <col min="4356" max="4356" width="6.25" style="3013" customWidth="1"/>
    <col min="4357" max="4357" width="11.75" style="3013" customWidth="1"/>
    <col min="4358" max="4359" width="13.875" style="3013" customWidth="1"/>
    <col min="4360" max="4360" width="19.125" style="3013" customWidth="1"/>
    <col min="4361" max="4361" width="7.875" style="3013" customWidth="1"/>
    <col min="4362" max="4362" width="9" style="3013" customWidth="1"/>
    <col min="4363" max="4364" width="10.625" style="3013" customWidth="1"/>
    <col min="4365" max="4365" width="14.375" style="3013" customWidth="1"/>
    <col min="4366" max="4366" width="6.25" style="3013" customWidth="1"/>
    <col min="4367" max="4367" width="29.375" style="3013" customWidth="1"/>
    <col min="4368" max="4610" width="9" style="3013"/>
    <col min="4611" max="4611" width="24.5" style="3013" customWidth="1"/>
    <col min="4612" max="4612" width="6.25" style="3013" customWidth="1"/>
    <col min="4613" max="4613" width="11.75" style="3013" customWidth="1"/>
    <col min="4614" max="4615" width="13.875" style="3013" customWidth="1"/>
    <col min="4616" max="4616" width="19.125" style="3013" customWidth="1"/>
    <col min="4617" max="4617" width="7.875" style="3013" customWidth="1"/>
    <col min="4618" max="4618" width="9" style="3013" customWidth="1"/>
    <col min="4619" max="4620" width="10.625" style="3013" customWidth="1"/>
    <col min="4621" max="4621" width="14.375" style="3013" customWidth="1"/>
    <col min="4622" max="4622" width="6.25" style="3013" customWidth="1"/>
    <col min="4623" max="4623" width="29.375" style="3013" customWidth="1"/>
    <col min="4624" max="4866" width="9" style="3013"/>
    <col min="4867" max="4867" width="24.5" style="3013" customWidth="1"/>
    <col min="4868" max="4868" width="6.25" style="3013" customWidth="1"/>
    <col min="4869" max="4869" width="11.75" style="3013" customWidth="1"/>
    <col min="4870" max="4871" width="13.875" style="3013" customWidth="1"/>
    <col min="4872" max="4872" width="19.125" style="3013" customWidth="1"/>
    <col min="4873" max="4873" width="7.875" style="3013" customWidth="1"/>
    <col min="4874" max="4874" width="9" style="3013" customWidth="1"/>
    <col min="4875" max="4876" width="10.625" style="3013" customWidth="1"/>
    <col min="4877" max="4877" width="14.375" style="3013" customWidth="1"/>
    <col min="4878" max="4878" width="6.25" style="3013" customWidth="1"/>
    <col min="4879" max="4879" width="29.375" style="3013" customWidth="1"/>
    <col min="4880" max="5122" width="9" style="3013"/>
    <col min="5123" max="5123" width="24.5" style="3013" customWidth="1"/>
    <col min="5124" max="5124" width="6.25" style="3013" customWidth="1"/>
    <col min="5125" max="5125" width="11.75" style="3013" customWidth="1"/>
    <col min="5126" max="5127" width="13.875" style="3013" customWidth="1"/>
    <col min="5128" max="5128" width="19.125" style="3013" customWidth="1"/>
    <col min="5129" max="5129" width="7.875" style="3013" customWidth="1"/>
    <col min="5130" max="5130" width="9" style="3013" customWidth="1"/>
    <col min="5131" max="5132" width="10.625" style="3013" customWidth="1"/>
    <col min="5133" max="5133" width="14.375" style="3013" customWidth="1"/>
    <col min="5134" max="5134" width="6.25" style="3013" customWidth="1"/>
    <col min="5135" max="5135" width="29.375" style="3013" customWidth="1"/>
    <col min="5136" max="5378" width="9" style="3013"/>
    <col min="5379" max="5379" width="24.5" style="3013" customWidth="1"/>
    <col min="5380" max="5380" width="6.25" style="3013" customWidth="1"/>
    <col min="5381" max="5381" width="11.75" style="3013" customWidth="1"/>
    <col min="5382" max="5383" width="13.875" style="3013" customWidth="1"/>
    <col min="5384" max="5384" width="19.125" style="3013" customWidth="1"/>
    <col min="5385" max="5385" width="7.875" style="3013" customWidth="1"/>
    <col min="5386" max="5386" width="9" style="3013" customWidth="1"/>
    <col min="5387" max="5388" width="10.625" style="3013" customWidth="1"/>
    <col min="5389" max="5389" width="14.375" style="3013" customWidth="1"/>
    <col min="5390" max="5390" width="6.25" style="3013" customWidth="1"/>
    <col min="5391" max="5391" width="29.375" style="3013" customWidth="1"/>
    <col min="5392" max="5634" width="9" style="3013"/>
    <col min="5635" max="5635" width="24.5" style="3013" customWidth="1"/>
    <col min="5636" max="5636" width="6.25" style="3013" customWidth="1"/>
    <col min="5637" max="5637" width="11.75" style="3013" customWidth="1"/>
    <col min="5638" max="5639" width="13.875" style="3013" customWidth="1"/>
    <col min="5640" max="5640" width="19.125" style="3013" customWidth="1"/>
    <col min="5641" max="5641" width="7.875" style="3013" customWidth="1"/>
    <col min="5642" max="5642" width="9" style="3013" customWidth="1"/>
    <col min="5643" max="5644" width="10.625" style="3013" customWidth="1"/>
    <col min="5645" max="5645" width="14.375" style="3013" customWidth="1"/>
    <col min="5646" max="5646" width="6.25" style="3013" customWidth="1"/>
    <col min="5647" max="5647" width="29.375" style="3013" customWidth="1"/>
    <col min="5648" max="5890" width="9" style="3013"/>
    <col min="5891" max="5891" width="24.5" style="3013" customWidth="1"/>
    <col min="5892" max="5892" width="6.25" style="3013" customWidth="1"/>
    <col min="5893" max="5893" width="11.75" style="3013" customWidth="1"/>
    <col min="5894" max="5895" width="13.875" style="3013" customWidth="1"/>
    <col min="5896" max="5896" width="19.125" style="3013" customWidth="1"/>
    <col min="5897" max="5897" width="7.875" style="3013" customWidth="1"/>
    <col min="5898" max="5898" width="9" style="3013" customWidth="1"/>
    <col min="5899" max="5900" width="10.625" style="3013" customWidth="1"/>
    <col min="5901" max="5901" width="14.375" style="3013" customWidth="1"/>
    <col min="5902" max="5902" width="6.25" style="3013" customWidth="1"/>
    <col min="5903" max="5903" width="29.375" style="3013" customWidth="1"/>
    <col min="5904" max="6146" width="9" style="3013"/>
    <col min="6147" max="6147" width="24.5" style="3013" customWidth="1"/>
    <col min="6148" max="6148" width="6.25" style="3013" customWidth="1"/>
    <col min="6149" max="6149" width="11.75" style="3013" customWidth="1"/>
    <col min="6150" max="6151" width="13.875" style="3013" customWidth="1"/>
    <col min="6152" max="6152" width="19.125" style="3013" customWidth="1"/>
    <col min="6153" max="6153" width="7.875" style="3013" customWidth="1"/>
    <col min="6154" max="6154" width="9" style="3013" customWidth="1"/>
    <col min="6155" max="6156" width="10.625" style="3013" customWidth="1"/>
    <col min="6157" max="6157" width="14.375" style="3013" customWidth="1"/>
    <col min="6158" max="6158" width="6.25" style="3013" customWidth="1"/>
    <col min="6159" max="6159" width="29.375" style="3013" customWidth="1"/>
    <col min="6160" max="6402" width="9" style="3013"/>
    <col min="6403" max="6403" width="24.5" style="3013" customWidth="1"/>
    <col min="6404" max="6404" width="6.25" style="3013" customWidth="1"/>
    <col min="6405" max="6405" width="11.75" style="3013" customWidth="1"/>
    <col min="6406" max="6407" width="13.875" style="3013" customWidth="1"/>
    <col min="6408" max="6408" width="19.125" style="3013" customWidth="1"/>
    <col min="6409" max="6409" width="7.875" style="3013" customWidth="1"/>
    <col min="6410" max="6410" width="9" style="3013" customWidth="1"/>
    <col min="6411" max="6412" width="10.625" style="3013" customWidth="1"/>
    <col min="6413" max="6413" width="14.375" style="3013" customWidth="1"/>
    <col min="6414" max="6414" width="6.25" style="3013" customWidth="1"/>
    <col min="6415" max="6415" width="29.375" style="3013" customWidth="1"/>
    <col min="6416" max="6658" width="9" style="3013"/>
    <col min="6659" max="6659" width="24.5" style="3013" customWidth="1"/>
    <col min="6660" max="6660" width="6.25" style="3013" customWidth="1"/>
    <col min="6661" max="6661" width="11.75" style="3013" customWidth="1"/>
    <col min="6662" max="6663" width="13.875" style="3013" customWidth="1"/>
    <col min="6664" max="6664" width="19.125" style="3013" customWidth="1"/>
    <col min="6665" max="6665" width="7.875" style="3013" customWidth="1"/>
    <col min="6666" max="6666" width="9" style="3013" customWidth="1"/>
    <col min="6667" max="6668" width="10.625" style="3013" customWidth="1"/>
    <col min="6669" max="6669" width="14.375" style="3013" customWidth="1"/>
    <col min="6670" max="6670" width="6.25" style="3013" customWidth="1"/>
    <col min="6671" max="6671" width="29.375" style="3013" customWidth="1"/>
    <col min="6672" max="6914" width="9" style="3013"/>
    <col min="6915" max="6915" width="24.5" style="3013" customWidth="1"/>
    <col min="6916" max="6916" width="6.25" style="3013" customWidth="1"/>
    <col min="6917" max="6917" width="11.75" style="3013" customWidth="1"/>
    <col min="6918" max="6919" width="13.875" style="3013" customWidth="1"/>
    <col min="6920" max="6920" width="19.125" style="3013" customWidth="1"/>
    <col min="6921" max="6921" width="7.875" style="3013" customWidth="1"/>
    <col min="6922" max="6922" width="9" style="3013" customWidth="1"/>
    <col min="6923" max="6924" width="10.625" style="3013" customWidth="1"/>
    <col min="6925" max="6925" width="14.375" style="3013" customWidth="1"/>
    <col min="6926" max="6926" width="6.25" style="3013" customWidth="1"/>
    <col min="6927" max="6927" width="29.375" style="3013" customWidth="1"/>
    <col min="6928" max="7170" width="9" style="3013"/>
    <col min="7171" max="7171" width="24.5" style="3013" customWidth="1"/>
    <col min="7172" max="7172" width="6.25" style="3013" customWidth="1"/>
    <col min="7173" max="7173" width="11.75" style="3013" customWidth="1"/>
    <col min="7174" max="7175" width="13.875" style="3013" customWidth="1"/>
    <col min="7176" max="7176" width="19.125" style="3013" customWidth="1"/>
    <col min="7177" max="7177" width="7.875" style="3013" customWidth="1"/>
    <col min="7178" max="7178" width="9" style="3013" customWidth="1"/>
    <col min="7179" max="7180" width="10.625" style="3013" customWidth="1"/>
    <col min="7181" max="7181" width="14.375" style="3013" customWidth="1"/>
    <col min="7182" max="7182" width="6.25" style="3013" customWidth="1"/>
    <col min="7183" max="7183" width="29.375" style="3013" customWidth="1"/>
    <col min="7184" max="7426" width="9" style="3013"/>
    <col min="7427" max="7427" width="24.5" style="3013" customWidth="1"/>
    <col min="7428" max="7428" width="6.25" style="3013" customWidth="1"/>
    <col min="7429" max="7429" width="11.75" style="3013" customWidth="1"/>
    <col min="7430" max="7431" width="13.875" style="3013" customWidth="1"/>
    <col min="7432" max="7432" width="19.125" style="3013" customWidth="1"/>
    <col min="7433" max="7433" width="7.875" style="3013" customWidth="1"/>
    <col min="7434" max="7434" width="9" style="3013" customWidth="1"/>
    <col min="7435" max="7436" width="10.625" style="3013" customWidth="1"/>
    <col min="7437" max="7437" width="14.375" style="3013" customWidth="1"/>
    <col min="7438" max="7438" width="6.25" style="3013" customWidth="1"/>
    <col min="7439" max="7439" width="29.375" style="3013" customWidth="1"/>
    <col min="7440" max="7682" width="9" style="3013"/>
    <col min="7683" max="7683" width="24.5" style="3013" customWidth="1"/>
    <col min="7684" max="7684" width="6.25" style="3013" customWidth="1"/>
    <col min="7685" max="7685" width="11.75" style="3013" customWidth="1"/>
    <col min="7686" max="7687" width="13.875" style="3013" customWidth="1"/>
    <col min="7688" max="7688" width="19.125" style="3013" customWidth="1"/>
    <col min="7689" max="7689" width="7.875" style="3013" customWidth="1"/>
    <col min="7690" max="7690" width="9" style="3013" customWidth="1"/>
    <col min="7691" max="7692" width="10.625" style="3013" customWidth="1"/>
    <col min="7693" max="7693" width="14.375" style="3013" customWidth="1"/>
    <col min="7694" max="7694" width="6.25" style="3013" customWidth="1"/>
    <col min="7695" max="7695" width="29.375" style="3013" customWidth="1"/>
    <col min="7696" max="7938" width="9" style="3013"/>
    <col min="7939" max="7939" width="24.5" style="3013" customWidth="1"/>
    <col min="7940" max="7940" width="6.25" style="3013" customWidth="1"/>
    <col min="7941" max="7941" width="11.75" style="3013" customWidth="1"/>
    <col min="7942" max="7943" width="13.875" style="3013" customWidth="1"/>
    <col min="7944" max="7944" width="19.125" style="3013" customWidth="1"/>
    <col min="7945" max="7945" width="7.875" style="3013" customWidth="1"/>
    <col min="7946" max="7946" width="9" style="3013" customWidth="1"/>
    <col min="7947" max="7948" width="10.625" style="3013" customWidth="1"/>
    <col min="7949" max="7949" width="14.375" style="3013" customWidth="1"/>
    <col min="7950" max="7950" width="6.25" style="3013" customWidth="1"/>
    <col min="7951" max="7951" width="29.375" style="3013" customWidth="1"/>
    <col min="7952" max="8194" width="9" style="3013"/>
    <col min="8195" max="8195" width="24.5" style="3013" customWidth="1"/>
    <col min="8196" max="8196" width="6.25" style="3013" customWidth="1"/>
    <col min="8197" max="8197" width="11.75" style="3013" customWidth="1"/>
    <col min="8198" max="8199" width="13.875" style="3013" customWidth="1"/>
    <col min="8200" max="8200" width="19.125" style="3013" customWidth="1"/>
    <col min="8201" max="8201" width="7.875" style="3013" customWidth="1"/>
    <col min="8202" max="8202" width="9" style="3013" customWidth="1"/>
    <col min="8203" max="8204" width="10.625" style="3013" customWidth="1"/>
    <col min="8205" max="8205" width="14.375" style="3013" customWidth="1"/>
    <col min="8206" max="8206" width="6.25" style="3013" customWidth="1"/>
    <col min="8207" max="8207" width="29.375" style="3013" customWidth="1"/>
    <col min="8208" max="8450" width="9" style="3013"/>
    <col min="8451" max="8451" width="24.5" style="3013" customWidth="1"/>
    <col min="8452" max="8452" width="6.25" style="3013" customWidth="1"/>
    <col min="8453" max="8453" width="11.75" style="3013" customWidth="1"/>
    <col min="8454" max="8455" width="13.875" style="3013" customWidth="1"/>
    <col min="8456" max="8456" width="19.125" style="3013" customWidth="1"/>
    <col min="8457" max="8457" width="7.875" style="3013" customWidth="1"/>
    <col min="8458" max="8458" width="9" style="3013" customWidth="1"/>
    <col min="8459" max="8460" width="10.625" style="3013" customWidth="1"/>
    <col min="8461" max="8461" width="14.375" style="3013" customWidth="1"/>
    <col min="8462" max="8462" width="6.25" style="3013" customWidth="1"/>
    <col min="8463" max="8463" width="29.375" style="3013" customWidth="1"/>
    <col min="8464" max="8706" width="9" style="3013"/>
    <col min="8707" max="8707" width="24.5" style="3013" customWidth="1"/>
    <col min="8708" max="8708" width="6.25" style="3013" customWidth="1"/>
    <col min="8709" max="8709" width="11.75" style="3013" customWidth="1"/>
    <col min="8710" max="8711" width="13.875" style="3013" customWidth="1"/>
    <col min="8712" max="8712" width="19.125" style="3013" customWidth="1"/>
    <col min="8713" max="8713" width="7.875" style="3013" customWidth="1"/>
    <col min="8714" max="8714" width="9" style="3013" customWidth="1"/>
    <col min="8715" max="8716" width="10.625" style="3013" customWidth="1"/>
    <col min="8717" max="8717" width="14.375" style="3013" customWidth="1"/>
    <col min="8718" max="8718" width="6.25" style="3013" customWidth="1"/>
    <col min="8719" max="8719" width="29.375" style="3013" customWidth="1"/>
    <col min="8720" max="8962" width="9" style="3013"/>
    <col min="8963" max="8963" width="24.5" style="3013" customWidth="1"/>
    <col min="8964" max="8964" width="6.25" style="3013" customWidth="1"/>
    <col min="8965" max="8965" width="11.75" style="3013" customWidth="1"/>
    <col min="8966" max="8967" width="13.875" style="3013" customWidth="1"/>
    <col min="8968" max="8968" width="19.125" style="3013" customWidth="1"/>
    <col min="8969" max="8969" width="7.875" style="3013" customWidth="1"/>
    <col min="8970" max="8970" width="9" style="3013" customWidth="1"/>
    <col min="8971" max="8972" width="10.625" style="3013" customWidth="1"/>
    <col min="8973" max="8973" width="14.375" style="3013" customWidth="1"/>
    <col min="8974" max="8974" width="6.25" style="3013" customWidth="1"/>
    <col min="8975" max="8975" width="29.375" style="3013" customWidth="1"/>
    <col min="8976" max="9218" width="9" style="3013"/>
    <col min="9219" max="9219" width="24.5" style="3013" customWidth="1"/>
    <col min="9220" max="9220" width="6.25" style="3013" customWidth="1"/>
    <col min="9221" max="9221" width="11.75" style="3013" customWidth="1"/>
    <col min="9222" max="9223" width="13.875" style="3013" customWidth="1"/>
    <col min="9224" max="9224" width="19.125" style="3013" customWidth="1"/>
    <col min="9225" max="9225" width="7.875" style="3013" customWidth="1"/>
    <col min="9226" max="9226" width="9" style="3013" customWidth="1"/>
    <col min="9227" max="9228" width="10.625" style="3013" customWidth="1"/>
    <col min="9229" max="9229" width="14.375" style="3013" customWidth="1"/>
    <col min="9230" max="9230" width="6.25" style="3013" customWidth="1"/>
    <col min="9231" max="9231" width="29.375" style="3013" customWidth="1"/>
    <col min="9232" max="9474" width="9" style="3013"/>
    <col min="9475" max="9475" width="24.5" style="3013" customWidth="1"/>
    <col min="9476" max="9476" width="6.25" style="3013" customWidth="1"/>
    <col min="9477" max="9477" width="11.75" style="3013" customWidth="1"/>
    <col min="9478" max="9479" width="13.875" style="3013" customWidth="1"/>
    <col min="9480" max="9480" width="19.125" style="3013" customWidth="1"/>
    <col min="9481" max="9481" width="7.875" style="3013" customWidth="1"/>
    <col min="9482" max="9482" width="9" style="3013" customWidth="1"/>
    <col min="9483" max="9484" width="10.625" style="3013" customWidth="1"/>
    <col min="9485" max="9485" width="14.375" style="3013" customWidth="1"/>
    <col min="9486" max="9486" width="6.25" style="3013" customWidth="1"/>
    <col min="9487" max="9487" width="29.375" style="3013" customWidth="1"/>
    <col min="9488" max="9730" width="9" style="3013"/>
    <col min="9731" max="9731" width="24.5" style="3013" customWidth="1"/>
    <col min="9732" max="9732" width="6.25" style="3013" customWidth="1"/>
    <col min="9733" max="9733" width="11.75" style="3013" customWidth="1"/>
    <col min="9734" max="9735" width="13.875" style="3013" customWidth="1"/>
    <col min="9736" max="9736" width="19.125" style="3013" customWidth="1"/>
    <col min="9737" max="9737" width="7.875" style="3013" customWidth="1"/>
    <col min="9738" max="9738" width="9" style="3013" customWidth="1"/>
    <col min="9739" max="9740" width="10.625" style="3013" customWidth="1"/>
    <col min="9741" max="9741" width="14.375" style="3013" customWidth="1"/>
    <col min="9742" max="9742" width="6.25" style="3013" customWidth="1"/>
    <col min="9743" max="9743" width="29.375" style="3013" customWidth="1"/>
    <col min="9744" max="9986" width="9" style="3013"/>
    <col min="9987" max="9987" width="24.5" style="3013" customWidth="1"/>
    <col min="9988" max="9988" width="6.25" style="3013" customWidth="1"/>
    <col min="9989" max="9989" width="11.75" style="3013" customWidth="1"/>
    <col min="9990" max="9991" width="13.875" style="3013" customWidth="1"/>
    <col min="9992" max="9992" width="19.125" style="3013" customWidth="1"/>
    <col min="9993" max="9993" width="7.875" style="3013" customWidth="1"/>
    <col min="9994" max="9994" width="9" style="3013" customWidth="1"/>
    <col min="9995" max="9996" width="10.625" style="3013" customWidth="1"/>
    <col min="9997" max="9997" width="14.375" style="3013" customWidth="1"/>
    <col min="9998" max="9998" width="6.25" style="3013" customWidth="1"/>
    <col min="9999" max="9999" width="29.375" style="3013" customWidth="1"/>
    <col min="10000" max="10242" width="9" style="3013"/>
    <col min="10243" max="10243" width="24.5" style="3013" customWidth="1"/>
    <col min="10244" max="10244" width="6.25" style="3013" customWidth="1"/>
    <col min="10245" max="10245" width="11.75" style="3013" customWidth="1"/>
    <col min="10246" max="10247" width="13.875" style="3013" customWidth="1"/>
    <col min="10248" max="10248" width="19.125" style="3013" customWidth="1"/>
    <col min="10249" max="10249" width="7.875" style="3013" customWidth="1"/>
    <col min="10250" max="10250" width="9" style="3013" customWidth="1"/>
    <col min="10251" max="10252" width="10.625" style="3013" customWidth="1"/>
    <col min="10253" max="10253" width="14.375" style="3013" customWidth="1"/>
    <col min="10254" max="10254" width="6.25" style="3013" customWidth="1"/>
    <col min="10255" max="10255" width="29.375" style="3013" customWidth="1"/>
    <col min="10256" max="10498" width="9" style="3013"/>
    <col min="10499" max="10499" width="24.5" style="3013" customWidth="1"/>
    <col min="10500" max="10500" width="6.25" style="3013" customWidth="1"/>
    <col min="10501" max="10501" width="11.75" style="3013" customWidth="1"/>
    <col min="10502" max="10503" width="13.875" style="3013" customWidth="1"/>
    <col min="10504" max="10504" width="19.125" style="3013" customWidth="1"/>
    <col min="10505" max="10505" width="7.875" style="3013" customWidth="1"/>
    <col min="10506" max="10506" width="9" style="3013" customWidth="1"/>
    <col min="10507" max="10508" width="10.625" style="3013" customWidth="1"/>
    <col min="10509" max="10509" width="14.375" style="3013" customWidth="1"/>
    <col min="10510" max="10510" width="6.25" style="3013" customWidth="1"/>
    <col min="10511" max="10511" width="29.375" style="3013" customWidth="1"/>
    <col min="10512" max="10754" width="9" style="3013"/>
    <col min="10755" max="10755" width="24.5" style="3013" customWidth="1"/>
    <col min="10756" max="10756" width="6.25" style="3013" customWidth="1"/>
    <col min="10757" max="10757" width="11.75" style="3013" customWidth="1"/>
    <col min="10758" max="10759" width="13.875" style="3013" customWidth="1"/>
    <col min="10760" max="10760" width="19.125" style="3013" customWidth="1"/>
    <col min="10761" max="10761" width="7.875" style="3013" customWidth="1"/>
    <col min="10762" max="10762" width="9" style="3013" customWidth="1"/>
    <col min="10763" max="10764" width="10.625" style="3013" customWidth="1"/>
    <col min="10765" max="10765" width="14.375" style="3013" customWidth="1"/>
    <col min="10766" max="10766" width="6.25" style="3013" customWidth="1"/>
    <col min="10767" max="10767" width="29.375" style="3013" customWidth="1"/>
    <col min="10768" max="11010" width="9" style="3013"/>
    <col min="11011" max="11011" width="24.5" style="3013" customWidth="1"/>
    <col min="11012" max="11012" width="6.25" style="3013" customWidth="1"/>
    <col min="11013" max="11013" width="11.75" style="3013" customWidth="1"/>
    <col min="11014" max="11015" width="13.875" style="3013" customWidth="1"/>
    <col min="11016" max="11016" width="19.125" style="3013" customWidth="1"/>
    <col min="11017" max="11017" width="7.875" style="3013" customWidth="1"/>
    <col min="11018" max="11018" width="9" style="3013" customWidth="1"/>
    <col min="11019" max="11020" width="10.625" style="3013" customWidth="1"/>
    <col min="11021" max="11021" width="14.375" style="3013" customWidth="1"/>
    <col min="11022" max="11022" width="6.25" style="3013" customWidth="1"/>
    <col min="11023" max="11023" width="29.375" style="3013" customWidth="1"/>
    <col min="11024" max="11266" width="9" style="3013"/>
    <col min="11267" max="11267" width="24.5" style="3013" customWidth="1"/>
    <col min="11268" max="11268" width="6.25" style="3013" customWidth="1"/>
    <col min="11269" max="11269" width="11.75" style="3013" customWidth="1"/>
    <col min="11270" max="11271" width="13.875" style="3013" customWidth="1"/>
    <col min="11272" max="11272" width="19.125" style="3013" customWidth="1"/>
    <col min="11273" max="11273" width="7.875" style="3013" customWidth="1"/>
    <col min="11274" max="11274" width="9" style="3013" customWidth="1"/>
    <col min="11275" max="11276" width="10.625" style="3013" customWidth="1"/>
    <col min="11277" max="11277" width="14.375" style="3013" customWidth="1"/>
    <col min="11278" max="11278" width="6.25" style="3013" customWidth="1"/>
    <col min="11279" max="11279" width="29.375" style="3013" customWidth="1"/>
    <col min="11280" max="11522" width="9" style="3013"/>
    <col min="11523" max="11523" width="24.5" style="3013" customWidth="1"/>
    <col min="11524" max="11524" width="6.25" style="3013" customWidth="1"/>
    <col min="11525" max="11525" width="11.75" style="3013" customWidth="1"/>
    <col min="11526" max="11527" width="13.875" style="3013" customWidth="1"/>
    <col min="11528" max="11528" width="19.125" style="3013" customWidth="1"/>
    <col min="11529" max="11529" width="7.875" style="3013" customWidth="1"/>
    <col min="11530" max="11530" width="9" style="3013" customWidth="1"/>
    <col min="11531" max="11532" width="10.625" style="3013" customWidth="1"/>
    <col min="11533" max="11533" width="14.375" style="3013" customWidth="1"/>
    <col min="11534" max="11534" width="6.25" style="3013" customWidth="1"/>
    <col min="11535" max="11535" width="29.375" style="3013" customWidth="1"/>
    <col min="11536" max="11778" width="9" style="3013"/>
    <col min="11779" max="11779" width="24.5" style="3013" customWidth="1"/>
    <col min="11780" max="11780" width="6.25" style="3013" customWidth="1"/>
    <col min="11781" max="11781" width="11.75" style="3013" customWidth="1"/>
    <col min="11782" max="11783" width="13.875" style="3013" customWidth="1"/>
    <col min="11784" max="11784" width="19.125" style="3013" customWidth="1"/>
    <col min="11785" max="11785" width="7.875" style="3013" customWidth="1"/>
    <col min="11786" max="11786" width="9" style="3013" customWidth="1"/>
    <col min="11787" max="11788" width="10.625" style="3013" customWidth="1"/>
    <col min="11789" max="11789" width="14.375" style="3013" customWidth="1"/>
    <col min="11790" max="11790" width="6.25" style="3013" customWidth="1"/>
    <col min="11791" max="11791" width="29.375" style="3013" customWidth="1"/>
    <col min="11792" max="12034" width="9" style="3013"/>
    <col min="12035" max="12035" width="24.5" style="3013" customWidth="1"/>
    <col min="12036" max="12036" width="6.25" style="3013" customWidth="1"/>
    <col min="12037" max="12037" width="11.75" style="3013" customWidth="1"/>
    <col min="12038" max="12039" width="13.875" style="3013" customWidth="1"/>
    <col min="12040" max="12040" width="19.125" style="3013" customWidth="1"/>
    <col min="12041" max="12041" width="7.875" style="3013" customWidth="1"/>
    <col min="12042" max="12042" width="9" style="3013" customWidth="1"/>
    <col min="12043" max="12044" width="10.625" style="3013" customWidth="1"/>
    <col min="12045" max="12045" width="14.375" style="3013" customWidth="1"/>
    <col min="12046" max="12046" width="6.25" style="3013" customWidth="1"/>
    <col min="12047" max="12047" width="29.375" style="3013" customWidth="1"/>
    <col min="12048" max="12290" width="9" style="3013"/>
    <col min="12291" max="12291" width="24.5" style="3013" customWidth="1"/>
    <col min="12292" max="12292" width="6.25" style="3013" customWidth="1"/>
    <col min="12293" max="12293" width="11.75" style="3013" customWidth="1"/>
    <col min="12294" max="12295" width="13.875" style="3013" customWidth="1"/>
    <col min="12296" max="12296" width="19.125" style="3013" customWidth="1"/>
    <col min="12297" max="12297" width="7.875" style="3013" customWidth="1"/>
    <col min="12298" max="12298" width="9" style="3013" customWidth="1"/>
    <col min="12299" max="12300" width="10.625" style="3013" customWidth="1"/>
    <col min="12301" max="12301" width="14.375" style="3013" customWidth="1"/>
    <col min="12302" max="12302" width="6.25" style="3013" customWidth="1"/>
    <col min="12303" max="12303" width="29.375" style="3013" customWidth="1"/>
    <col min="12304" max="12546" width="9" style="3013"/>
    <col min="12547" max="12547" width="24.5" style="3013" customWidth="1"/>
    <col min="12548" max="12548" width="6.25" style="3013" customWidth="1"/>
    <col min="12549" max="12549" width="11.75" style="3013" customWidth="1"/>
    <col min="12550" max="12551" width="13.875" style="3013" customWidth="1"/>
    <col min="12552" max="12552" width="19.125" style="3013" customWidth="1"/>
    <col min="12553" max="12553" width="7.875" style="3013" customWidth="1"/>
    <col min="12554" max="12554" width="9" style="3013" customWidth="1"/>
    <col min="12555" max="12556" width="10.625" style="3013" customWidth="1"/>
    <col min="12557" max="12557" width="14.375" style="3013" customWidth="1"/>
    <col min="12558" max="12558" width="6.25" style="3013" customWidth="1"/>
    <col min="12559" max="12559" width="29.375" style="3013" customWidth="1"/>
    <col min="12560" max="12802" width="9" style="3013"/>
    <col min="12803" max="12803" width="24.5" style="3013" customWidth="1"/>
    <col min="12804" max="12804" width="6.25" style="3013" customWidth="1"/>
    <col min="12805" max="12805" width="11.75" style="3013" customWidth="1"/>
    <col min="12806" max="12807" width="13.875" style="3013" customWidth="1"/>
    <col min="12808" max="12808" width="19.125" style="3013" customWidth="1"/>
    <col min="12809" max="12809" width="7.875" style="3013" customWidth="1"/>
    <col min="12810" max="12810" width="9" style="3013" customWidth="1"/>
    <col min="12811" max="12812" width="10.625" style="3013" customWidth="1"/>
    <col min="12813" max="12813" width="14.375" style="3013" customWidth="1"/>
    <col min="12814" max="12814" width="6.25" style="3013" customWidth="1"/>
    <col min="12815" max="12815" width="29.375" style="3013" customWidth="1"/>
    <col min="12816" max="13058" width="9" style="3013"/>
    <col min="13059" max="13059" width="24.5" style="3013" customWidth="1"/>
    <col min="13060" max="13060" width="6.25" style="3013" customWidth="1"/>
    <col min="13061" max="13061" width="11.75" style="3013" customWidth="1"/>
    <col min="13062" max="13063" width="13.875" style="3013" customWidth="1"/>
    <col min="13064" max="13064" width="19.125" style="3013" customWidth="1"/>
    <col min="13065" max="13065" width="7.875" style="3013" customWidth="1"/>
    <col min="13066" max="13066" width="9" style="3013" customWidth="1"/>
    <col min="13067" max="13068" width="10.625" style="3013" customWidth="1"/>
    <col min="13069" max="13069" width="14.375" style="3013" customWidth="1"/>
    <col min="13070" max="13070" width="6.25" style="3013" customWidth="1"/>
    <col min="13071" max="13071" width="29.375" style="3013" customWidth="1"/>
    <col min="13072" max="13314" width="9" style="3013"/>
    <col min="13315" max="13315" width="24.5" style="3013" customWidth="1"/>
    <col min="13316" max="13316" width="6.25" style="3013" customWidth="1"/>
    <col min="13317" max="13317" width="11.75" style="3013" customWidth="1"/>
    <col min="13318" max="13319" width="13.875" style="3013" customWidth="1"/>
    <col min="13320" max="13320" width="19.125" style="3013" customWidth="1"/>
    <col min="13321" max="13321" width="7.875" style="3013" customWidth="1"/>
    <col min="13322" max="13322" width="9" style="3013" customWidth="1"/>
    <col min="13323" max="13324" width="10.625" style="3013" customWidth="1"/>
    <col min="13325" max="13325" width="14.375" style="3013" customWidth="1"/>
    <col min="13326" max="13326" width="6.25" style="3013" customWidth="1"/>
    <col min="13327" max="13327" width="29.375" style="3013" customWidth="1"/>
    <col min="13328" max="13570" width="9" style="3013"/>
    <col min="13571" max="13571" width="24.5" style="3013" customWidth="1"/>
    <col min="13572" max="13572" width="6.25" style="3013" customWidth="1"/>
    <col min="13573" max="13573" width="11.75" style="3013" customWidth="1"/>
    <col min="13574" max="13575" width="13.875" style="3013" customWidth="1"/>
    <col min="13576" max="13576" width="19.125" style="3013" customWidth="1"/>
    <col min="13577" max="13577" width="7.875" style="3013" customWidth="1"/>
    <col min="13578" max="13578" width="9" style="3013" customWidth="1"/>
    <col min="13579" max="13580" width="10.625" style="3013" customWidth="1"/>
    <col min="13581" max="13581" width="14.375" style="3013" customWidth="1"/>
    <col min="13582" max="13582" width="6.25" style="3013" customWidth="1"/>
    <col min="13583" max="13583" width="29.375" style="3013" customWidth="1"/>
    <col min="13584" max="13826" width="9" style="3013"/>
    <col min="13827" max="13827" width="24.5" style="3013" customWidth="1"/>
    <col min="13828" max="13828" width="6.25" style="3013" customWidth="1"/>
    <col min="13829" max="13829" width="11.75" style="3013" customWidth="1"/>
    <col min="13830" max="13831" width="13.875" style="3013" customWidth="1"/>
    <col min="13832" max="13832" width="19.125" style="3013" customWidth="1"/>
    <col min="13833" max="13833" width="7.875" style="3013" customWidth="1"/>
    <col min="13834" max="13834" width="9" style="3013" customWidth="1"/>
    <col min="13835" max="13836" width="10.625" style="3013" customWidth="1"/>
    <col min="13837" max="13837" width="14.375" style="3013" customWidth="1"/>
    <col min="13838" max="13838" width="6.25" style="3013" customWidth="1"/>
    <col min="13839" max="13839" width="29.375" style="3013" customWidth="1"/>
    <col min="13840" max="14082" width="9" style="3013"/>
    <col min="14083" max="14083" width="24.5" style="3013" customWidth="1"/>
    <col min="14084" max="14084" width="6.25" style="3013" customWidth="1"/>
    <col min="14085" max="14085" width="11.75" style="3013" customWidth="1"/>
    <col min="14086" max="14087" width="13.875" style="3013" customWidth="1"/>
    <col min="14088" max="14088" width="19.125" style="3013" customWidth="1"/>
    <col min="14089" max="14089" width="7.875" style="3013" customWidth="1"/>
    <col min="14090" max="14090" width="9" style="3013" customWidth="1"/>
    <col min="14091" max="14092" width="10.625" style="3013" customWidth="1"/>
    <col min="14093" max="14093" width="14.375" style="3013" customWidth="1"/>
    <col min="14094" max="14094" width="6.25" style="3013" customWidth="1"/>
    <col min="14095" max="14095" width="29.375" style="3013" customWidth="1"/>
    <col min="14096" max="14338" width="9" style="3013"/>
    <col min="14339" max="14339" width="24.5" style="3013" customWidth="1"/>
    <col min="14340" max="14340" width="6.25" style="3013" customWidth="1"/>
    <col min="14341" max="14341" width="11.75" style="3013" customWidth="1"/>
    <col min="14342" max="14343" width="13.875" style="3013" customWidth="1"/>
    <col min="14344" max="14344" width="19.125" style="3013" customWidth="1"/>
    <col min="14345" max="14345" width="7.875" style="3013" customWidth="1"/>
    <col min="14346" max="14346" width="9" style="3013" customWidth="1"/>
    <col min="14347" max="14348" width="10.625" style="3013" customWidth="1"/>
    <col min="14349" max="14349" width="14.375" style="3013" customWidth="1"/>
    <col min="14350" max="14350" width="6.25" style="3013" customWidth="1"/>
    <col min="14351" max="14351" width="29.375" style="3013" customWidth="1"/>
    <col min="14352" max="14594" width="9" style="3013"/>
    <col min="14595" max="14595" width="24.5" style="3013" customWidth="1"/>
    <col min="14596" max="14596" width="6.25" style="3013" customWidth="1"/>
    <col min="14597" max="14597" width="11.75" style="3013" customWidth="1"/>
    <col min="14598" max="14599" width="13.875" style="3013" customWidth="1"/>
    <col min="14600" max="14600" width="19.125" style="3013" customWidth="1"/>
    <col min="14601" max="14601" width="7.875" style="3013" customWidth="1"/>
    <col min="14602" max="14602" width="9" style="3013" customWidth="1"/>
    <col min="14603" max="14604" width="10.625" style="3013" customWidth="1"/>
    <col min="14605" max="14605" width="14.375" style="3013" customWidth="1"/>
    <col min="14606" max="14606" width="6.25" style="3013" customWidth="1"/>
    <col min="14607" max="14607" width="29.375" style="3013" customWidth="1"/>
    <col min="14608" max="14850" width="9" style="3013"/>
    <col min="14851" max="14851" width="24.5" style="3013" customWidth="1"/>
    <col min="14852" max="14852" width="6.25" style="3013" customWidth="1"/>
    <col min="14853" max="14853" width="11.75" style="3013" customWidth="1"/>
    <col min="14854" max="14855" width="13.875" style="3013" customWidth="1"/>
    <col min="14856" max="14856" width="19.125" style="3013" customWidth="1"/>
    <col min="14857" max="14857" width="7.875" style="3013" customWidth="1"/>
    <col min="14858" max="14858" width="9" style="3013" customWidth="1"/>
    <col min="14859" max="14860" width="10.625" style="3013" customWidth="1"/>
    <col min="14861" max="14861" width="14.375" style="3013" customWidth="1"/>
    <col min="14862" max="14862" width="6.25" style="3013" customWidth="1"/>
    <col min="14863" max="14863" width="29.375" style="3013" customWidth="1"/>
    <col min="14864" max="15106" width="9" style="3013"/>
    <col min="15107" max="15107" width="24.5" style="3013" customWidth="1"/>
    <col min="15108" max="15108" width="6.25" style="3013" customWidth="1"/>
    <col min="15109" max="15109" width="11.75" style="3013" customWidth="1"/>
    <col min="15110" max="15111" width="13.875" style="3013" customWidth="1"/>
    <col min="15112" max="15112" width="19.125" style="3013" customWidth="1"/>
    <col min="15113" max="15113" width="7.875" style="3013" customWidth="1"/>
    <col min="15114" max="15114" width="9" style="3013" customWidth="1"/>
    <col min="15115" max="15116" width="10.625" style="3013" customWidth="1"/>
    <col min="15117" max="15117" width="14.375" style="3013" customWidth="1"/>
    <col min="15118" max="15118" width="6.25" style="3013" customWidth="1"/>
    <col min="15119" max="15119" width="29.375" style="3013" customWidth="1"/>
    <col min="15120" max="15362" width="9" style="3013"/>
    <col min="15363" max="15363" width="24.5" style="3013" customWidth="1"/>
    <col min="15364" max="15364" width="6.25" style="3013" customWidth="1"/>
    <col min="15365" max="15365" width="11.75" style="3013" customWidth="1"/>
    <col min="15366" max="15367" width="13.875" style="3013" customWidth="1"/>
    <col min="15368" max="15368" width="19.125" style="3013" customWidth="1"/>
    <col min="15369" max="15369" width="7.875" style="3013" customWidth="1"/>
    <col min="15370" max="15370" width="9" style="3013" customWidth="1"/>
    <col min="15371" max="15372" width="10.625" style="3013" customWidth="1"/>
    <col min="15373" max="15373" width="14.375" style="3013" customWidth="1"/>
    <col min="15374" max="15374" width="6.25" style="3013" customWidth="1"/>
    <col min="15375" max="15375" width="29.375" style="3013" customWidth="1"/>
    <col min="15376" max="15618" width="9" style="3013"/>
    <col min="15619" max="15619" width="24.5" style="3013" customWidth="1"/>
    <col min="15620" max="15620" width="6.25" style="3013" customWidth="1"/>
    <col min="15621" max="15621" width="11.75" style="3013" customWidth="1"/>
    <col min="15622" max="15623" width="13.875" style="3013" customWidth="1"/>
    <col min="15624" max="15624" width="19.125" style="3013" customWidth="1"/>
    <col min="15625" max="15625" width="7.875" style="3013" customWidth="1"/>
    <col min="15626" max="15626" width="9" style="3013" customWidth="1"/>
    <col min="15627" max="15628" width="10.625" style="3013" customWidth="1"/>
    <col min="15629" max="15629" width="14.375" style="3013" customWidth="1"/>
    <col min="15630" max="15630" width="6.25" style="3013" customWidth="1"/>
    <col min="15631" max="15631" width="29.375" style="3013" customWidth="1"/>
    <col min="15632" max="15874" width="9" style="3013"/>
    <col min="15875" max="15875" width="24.5" style="3013" customWidth="1"/>
    <col min="15876" max="15876" width="6.25" style="3013" customWidth="1"/>
    <col min="15877" max="15877" width="11.75" style="3013" customWidth="1"/>
    <col min="15878" max="15879" width="13.875" style="3013" customWidth="1"/>
    <col min="15880" max="15880" width="19.125" style="3013" customWidth="1"/>
    <col min="15881" max="15881" width="7.875" style="3013" customWidth="1"/>
    <col min="15882" max="15882" width="9" style="3013" customWidth="1"/>
    <col min="15883" max="15884" width="10.625" style="3013" customWidth="1"/>
    <col min="15885" max="15885" width="14.375" style="3013" customWidth="1"/>
    <col min="15886" max="15886" width="6.25" style="3013" customWidth="1"/>
    <col min="15887" max="15887" width="29.375" style="3013" customWidth="1"/>
    <col min="15888" max="16130" width="9" style="3013"/>
    <col min="16131" max="16131" width="24.5" style="3013" customWidth="1"/>
    <col min="16132" max="16132" width="6.25" style="3013" customWidth="1"/>
    <col min="16133" max="16133" width="11.75" style="3013" customWidth="1"/>
    <col min="16134" max="16135" width="13.875" style="3013" customWidth="1"/>
    <col min="16136" max="16136" width="19.125" style="3013" customWidth="1"/>
    <col min="16137" max="16137" width="7.875" style="3013" customWidth="1"/>
    <col min="16138" max="16138" width="9" style="3013" customWidth="1"/>
    <col min="16139" max="16140" width="10.625" style="3013" customWidth="1"/>
    <col min="16141" max="16141" width="14.375" style="3013" customWidth="1"/>
    <col min="16142" max="16142" width="6.25" style="3013" customWidth="1"/>
    <col min="16143" max="16143" width="29.375" style="3013" customWidth="1"/>
    <col min="16144" max="16384" width="9" style="3013"/>
  </cols>
  <sheetData>
    <row r="1" spans="1:15" ht="27">
      <c r="A1" s="3013" t="s">
        <v>3365</v>
      </c>
      <c r="B1" s="3013" t="s">
        <v>3366</v>
      </c>
      <c r="C1" s="3013" t="s">
        <v>3367</v>
      </c>
      <c r="D1" s="3013" t="s">
        <v>3368</v>
      </c>
      <c r="E1" s="3013" t="s">
        <v>3369</v>
      </c>
      <c r="F1" s="3013" t="s">
        <v>3361</v>
      </c>
      <c r="H1" s="3013" t="s">
        <v>3370</v>
      </c>
      <c r="I1" s="3013" t="s">
        <v>3371</v>
      </c>
      <c r="J1" s="3013" t="s">
        <v>3372</v>
      </c>
      <c r="K1" s="3013" t="s">
        <v>3373</v>
      </c>
      <c r="L1" s="3013" t="s">
        <v>3374</v>
      </c>
      <c r="M1" s="3014" t="s">
        <v>3410</v>
      </c>
      <c r="N1" s="3013" t="s">
        <v>3375</v>
      </c>
      <c r="O1" s="3013" t="s">
        <v>3376</v>
      </c>
    </row>
    <row r="2" spans="1:15" s="3016" customFormat="1" ht="27">
      <c r="A2" s="3016" t="s">
        <v>3377</v>
      </c>
      <c r="B2" s="3016" t="s">
        <v>3378</v>
      </c>
      <c r="C2" s="3016" t="s">
        <v>3379</v>
      </c>
      <c r="D2" s="3016">
        <v>15112</v>
      </c>
      <c r="E2" s="3016">
        <v>45336</v>
      </c>
      <c r="F2" s="3016" t="s">
        <v>3380</v>
      </c>
      <c r="G2" s="3016">
        <f>E2/D2</f>
        <v>3</v>
      </c>
      <c r="H2" s="3016" t="s">
        <v>3381</v>
      </c>
      <c r="I2" s="3016" t="s">
        <v>3382</v>
      </c>
      <c r="J2" s="3016">
        <v>3246.05</v>
      </c>
      <c r="K2" s="3016">
        <v>3246.05</v>
      </c>
      <c r="L2" s="3016">
        <v>716</v>
      </c>
      <c r="M2" s="3016">
        <f>ROUND(K2/D2*10000,0)</f>
        <v>2148</v>
      </c>
      <c r="N2" s="3016">
        <v>0</v>
      </c>
      <c r="O2" s="3016" t="s">
        <v>3383</v>
      </c>
    </row>
    <row r="3" spans="1:15" s="3015" customFormat="1" ht="27">
      <c r="A3" s="3015" t="s">
        <v>3384</v>
      </c>
      <c r="B3" s="3015" t="s">
        <v>3378</v>
      </c>
      <c r="C3" s="3015" t="s">
        <v>3379</v>
      </c>
      <c r="D3" s="3015">
        <v>86557</v>
      </c>
      <c r="E3" s="3015">
        <v>138491.20000000001</v>
      </c>
      <c r="F3" s="3015" t="s">
        <v>3385</v>
      </c>
      <c r="G3" s="3015">
        <f t="shared" ref="G3:G9" si="0">E3/D3</f>
        <v>1.6</v>
      </c>
      <c r="H3" s="3015" t="s">
        <v>3381</v>
      </c>
      <c r="I3" s="3015" t="s">
        <v>3386</v>
      </c>
      <c r="J3" s="3015">
        <v>8794.19</v>
      </c>
      <c r="K3" s="3015">
        <v>8794.19</v>
      </c>
      <c r="L3" s="3015">
        <v>635</v>
      </c>
      <c r="M3" s="3015">
        <f t="shared" ref="M3:M9" si="1">ROUND(K3/D3*10000,0)</f>
        <v>1016</v>
      </c>
      <c r="N3" s="3015">
        <v>0</v>
      </c>
      <c r="O3" s="3015" t="s">
        <v>3387</v>
      </c>
    </row>
    <row r="4" spans="1:15" s="3015" customFormat="1" ht="27">
      <c r="A4" s="3015" t="s">
        <v>3388</v>
      </c>
      <c r="B4" s="3015" t="s">
        <v>3378</v>
      </c>
      <c r="C4" s="3015" t="s">
        <v>3379</v>
      </c>
      <c r="D4" s="3015">
        <v>16688</v>
      </c>
      <c r="E4" s="3015">
        <v>45057.599999999999</v>
      </c>
      <c r="F4" s="3015" t="s">
        <v>3389</v>
      </c>
      <c r="G4" s="3015">
        <f t="shared" si="0"/>
        <v>2.6999999999999997</v>
      </c>
      <c r="H4" s="3015" t="s">
        <v>3381</v>
      </c>
      <c r="I4" s="3015" t="s">
        <v>3390</v>
      </c>
      <c r="J4" s="3015">
        <v>2703.46</v>
      </c>
      <c r="K4" s="3015">
        <v>2703.46</v>
      </c>
      <c r="L4" s="3015">
        <v>600</v>
      </c>
      <c r="M4" s="3015">
        <f t="shared" si="1"/>
        <v>1620</v>
      </c>
      <c r="N4" s="3015">
        <v>0</v>
      </c>
      <c r="O4" s="3015" t="s">
        <v>3391</v>
      </c>
    </row>
    <row r="5" spans="1:15" s="3015" customFormat="1" ht="27">
      <c r="A5" s="3015" t="s">
        <v>3392</v>
      </c>
      <c r="B5" s="3015" t="s">
        <v>3378</v>
      </c>
      <c r="C5" s="3015" t="s">
        <v>3379</v>
      </c>
      <c r="D5" s="3015">
        <v>29583</v>
      </c>
      <c r="E5" s="3015">
        <v>91707.3</v>
      </c>
      <c r="F5" s="3015" t="s">
        <v>3393</v>
      </c>
      <c r="G5" s="3015">
        <f t="shared" si="0"/>
        <v>3.1</v>
      </c>
      <c r="H5" s="3015" t="s">
        <v>3381</v>
      </c>
      <c r="I5" s="3015" t="s">
        <v>3394</v>
      </c>
      <c r="J5" s="3015">
        <v>5502.43</v>
      </c>
      <c r="K5" s="3015">
        <v>5502.43</v>
      </c>
      <c r="L5" s="3015">
        <v>600</v>
      </c>
      <c r="M5" s="3015">
        <f t="shared" si="1"/>
        <v>1860</v>
      </c>
      <c r="N5" s="3015">
        <v>0</v>
      </c>
      <c r="O5" s="3015" t="s">
        <v>3395</v>
      </c>
    </row>
    <row r="6" spans="1:15" ht="27">
      <c r="A6" s="3014" t="s">
        <v>3412</v>
      </c>
      <c r="B6" s="3013" t="s">
        <v>3378</v>
      </c>
      <c r="C6" s="3013" t="s">
        <v>3379</v>
      </c>
      <c r="D6" s="3013">
        <v>49832</v>
      </c>
      <c r="E6" s="3013">
        <v>59798.400000000001</v>
      </c>
      <c r="F6" s="3013" t="s">
        <v>3396</v>
      </c>
      <c r="G6" s="3013">
        <f t="shared" si="0"/>
        <v>1.2</v>
      </c>
      <c r="H6" s="3013" t="s">
        <v>3381</v>
      </c>
      <c r="I6" s="3013" t="s">
        <v>3397</v>
      </c>
      <c r="J6" s="3013">
        <v>6229</v>
      </c>
      <c r="K6" s="3013">
        <v>7474.8</v>
      </c>
      <c r="L6" s="3013">
        <v>1250</v>
      </c>
      <c r="M6" s="3013">
        <f t="shared" si="1"/>
        <v>1500</v>
      </c>
      <c r="N6" s="3013">
        <v>20</v>
      </c>
      <c r="O6" s="3013" t="s">
        <v>3398</v>
      </c>
    </row>
    <row r="7" spans="1:15" ht="27">
      <c r="A7" s="3013" t="s">
        <v>3399</v>
      </c>
      <c r="B7" s="3013" t="s">
        <v>3378</v>
      </c>
      <c r="C7" s="3013" t="s">
        <v>3379</v>
      </c>
      <c r="D7" s="3013">
        <v>5064</v>
      </c>
      <c r="E7" s="3013">
        <v>8102.4</v>
      </c>
      <c r="F7" s="3013" t="s">
        <v>3400</v>
      </c>
      <c r="G7" s="3013">
        <f t="shared" si="0"/>
        <v>1.5999999999999999</v>
      </c>
      <c r="H7" s="3013" t="s">
        <v>3381</v>
      </c>
      <c r="I7" s="3013" t="s">
        <v>3401</v>
      </c>
      <c r="J7" s="3013">
        <v>1239.67</v>
      </c>
      <c r="K7" s="3013">
        <v>1239.67</v>
      </c>
      <c r="L7" s="3013">
        <v>1530</v>
      </c>
      <c r="M7" s="3013">
        <f t="shared" si="1"/>
        <v>2448</v>
      </c>
      <c r="N7" s="3013">
        <v>0</v>
      </c>
      <c r="O7" s="3013" t="s">
        <v>3402</v>
      </c>
    </row>
    <row r="8" spans="1:15" ht="27">
      <c r="A8" s="3014" t="s">
        <v>3475</v>
      </c>
      <c r="B8" s="3013" t="s">
        <v>3378</v>
      </c>
      <c r="C8" s="3013" t="s">
        <v>3379</v>
      </c>
      <c r="D8" s="3013">
        <v>23915.8</v>
      </c>
      <c r="E8" s="3013">
        <v>66964.240000000005</v>
      </c>
      <c r="F8" s="3013" t="s">
        <v>3403</v>
      </c>
      <c r="G8" s="3013">
        <f t="shared" si="0"/>
        <v>2.8000000000000003</v>
      </c>
      <c r="H8" s="3013" t="s">
        <v>3381</v>
      </c>
      <c r="I8" s="3013" t="s">
        <v>3404</v>
      </c>
      <c r="J8" s="3013">
        <v>4017.84</v>
      </c>
      <c r="K8" s="3013">
        <v>4017.84</v>
      </c>
      <c r="L8" s="3013">
        <v>600</v>
      </c>
      <c r="M8" s="3013">
        <f t="shared" si="1"/>
        <v>1680</v>
      </c>
      <c r="N8" s="3013">
        <v>0</v>
      </c>
      <c r="O8" s="3013" t="s">
        <v>3405</v>
      </c>
    </row>
    <row r="9" spans="1:15" ht="27">
      <c r="A9" s="3013" t="s">
        <v>3406</v>
      </c>
      <c r="B9" s="3013" t="s">
        <v>3378</v>
      </c>
      <c r="C9" s="3013" t="s">
        <v>3379</v>
      </c>
      <c r="D9" s="3013">
        <v>91834.7</v>
      </c>
      <c r="E9" s="3013">
        <v>119385.1</v>
      </c>
      <c r="F9" s="3013" t="s">
        <v>3407</v>
      </c>
      <c r="G9" s="3013">
        <f t="shared" si="0"/>
        <v>1.2999998911086987</v>
      </c>
      <c r="H9" s="3013" t="s">
        <v>3381</v>
      </c>
      <c r="I9" s="3013" t="s">
        <v>3408</v>
      </c>
      <c r="J9" s="3013">
        <v>6984.02</v>
      </c>
      <c r="K9" s="3013">
        <v>6984.02</v>
      </c>
      <c r="L9" s="3013">
        <v>585</v>
      </c>
      <c r="M9" s="3013">
        <f t="shared" si="1"/>
        <v>760</v>
      </c>
      <c r="N9" s="3013">
        <v>0</v>
      </c>
      <c r="O9" s="3013" t="s">
        <v>3409</v>
      </c>
    </row>
    <row r="23" spans="5:6">
      <c r="E23" s="3419">
        <f ca="1">系统读取表!B5*10000</f>
        <v>281460000</v>
      </c>
      <c r="F23" s="3419"/>
    </row>
  </sheetData>
  <mergeCells count="1">
    <mergeCell ref="E23:F23"/>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D16" sqref="D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3309</v>
      </c>
      <c r="D1" s="1822" t="s">
        <v>70</v>
      </c>
      <c r="E1" s="1823" t="s">
        <v>1387</v>
      </c>
      <c r="F1" s="1286">
        <f ca="1">J53</f>
        <v>35.11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26483</v>
      </c>
      <c r="C2" s="1847" t="s">
        <v>1516</v>
      </c>
      <c r="D2" s="1847"/>
      <c r="E2" s="1848"/>
      <c r="F2" s="1849"/>
      <c r="G2" s="1850"/>
      <c r="H2" s="1842"/>
      <c r="I2" s="1842"/>
      <c r="J2" s="1842"/>
      <c r="K2" s="1843"/>
      <c r="L2" s="1842"/>
      <c r="M2" s="1842"/>
    </row>
    <row r="3" spans="1:37" ht="18" customHeight="1" thickBot="1">
      <c r="A3" s="1851" t="s">
        <v>1517</v>
      </c>
      <c r="B3" s="1852">
        <f ca="1">IF(ISERROR(B2*10000/F43),0,ROUND(B2*10000/F43,0))</f>
        <v>9434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1846</v>
      </c>
      <c r="D5" s="1824" t="s">
        <v>1402</v>
      </c>
      <c r="E5" s="1296"/>
      <c r="F5" s="1297"/>
      <c r="G5" s="1853"/>
      <c r="H5" s="344">
        <v>1</v>
      </c>
      <c r="I5" s="345" t="s">
        <v>1401</v>
      </c>
      <c r="J5" s="1295">
        <f ca="1">J6+J10+J12</f>
        <v>0</v>
      </c>
      <c r="K5" s="1824" t="s">
        <v>1402</v>
      </c>
      <c r="L5" s="1296"/>
      <c r="M5" s="1297"/>
    </row>
    <row r="6" spans="1:37" ht="18" customHeight="1">
      <c r="A6" s="1294" t="s">
        <v>1035</v>
      </c>
      <c r="B6" s="3368" t="s">
        <v>1403</v>
      </c>
      <c r="C6" s="1299">
        <f ca="1">ROUND(F6*F8*F7*(1-F9)/10000,0)</f>
        <v>1844</v>
      </c>
      <c r="D6" s="164" t="s">
        <v>3021</v>
      </c>
      <c r="E6" s="347" t="s">
        <v>1405</v>
      </c>
      <c r="F6" s="348">
        <f ca="1">INDIRECT("'数据-取费表'!u"&amp;$G$1)</f>
        <v>2</v>
      </c>
      <c r="G6" s="1853"/>
      <c r="H6" s="1294" t="s">
        <v>1035</v>
      </c>
      <c r="I6" s="3368" t="s">
        <v>1403</v>
      </c>
      <c r="J6" s="346">
        <f ca="1">ROUND(M6*M8*M7*(1-M9)/10000,0)</f>
        <v>0</v>
      </c>
      <c r="K6" s="164" t="s">
        <v>3020</v>
      </c>
      <c r="L6" s="347" t="s">
        <v>1405</v>
      </c>
      <c r="M6" s="348">
        <f ca="1">INDIRECT("'数据-取费表'!z"&amp;$G$1)</f>
        <v>0</v>
      </c>
    </row>
    <row r="7" spans="1:37" ht="18" customHeight="1">
      <c r="A7" s="1298"/>
      <c r="B7" s="3369"/>
      <c r="C7" s="1300"/>
      <c r="D7" s="352"/>
      <c r="E7" s="1301" t="s">
        <v>1406</v>
      </c>
      <c r="F7" s="348">
        <f ca="1">IF(INDIRECT("'数据-取费表'!ah"&amp;$G$1)="",INDIRECT("'数据-取费表'!k"&amp;$G$1),INDIRECT("'数据-取费表'!ah"&amp;$G$1))</f>
        <v>28072.940000000002</v>
      </c>
      <c r="G7" s="1853"/>
      <c r="H7" s="349"/>
      <c r="I7" s="3369"/>
      <c r="J7" s="351"/>
      <c r="K7" s="352"/>
      <c r="L7" s="347" t="s">
        <v>1406</v>
      </c>
      <c r="M7" s="348">
        <f ca="1">F7</f>
        <v>28072.940000000002</v>
      </c>
    </row>
    <row r="8" spans="1:37" ht="18" customHeight="1">
      <c r="A8" s="349"/>
      <c r="B8" s="3369"/>
      <c r="C8" s="351"/>
      <c r="D8" s="352"/>
      <c r="E8" s="347" t="s">
        <v>1407</v>
      </c>
      <c r="F8" s="348">
        <f ca="1">INDIRECT("'数据-取费表'!ai"&amp;$G$1)</f>
        <v>365</v>
      </c>
      <c r="G8" s="1853"/>
      <c r="H8" s="349"/>
      <c r="I8" s="3369"/>
      <c r="J8" s="351"/>
      <c r="K8" s="352"/>
      <c r="L8" s="347" t="s">
        <v>1407</v>
      </c>
      <c r="M8" s="348">
        <f ca="1">INDIRECT("'数据-取费表'!ai"&amp;$G$1)</f>
        <v>365</v>
      </c>
    </row>
    <row r="9" spans="1:37" ht="18" customHeight="1">
      <c r="A9" s="349"/>
      <c r="B9" s="3370"/>
      <c r="C9" s="351"/>
      <c r="D9" s="352"/>
      <c r="E9" s="347" t="s">
        <v>1408</v>
      </c>
      <c r="F9" s="357">
        <f ca="1">INDIRECT("'数据-取费表'!w"&amp;$G$1)</f>
        <v>0.1</v>
      </c>
      <c r="G9" s="1853"/>
      <c r="H9" s="349"/>
      <c r="I9" s="3370"/>
      <c r="J9" s="351"/>
      <c r="K9" s="352"/>
      <c r="L9" s="358" t="s">
        <v>1408</v>
      </c>
      <c r="M9" s="359">
        <f ca="1">INDIRECT("'数据-取费表'!ab"&amp;$G$1)</f>
        <v>0</v>
      </c>
    </row>
    <row r="10" spans="1:37" ht="18" customHeight="1">
      <c r="A10" s="1294" t="s">
        <v>1039</v>
      </c>
      <c r="B10" s="1825" t="s">
        <v>1409</v>
      </c>
      <c r="C10" s="361">
        <f ca="1">ROUND(IF(F10="押一",C6/12*F11,IF(F10="押二",C6/12*2*F11,IF(F10="押三",C6/12*3*F11,C11*F11))),0)</f>
        <v>2</v>
      </c>
      <c r="D10" s="1826" t="s">
        <v>3030</v>
      </c>
      <c r="E10" s="358" t="s">
        <v>1410</v>
      </c>
      <c r="F10" s="1369" t="s">
        <v>3332</v>
      </c>
      <c r="G10" s="1853"/>
      <c r="H10" s="1294" t="s">
        <v>1039</v>
      </c>
      <c r="I10" s="1825" t="s">
        <v>1409</v>
      </c>
      <c r="J10" s="346">
        <f ca="1">ROUND(IF(M10="押一",J6/12*M11,IF(M10="押二",J6/12*2*M11,IF(M10="押三",J6/12*3*M11,J11*M11))),0)</f>
        <v>0</v>
      </c>
      <c r="K10" s="1826" t="s">
        <v>3029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11337</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7018</v>
      </c>
      <c r="D14" s="1802" t="s">
        <v>1418</v>
      </c>
      <c r="E14" s="1796"/>
      <c r="F14" s="364"/>
      <c r="G14" s="1853"/>
      <c r="H14" s="1204" t="s">
        <v>1035</v>
      </c>
      <c r="I14" s="347" t="s">
        <v>1419</v>
      </c>
      <c r="J14" s="24">
        <f ca="1">C29</f>
        <v>11568</v>
      </c>
      <c r="K14" s="15"/>
      <c r="L14" s="982"/>
      <c r="M14" s="983"/>
    </row>
    <row r="15" spans="1:37" s="1860" customFormat="1" ht="18" customHeight="1" thickBot="1">
      <c r="A15" s="1204" t="s">
        <v>1036</v>
      </c>
      <c r="B15" s="347" t="s">
        <v>1420</v>
      </c>
      <c r="C15" s="24">
        <f ca="1">ROUND(C14*F15,0)</f>
        <v>211</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326</v>
      </c>
      <c r="K16" s="1340" t="s">
        <v>1425</v>
      </c>
      <c r="L16" s="1341"/>
      <c r="M16" s="1297"/>
    </row>
    <row r="17" spans="1:37" s="1860" customFormat="1" ht="18" customHeight="1">
      <c r="A17" s="1204" t="s">
        <v>1390</v>
      </c>
      <c r="B17" s="347" t="s">
        <v>1426</v>
      </c>
      <c r="C17" s="24">
        <f ca="1">ROUND(F17*(F43+INDIRECT("'数据-取费表'!S"&amp;$G$1))/10000,0)</f>
        <v>561</v>
      </c>
      <c r="D17" s="347" t="s">
        <v>1427</v>
      </c>
      <c r="E17" s="347" t="s">
        <v>1428</v>
      </c>
      <c r="F17" s="26">
        <f>'数据-取费表'!B35</f>
        <v>200</v>
      </c>
      <c r="G17" s="1856"/>
      <c r="H17" s="1204" t="s">
        <v>1035</v>
      </c>
      <c r="I17" s="347" t="s">
        <v>1429</v>
      </c>
      <c r="J17" s="24">
        <f ca="1">ROUND(IF(项目基本情况!B11="自然人",J5*M17,J18+J19+J20),1)</f>
        <v>152.6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105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7895</v>
      </c>
      <c r="D19" s="140" t="s">
        <v>1436</v>
      </c>
      <c r="E19" s="1820"/>
      <c r="F19" s="26"/>
      <c r="G19" s="1853"/>
      <c r="H19" s="1204" t="s">
        <v>1036</v>
      </c>
      <c r="I19" s="347" t="s">
        <v>1437</v>
      </c>
      <c r="J19" s="24">
        <f ca="1">IF(K19="按租金收入计税",ROUND(J5*M19,2),ROUND(C29*M19*0.7,2))</f>
        <v>97.17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158</v>
      </c>
      <c r="D20" s="369" t="s">
        <v>1440</v>
      </c>
      <c r="E20" s="347" t="s">
        <v>1422</v>
      </c>
      <c r="F20" s="367">
        <f>'数据-取费表'!B37</f>
        <v>0.02</v>
      </c>
      <c r="G20" s="1856"/>
      <c r="H20" s="1204" t="s">
        <v>1389</v>
      </c>
      <c r="I20" s="164" t="s">
        <v>1441</v>
      </c>
      <c r="J20" s="25">
        <f ca="1">ROUND(M20*M21/10000,2)</f>
        <v>55.39</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55394.36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173.5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580</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-326</v>
      </c>
      <c r="K25" s="1348" t="s">
        <v>1464</v>
      </c>
      <c r="L25" s="1349"/>
      <c r="M25" s="1350"/>
    </row>
    <row r="26" spans="1:37">
      <c r="A26" s="1204" t="s">
        <v>1034</v>
      </c>
      <c r="B26" s="347" t="s">
        <v>1465</v>
      </c>
      <c r="C26" s="24">
        <f ca="1">ROUND((C19+C20)*F26,0)</f>
        <v>2013</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11568</v>
      </c>
      <c r="D29" s="1345"/>
      <c r="E29" s="1343"/>
      <c r="F29" s="1346"/>
      <c r="G29" s="1856"/>
      <c r="H29" s="380" t="s">
        <v>1033</v>
      </c>
      <c r="I29" s="381" t="s">
        <v>1479</v>
      </c>
      <c r="J29" s="382">
        <f ca="1">ROUND(J26/(1+F40)^F41,0)</f>
        <v>0</v>
      </c>
      <c r="K29" s="383" t="s">
        <v>1480</v>
      </c>
      <c r="L29" s="384"/>
      <c r="M29" s="385">
        <f ca="1">INDIRECT("'数据-取费表'!k"&amp;$G$1)</f>
        <v>28072.940000000002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609</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375.4</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98.45</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221.52</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55.39</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55394.36</v>
      </c>
      <c r="G35" s="1853"/>
      <c r="H35" s="745"/>
      <c r="I35" s="1862"/>
      <c r="J35" s="1863"/>
      <c r="K35" s="1864"/>
      <c r="L35" s="1861"/>
      <c r="M35" s="1861"/>
    </row>
    <row r="36" spans="1:18" ht="18" customHeight="1">
      <c r="A36" s="1355" t="s">
        <v>1039</v>
      </c>
      <c r="B36" s="347" t="s">
        <v>1449</v>
      </c>
      <c r="C36" s="24">
        <f ca="1">ROUND(C29*F36,1)</f>
        <v>173.5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22.7</v>
      </c>
      <c r="D37" s="1800" t="s">
        <v>1454</v>
      </c>
      <c r="E37" s="347" t="s">
        <v>1455</v>
      </c>
      <c r="F37" s="376">
        <f ca="1">INDIRECT("'数据-取费表'!Al"&amp;$G$1)</f>
        <v>2E-3</v>
      </c>
      <c r="G37" s="1853"/>
      <c r="H37" s="1861"/>
      <c r="I37" s="1862"/>
      <c r="J37" s="1863"/>
      <c r="K37" s="751"/>
      <c r="L37" s="1861"/>
      <c r="M37" s="1861"/>
    </row>
    <row r="38" spans="1:18" ht="18" customHeight="1" thickBot="1">
      <c r="A38" s="1342" t="s">
        <v>1393</v>
      </c>
      <c r="B38" s="1343" t="s">
        <v>1439</v>
      </c>
      <c r="C38" s="1344">
        <f ca="1">ROUND(C5*F38,1)</f>
        <v>36.9</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1237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26258</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9353</v>
      </c>
      <c r="D43" s="383" t="s">
        <v>1488</v>
      </c>
      <c r="E43" s="384" t="s">
        <v>1489</v>
      </c>
      <c r="F43" s="385">
        <f ca="1">INDIRECT("'数据-取费表'!k"&amp;$G$1)</f>
        <v>28072.940000000002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-45101</v>
      </c>
      <c r="D46" s="1874" t="str">
        <f>C2</f>
        <v>万元</v>
      </c>
      <c r="E46" s="1868"/>
      <c r="F46" s="1868"/>
      <c r="I46" s="1875" t="s">
        <v>1521</v>
      </c>
      <c r="J46" s="1876"/>
      <c r="K46" s="1877"/>
      <c r="L46" s="1878">
        <f ca="1">IF(M47="住宅",0,IF(L48&gt;J51,L60,J60))</f>
        <v>225</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26258</v>
      </c>
      <c r="R47" s="1888" t="s">
        <v>1529</v>
      </c>
    </row>
    <row r="48" spans="1:18" s="1844" customFormat="1" ht="28.5" thickBot="1">
      <c r="A48" s="1363" t="s">
        <v>1135</v>
      </c>
      <c r="B48" s="345" t="s">
        <v>1401</v>
      </c>
      <c r="C48" s="1819">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225</v>
      </c>
      <c r="R48" s="1888" t="s">
        <v>1533</v>
      </c>
    </row>
    <row r="49" spans="1:18" s="1844" customFormat="1" ht="13.5" thickBot="1">
      <c r="A49" s="1197" t="s">
        <v>1136</v>
      </c>
      <c r="B49" s="1831" t="s">
        <v>1490</v>
      </c>
      <c r="C49" s="1367">
        <f ca="1">ROUND(F49*F51*F50*(1-F52)/10000,0)</f>
        <v>0</v>
      </c>
      <c r="D49" s="1279" t="s">
        <v>3022</v>
      </c>
      <c r="E49" s="1832" t="s">
        <v>1491</v>
      </c>
      <c r="F49" s="1284"/>
      <c r="G49" s="1893"/>
      <c r="H49" s="793"/>
      <c r="I49" s="1889" t="s">
        <v>1534</v>
      </c>
      <c r="J49" s="1894">
        <v>2017</v>
      </c>
      <c r="K49" s="1891" t="s">
        <v>1535</v>
      </c>
      <c r="L49" s="1895"/>
      <c r="O49" s="1896" t="s">
        <v>1042</v>
      </c>
      <c r="P49" s="1887" t="s">
        <v>1536</v>
      </c>
      <c r="Q49" s="1888">
        <f ca="1">C29</f>
        <v>11568</v>
      </c>
      <c r="R49" s="1888" t="s">
        <v>1529</v>
      </c>
    </row>
    <row r="50" spans="1:18" s="1844" customFormat="1" ht="13.5" thickBot="1">
      <c r="A50" s="1198"/>
      <c r="B50" s="1201"/>
      <c r="C50" s="1371"/>
      <c r="D50" s="1175"/>
      <c r="E50" s="1280" t="s">
        <v>1406</v>
      </c>
      <c r="F50" s="1281">
        <f ca="1">F7</f>
        <v>28072.940000000002</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59</v>
      </c>
      <c r="K51" s="1902" t="s">
        <v>1541</v>
      </c>
      <c r="L51" s="1903">
        <f ca="1">ROUND(-PV(INDIRECT("'数据-取费表'!h"&amp;$G$1),L48,(C39-C13*C76),0),0)</f>
        <v>4481</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24.75" thickBot="1">
      <c r="A53" s="1408" t="s">
        <v>1137</v>
      </c>
      <c r="B53" s="1833" t="s">
        <v>1409</v>
      </c>
      <c r="C53" s="361">
        <f ca="1">ROUND(IF(F53="押一",C49/12*F11,IF(F53="押二",C49/12*2*F11,IF(F53="押三",C49/12*3*F11,C54*F11))),0)</f>
        <v>0</v>
      </c>
      <c r="D53" s="1826" t="s">
        <v>3029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66" t="s">
        <v>1548</v>
      </c>
      <c r="L53" s="3367"/>
      <c r="O53" s="1886" t="s">
        <v>1046</v>
      </c>
      <c r="P53" s="1887" t="s">
        <v>1549</v>
      </c>
      <c r="Q53" s="1888">
        <f ca="1">Q47+Q48</f>
        <v>26483</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0.39800000000000002</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11337</v>
      </c>
      <c r="D56" s="1916"/>
      <c r="E56" s="1917"/>
      <c r="F56" s="1909"/>
      <c r="I56" s="1918" t="s">
        <v>1554</v>
      </c>
      <c r="J56" s="1919" t="s">
        <v>3340</v>
      </c>
      <c r="K56" s="1889" t="s">
        <v>1555</v>
      </c>
      <c r="L56" s="1892" t="str">
        <f ca="1">IF(L48&lt;J51,"——",L48-J53)</f>
        <v>——</v>
      </c>
      <c r="O56" s="1886" t="s">
        <v>1040</v>
      </c>
      <c r="P56" s="1887" t="s">
        <v>1528</v>
      </c>
      <c r="Q56" s="1888">
        <f ca="1">C40+J29</f>
        <v>26258</v>
      </c>
      <c r="R56" s="1888" t="s">
        <v>1529</v>
      </c>
    </row>
    <row r="57" spans="1:18" s="1844" customFormat="1" ht="24.75" thickBot="1">
      <c r="A57" s="1920"/>
      <c r="B57" s="1172" t="s">
        <v>1478</v>
      </c>
      <c r="C57" s="282">
        <f ca="1">C29</f>
        <v>11568</v>
      </c>
      <c r="D57" s="1921"/>
      <c r="E57" s="1922"/>
      <c r="F57" s="1923"/>
      <c r="I57" s="1924" t="s">
        <v>1556</v>
      </c>
      <c r="J57" s="1925">
        <f ca="1">IF(OR(M47="住宅",J51&lt;L48,J56="是"),"——",J51-L48)</f>
        <v>23.89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1223</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1027.0999999999999</v>
      </c>
      <c r="D59" s="1185" t="s">
        <v>1430</v>
      </c>
      <c r="E59" s="1186" t="s">
        <v>1431</v>
      </c>
      <c r="F59" s="368" t="str">
        <f ca="1">IF(项目基本情况!B11="企业","",IF(INDIRECT("'数据-取费表'!c"&amp;$G$1)="住宅",5%,IF(F49*F50*F51/12/(1+'数据-取费表'!C42)&gt;20000,12%,7%)))</f>
        <v/>
      </c>
      <c r="I59" s="1924" t="s">
        <v>1563</v>
      </c>
      <c r="J59" s="1925">
        <f ca="1">IF(OR(M47="住宅",J51&lt;L48,J56="是"),"——",ROUND(C29*J58,0))</f>
        <v>4627</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225</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971.71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55.39</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26258</v>
      </c>
      <c r="R62" s="1888" t="s">
        <v>1047</v>
      </c>
    </row>
    <row r="63" spans="1:18" s="1844" customFormat="1" ht="13.5" thickBot="1">
      <c r="A63" s="372"/>
      <c r="B63" s="1178"/>
      <c r="C63" s="29"/>
      <c r="D63" s="1188"/>
      <c r="E63" s="1172" t="s">
        <v>1499</v>
      </c>
      <c r="F63" s="348">
        <f t="shared" ca="1" si="0"/>
        <v>55394.36</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173.5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22.7</v>
      </c>
      <c r="D65" s="1186" t="s">
        <v>1454</v>
      </c>
      <c r="E65" s="1172" t="s">
        <v>1455</v>
      </c>
      <c r="F65" s="376">
        <f t="shared" ca="1" si="0"/>
        <v>2E-3</v>
      </c>
      <c r="I65" s="1931" t="s">
        <v>1579</v>
      </c>
      <c r="J65" s="1932">
        <v>40</v>
      </c>
      <c r="K65" s="1932">
        <v>30</v>
      </c>
      <c r="L65" s="1932">
        <v>50</v>
      </c>
      <c r="M65" s="1934">
        <v>0.02</v>
      </c>
      <c r="O65" s="1886" t="s">
        <v>1040</v>
      </c>
      <c r="P65" s="1887" t="s">
        <v>1580</v>
      </c>
      <c r="Q65" s="1888">
        <f ca="1">C40+J29</f>
        <v>26258</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-1223</v>
      </c>
      <c r="D67" s="1185" t="s">
        <v>1464</v>
      </c>
      <c r="E67" s="1190"/>
      <c r="F67" s="1191"/>
      <c r="O67" s="1896" t="s">
        <v>1042</v>
      </c>
      <c r="P67" s="1887" t="s">
        <v>1562</v>
      </c>
      <c r="Q67" s="1935">
        <f ca="1">L51</f>
        <v>4481</v>
      </c>
      <c r="R67" s="1888" t="s">
        <v>1582</v>
      </c>
    </row>
    <row r="68" spans="1:18" s="1844" customFormat="1" ht="16.5" thickBot="1">
      <c r="A68" s="1169" t="s">
        <v>1032</v>
      </c>
      <c r="B68" s="1170" t="s">
        <v>1485</v>
      </c>
      <c r="C68" s="346">
        <f ca="1">ROUND(C67*(1-((1+F70)/(1+F68))^F69)/(F68-F70),0)</f>
        <v>-18843</v>
      </c>
      <c r="D68" s="1187" t="s">
        <v>1469</v>
      </c>
      <c r="E68" s="1172" t="s">
        <v>1470</v>
      </c>
      <c r="F68" s="357">
        <f ca="1">F40</f>
        <v>5.5E-2</v>
      </c>
      <c r="O68" s="1896" t="s">
        <v>1043</v>
      </c>
      <c r="P68" s="1936" t="s">
        <v>1583</v>
      </c>
      <c r="Q68" s="1888">
        <f ca="1">ROUND(Q69-Q70*Q71,0)</f>
        <v>273</v>
      </c>
      <c r="R68" s="1888" t="s">
        <v>1051</v>
      </c>
    </row>
    <row r="69" spans="1:18" s="1844" customFormat="1" ht="13.5" thickBot="1">
      <c r="A69" s="1173"/>
      <c r="B69" s="1174"/>
      <c r="C69" s="351"/>
      <c r="D69" s="1192" t="s">
        <v>1473</v>
      </c>
      <c r="E69" s="1172" t="s">
        <v>1474</v>
      </c>
      <c r="F69" s="379">
        <f ca="1">F41</f>
        <v>35.11</v>
      </c>
      <c r="O69" s="1896" t="s">
        <v>1048</v>
      </c>
      <c r="P69" s="1936" t="s">
        <v>1584</v>
      </c>
      <c r="Q69" s="1888">
        <f ca="1">C39</f>
        <v>1237</v>
      </c>
      <c r="R69" s="1888" t="s">
        <v>1529</v>
      </c>
    </row>
    <row r="70" spans="1:18" s="1844" customFormat="1" ht="13.5" thickBot="1">
      <c r="A70" s="1176"/>
      <c r="B70" s="1177"/>
      <c r="C70" s="355"/>
      <c r="D70" s="1188"/>
      <c r="E70" s="1172" t="s">
        <v>1477</v>
      </c>
      <c r="F70" s="1278"/>
      <c r="O70" s="1896" t="s">
        <v>1049</v>
      </c>
      <c r="P70" s="1936" t="s">
        <v>1585</v>
      </c>
      <c r="Q70" s="1888">
        <f ca="1">C13</f>
        <v>11337</v>
      </c>
      <c r="R70" s="1888" t="s">
        <v>1529</v>
      </c>
    </row>
    <row r="71" spans="1:18" s="1844" customFormat="1" ht="13.5" thickBot="1">
      <c r="A71" s="1193" t="s">
        <v>1033</v>
      </c>
      <c r="B71" s="1194" t="s">
        <v>1487</v>
      </c>
      <c r="C71" s="382">
        <f ca="1">ROUND(C68*10000/F71,0)</f>
        <v>-6712</v>
      </c>
      <c r="D71" s="1195" t="s">
        <v>1488</v>
      </c>
      <c r="E71" s="1196" t="s">
        <v>1489</v>
      </c>
      <c r="F71" s="385">
        <f ca="1">F43</f>
        <v>28072.940000000002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964</v>
      </c>
      <c r="D75" s="1844"/>
      <c r="E75" s="1844"/>
      <c r="F75" s="1844"/>
      <c r="K75" s="1870"/>
      <c r="L75" s="1844"/>
      <c r="O75" s="1886" t="s">
        <v>1046</v>
      </c>
      <c r="P75" s="1887" t="s">
        <v>1549</v>
      </c>
      <c r="Q75" s="1888">
        <f ca="1">Q65+Q66</f>
        <v>26258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0.22099999999999997</v>
      </c>
    </row>
    <row r="80" spans="1:18">
      <c r="B80" s="386" t="s">
        <v>1511</v>
      </c>
      <c r="C80" s="318">
        <f ca="1">ROUND(C75/C39,3)</f>
        <v>0.77900000000000003</v>
      </c>
    </row>
    <row r="81" spans="2:3">
      <c r="B81" s="314" t="s">
        <v>1512</v>
      </c>
      <c r="C81" s="282"/>
    </row>
    <row r="82" spans="2:3">
      <c r="B82" s="317" t="s">
        <v>1513</v>
      </c>
      <c r="C82" s="319">
        <f ca="1">1-C83</f>
        <v>0.56800000000000006</v>
      </c>
    </row>
    <row r="83" spans="2:3">
      <c r="B83" s="317" t="s">
        <v>1514</v>
      </c>
      <c r="C83" s="318">
        <f ca="1">ROUND(C13/C40,3)</f>
        <v>0.432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7" priority="56">
      <formula>$L$48&gt;$J$51</formula>
    </cfRule>
  </conditionalFormatting>
  <conditionalFormatting sqref="I55 I60">
    <cfRule type="expression" dxfId="56" priority="57">
      <formula>$J$51&gt;$L$48</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4">
    <cfRule type="expression" dxfId="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Normal="100" zoomScaleSheetLayoutView="100" zoomScalePageLayoutView="80" workbookViewId="0">
      <selection activeCell="G29" sqref="G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2110</v>
      </c>
      <c r="B1" s="2415"/>
      <c r="C1" s="2416" t="s">
        <v>48</v>
      </c>
      <c r="D1" s="2415"/>
      <c r="E1" s="2415"/>
      <c r="F1" s="2417" t="s">
        <v>2111</v>
      </c>
      <c r="G1" s="2068" t="s">
        <v>3327</v>
      </c>
      <c r="H1" s="2418" t="str">
        <f>IF(G1="现房","——","估价对象范围")</f>
        <v>——</v>
      </c>
      <c r="I1" s="2419" t="s">
        <v>3328</v>
      </c>
    </row>
    <row r="2" spans="1:12" ht="21.75" customHeight="1" thickBot="1">
      <c r="A2" s="3207" t="str">
        <f>项目基本情况!S2</f>
        <v>浙江省宁波市春晓镇183地块3、6、7号楼产权式公寓用房及地下车库用房房地产</v>
      </c>
      <c r="B2" s="3208"/>
      <c r="C2" s="3208"/>
      <c r="D2" s="3208"/>
      <c r="E2" s="3208"/>
      <c r="F2" s="3208"/>
      <c r="G2" s="3208"/>
      <c r="H2" s="3208"/>
      <c r="I2" s="3209"/>
    </row>
    <row r="3" spans="1:12" ht="12.75">
      <c r="A3" s="3211" t="s">
        <v>2112</v>
      </c>
      <c r="B3" s="3212"/>
      <c r="C3" s="3212"/>
      <c r="D3" s="3212"/>
      <c r="E3" s="3212"/>
      <c r="F3" s="3212"/>
      <c r="G3" s="3212"/>
      <c r="H3" s="3212"/>
      <c r="I3" s="3212"/>
    </row>
    <row r="4" spans="1:12" ht="14.25">
      <c r="A4" s="2422" t="s">
        <v>2113</v>
      </c>
      <c r="B4" s="2423" t="s">
        <v>2114</v>
      </c>
      <c r="C4" s="2424" t="s">
        <v>3473</v>
      </c>
      <c r="D4" s="2424" t="s">
        <v>3333</v>
      </c>
      <c r="E4" s="3204" t="s">
        <v>2115</v>
      </c>
      <c r="F4" s="3205"/>
      <c r="G4" s="3205"/>
      <c r="H4" s="3205"/>
      <c r="I4" s="3213"/>
      <c r="K4" s="2425" t="str">
        <f>IF(ISNUMBER(FIND("比较法",'结果表 (车位)'!C4)),"比较法",IF(ISNUMBER(FIND("成本法",'结果表 (车位)'!C4)),"成本法",IF(ISNUMBER(FIND("假设开发法",'结果表 (车位)'!C4)),"假设开发法",IF(ISNUMBER(FIND("收益法",'结果表 (车位)'!C4)),"收益法","基准地价系数修正法"))))</f>
        <v>比较法</v>
      </c>
      <c r="L4" s="2425"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2.75">
      <c r="A5" s="3187" t="s">
        <v>2116</v>
      </c>
      <c r="B5" s="3101">
        <v>25</v>
      </c>
      <c r="C5" s="3190"/>
      <c r="D5" s="3210"/>
      <c r="E5" s="140" t="s">
        <v>2117</v>
      </c>
      <c r="F5" s="2426"/>
      <c r="G5" s="2426"/>
      <c r="H5" s="2426"/>
      <c r="I5" s="1833"/>
    </row>
    <row r="6" spans="1:12" ht="12.75">
      <c r="A6" s="3187"/>
      <c r="B6" s="3101"/>
      <c r="C6" s="3191"/>
      <c r="D6" s="3210"/>
      <c r="E6" s="140" t="s">
        <v>2118</v>
      </c>
      <c r="F6" s="2426"/>
      <c r="G6" s="2426"/>
      <c r="H6" s="2426"/>
      <c r="I6" s="1833"/>
    </row>
    <row r="7" spans="1:12" ht="12.75">
      <c r="A7" s="3187"/>
      <c r="B7" s="3101"/>
      <c r="C7" s="3192"/>
      <c r="D7" s="3210"/>
      <c r="E7" s="140" t="s">
        <v>2119</v>
      </c>
      <c r="F7" s="2426"/>
      <c r="G7" s="2426"/>
      <c r="H7" s="2426"/>
      <c r="I7" s="1833"/>
    </row>
    <row r="8" spans="1:12" ht="12.75">
      <c r="A8" s="3187" t="s">
        <v>2120</v>
      </c>
      <c r="B8" s="3101">
        <v>15</v>
      </c>
      <c r="C8" s="3190"/>
      <c r="D8" s="3210"/>
      <c r="E8" s="140" t="s">
        <v>2121</v>
      </c>
      <c r="F8" s="2426"/>
      <c r="G8" s="2426"/>
      <c r="H8" s="2426"/>
      <c r="I8" s="1833"/>
    </row>
    <row r="9" spans="1:12" ht="12.75">
      <c r="A9" s="3187"/>
      <c r="B9" s="3101"/>
      <c r="C9" s="3192"/>
      <c r="D9" s="3210"/>
      <c r="E9" s="140" t="s">
        <v>2122</v>
      </c>
      <c r="F9" s="2426"/>
      <c r="G9" s="2426"/>
      <c r="H9" s="2426"/>
      <c r="I9" s="1833"/>
    </row>
    <row r="10" spans="1:12" ht="12.75">
      <c r="A10" s="3187" t="s">
        <v>2123</v>
      </c>
      <c r="B10" s="3101">
        <v>15</v>
      </c>
      <c r="C10" s="3190"/>
      <c r="D10" s="3210"/>
      <c r="E10" s="140" t="s">
        <v>2124</v>
      </c>
      <c r="F10" s="2426"/>
      <c r="G10" s="2426"/>
      <c r="H10" s="2426"/>
      <c r="I10" s="1833"/>
    </row>
    <row r="11" spans="1:12" ht="12.75">
      <c r="A11" s="3187"/>
      <c r="B11" s="3101"/>
      <c r="C11" s="3192"/>
      <c r="D11" s="3210"/>
      <c r="E11" s="140" t="s">
        <v>2125</v>
      </c>
      <c r="F11" s="2426"/>
      <c r="G11" s="2426"/>
      <c r="H11" s="2426"/>
      <c r="I11" s="1833"/>
    </row>
    <row r="12" spans="1:12" ht="12.75">
      <c r="A12" s="3187" t="s">
        <v>2126</v>
      </c>
      <c r="B12" s="3101">
        <v>15</v>
      </c>
      <c r="C12" s="3190"/>
      <c r="D12" s="3210"/>
      <c r="E12" s="140" t="s">
        <v>2127</v>
      </c>
      <c r="F12" s="2426"/>
      <c r="G12" s="2426"/>
      <c r="H12" s="2426"/>
      <c r="I12" s="1833"/>
    </row>
    <row r="13" spans="1:12" ht="12.75">
      <c r="A13" s="3187"/>
      <c r="B13" s="3101"/>
      <c r="C13" s="3192"/>
      <c r="D13" s="3210"/>
      <c r="E13" s="140" t="s">
        <v>2128</v>
      </c>
      <c r="F13" s="2426"/>
      <c r="G13" s="2426"/>
      <c r="H13" s="2426"/>
      <c r="I13" s="1833"/>
    </row>
    <row r="14" spans="1:12" ht="12.75">
      <c r="A14" s="3187" t="s">
        <v>2129</v>
      </c>
      <c r="B14" s="3101">
        <v>30</v>
      </c>
      <c r="C14" s="3190">
        <v>7</v>
      </c>
      <c r="D14" s="3210">
        <v>3</v>
      </c>
      <c r="E14" s="140" t="s">
        <v>2130</v>
      </c>
      <c r="F14" s="2426"/>
      <c r="G14" s="2426"/>
      <c r="H14" s="2426"/>
      <c r="I14" s="1833"/>
    </row>
    <row r="15" spans="1:12" ht="12.75">
      <c r="A15" s="3187"/>
      <c r="B15" s="3101"/>
      <c r="C15" s="3191"/>
      <c r="D15" s="3210"/>
      <c r="E15" s="140" t="s">
        <v>2131</v>
      </c>
      <c r="F15" s="2426"/>
      <c r="G15" s="2426"/>
      <c r="H15" s="2426"/>
      <c r="I15" s="1833"/>
    </row>
    <row r="16" spans="1:12" ht="12.75">
      <c r="A16" s="3187"/>
      <c r="B16" s="3101"/>
      <c r="C16" s="3192"/>
      <c r="D16" s="3210"/>
      <c r="E16" s="140" t="s">
        <v>2132</v>
      </c>
      <c r="F16" s="2426"/>
      <c r="G16" s="2426"/>
      <c r="H16" s="2426"/>
      <c r="I16" s="1833"/>
    </row>
    <row r="17" spans="1:35" ht="15">
      <c r="A17" s="2427" t="s">
        <v>2133</v>
      </c>
      <c r="B17" s="64"/>
      <c r="C17" s="141">
        <f>SUM(C5:C16)</f>
        <v>7</v>
      </c>
      <c r="D17" s="141">
        <f>SUM(D5:D16)</f>
        <v>3</v>
      </c>
      <c r="E17" s="138"/>
      <c r="F17" s="138"/>
      <c r="G17" s="138"/>
      <c r="H17" s="138"/>
      <c r="I17" s="138"/>
      <c r="K17" s="2425"/>
      <c r="L17" s="2428" t="s">
        <v>2134</v>
      </c>
      <c r="M17" s="2428" t="s">
        <v>2135</v>
      </c>
    </row>
    <row r="18" spans="1:35" ht="15.75" thickBot="1">
      <c r="A18" s="2429" t="s">
        <v>2136</v>
      </c>
      <c r="B18" s="2430"/>
      <c r="C18" s="142">
        <f>ROUND(C17/SUM(C17:D17),2)</f>
        <v>0.7</v>
      </c>
      <c r="D18" s="142">
        <f>1-C18</f>
        <v>0.30000000000000004</v>
      </c>
      <c r="E18" s="138"/>
      <c r="F18" s="138"/>
      <c r="G18" s="138"/>
      <c r="H18" s="138"/>
      <c r="I18" s="138"/>
      <c r="K18" s="2425" t="s">
        <v>2137</v>
      </c>
      <c r="L18" s="2425">
        <f>IF(C1="",'数据-汇总表'!E3,SUMIF(项目类型,C1,'数据-汇总表'!E17:E26)+SUMIF(项目类型,C1,'数据-汇总表'!I17:I26))</f>
        <v>2719.64</v>
      </c>
      <c r="M18" s="2425">
        <f>IF(C1="",'数据-汇总表'!E3,SUMIF(项目类型,C1,'数据-汇总表'!E17:E26))</f>
        <v>2719.64</v>
      </c>
    </row>
    <row r="19" spans="1:35" ht="15">
      <c r="A19" s="2431" t="s">
        <v>2138</v>
      </c>
      <c r="B19" s="2432" t="s">
        <v>2139</v>
      </c>
      <c r="C19" s="143">
        <f ca="1">SUMIF(INDIRECT("'"&amp;C4&amp;"'"&amp;"!A:A"),'结果表 (车位)'!B19,INDIRECT("'"&amp;C4&amp;"'"&amp;"!B:B"))</f>
        <v>2228</v>
      </c>
      <c r="D19" s="144">
        <f ca="1">SUMIF(INDIRECT("'"&amp;D4&amp;"'"&amp;"!A:A"),'结果表 (车位)'!B19,INDIRECT("'"&amp;D4&amp;"'"&amp;"!B:B"))</f>
        <v>1639</v>
      </c>
      <c r="E19" s="2431" t="s">
        <v>2140</v>
      </c>
      <c r="F19" s="2432" t="s">
        <v>2139</v>
      </c>
      <c r="G19" s="145">
        <f ca="1">ROUND(C19*$C$18+D19*$D$18,0)</f>
        <v>2051</v>
      </c>
      <c r="H19" s="2433" t="s">
        <v>2141</v>
      </c>
      <c r="I19" s="138"/>
      <c r="K19" s="2425" t="s">
        <v>2142</v>
      </c>
      <c r="L19" s="2425">
        <f>IF(C1="",'数据-汇总表'!D3,SUMIF(项目类型,C1,'数据-汇总表'!D17:D26)+SUMIF(项目类型,C1,'数据-汇总表'!H17:H27))</f>
        <v>5366.47</v>
      </c>
      <c r="M19" s="2425">
        <f>IF(C1="",'数据-汇总表'!D3,SUMIF(项目类型,C1,'数据-汇总表'!D17:D26))</f>
        <v>5366.47</v>
      </c>
    </row>
    <row r="20" spans="1:35" ht="15">
      <c r="A20" s="2434"/>
      <c r="B20" s="1250" t="s">
        <v>2143</v>
      </c>
      <c r="C20" s="146">
        <f ca="1">SUMIF(INDIRECT("'"&amp;C4&amp;"'"&amp;"!A:A"),'结果表 (车位)'!B20,INDIRECT("'"&amp;C4&amp;"'"&amp;"!B:B"))</f>
        <v>8192</v>
      </c>
      <c r="D20" s="147">
        <f ca="1">SUMIF(INDIRECT("'"&amp;D4&amp;"'"&amp;"!A:A"),'结果表 (车位)'!B20,INDIRECT("'"&amp;D4&amp;"'"&amp;"!B:B"))</f>
        <v>6027</v>
      </c>
      <c r="E20" s="2434"/>
      <c r="F20" s="1250" t="s">
        <v>2143</v>
      </c>
      <c r="G20" s="148">
        <f ca="1">ROUND(C20*$C$18+D20*$D$18,0)</f>
        <v>7543</v>
      </c>
      <c r="H20" s="983" t="s">
        <v>2144</v>
      </c>
      <c r="I20" s="138"/>
    </row>
    <row r="21" spans="1:35" ht="15" customHeight="1" thickBot="1">
      <c r="A21" s="1003"/>
      <c r="B21" s="2435" t="s">
        <v>2145</v>
      </c>
      <c r="C21" s="789">
        <f ca="1">ROUND(C19*10000/L19,0)</f>
        <v>4152</v>
      </c>
      <c r="D21" s="790">
        <f ca="1">ROUND(D19*10000/L19,0)</f>
        <v>3054</v>
      </c>
      <c r="E21" s="1003"/>
      <c r="F21" s="2435" t="s">
        <v>2145</v>
      </c>
      <c r="G21" s="149">
        <f ca="1">ROUND(G19*10000/L19,0)</f>
        <v>3822</v>
      </c>
      <c r="H21" s="2436" t="s">
        <v>2144</v>
      </c>
      <c r="I21" s="138"/>
    </row>
    <row r="22" spans="1:35" ht="15" thickBot="1">
      <c r="A22" s="2278" t="s">
        <v>2146</v>
      </c>
      <c r="B22" s="2437"/>
      <c r="C22" s="2438"/>
      <c r="D22" s="791">
        <f ca="1">IF(C19&lt;D19,D19/C19-1,C19/D19-1)</f>
        <v>0.35936546674801706</v>
      </c>
      <c r="E22" s="138"/>
      <c r="F22" s="138"/>
      <c r="G22" s="138"/>
      <c r="H22" s="138"/>
      <c r="I22" s="138"/>
    </row>
    <row r="23" spans="1:35" ht="13.5" thickBot="1">
      <c r="A23" s="2415"/>
      <c r="B23" s="2415"/>
      <c r="C23" s="2415"/>
      <c r="D23" s="2415"/>
      <c r="E23" s="138"/>
      <c r="F23" s="138"/>
      <c r="G23" s="138"/>
      <c r="H23" s="138"/>
      <c r="I23" s="138"/>
    </row>
    <row r="24" spans="1:35" ht="14.25">
      <c r="A24" s="3181" t="s">
        <v>2147</v>
      </c>
      <c r="B24" s="2432" t="s">
        <v>2139</v>
      </c>
      <c r="C24" s="145">
        <f>IF(B30=0,0,D30)</f>
        <v>0</v>
      </c>
      <c r="D24" s="2439"/>
      <c r="E24" s="138"/>
      <c r="F24" s="138"/>
      <c r="G24" s="138"/>
      <c r="H24" s="138"/>
      <c r="I24" s="138"/>
    </row>
    <row r="25" spans="1:35" ht="14.25">
      <c r="A25" s="3182"/>
      <c r="B25" s="1250"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2051</v>
      </c>
      <c r="D32" s="2446" t="s">
        <v>2154</v>
      </c>
      <c r="E32" s="138"/>
      <c r="F32" s="138"/>
      <c r="G32" s="138"/>
      <c r="H32" s="138"/>
      <c r="I32" s="138"/>
    </row>
    <row r="33" spans="1:15" ht="15">
      <c r="A33" s="960" t="s">
        <v>2155</v>
      </c>
      <c r="B33" s="2447"/>
      <c r="C33" s="2448" t="s">
        <v>3474</v>
      </c>
      <c r="D33" s="2449" t="s">
        <v>3333</v>
      </c>
      <c r="E33" s="2450" t="s">
        <v>2156</v>
      </c>
      <c r="F33" s="2941" t="str">
        <f>IF(D32="楼面单价","取值（单价）","取值（总价）")</f>
        <v>取值（总价）</v>
      </c>
      <c r="G33" s="138"/>
      <c r="H33" s="138"/>
      <c r="I33" s="138"/>
    </row>
    <row r="34" spans="1:15" ht="15">
      <c r="A34" s="2452"/>
      <c r="B34" s="2453" t="s">
        <v>2157</v>
      </c>
      <c r="C34" s="157">
        <f ca="1">IF(C33="自定义",F34,C32-C35)</f>
        <v>1052</v>
      </c>
      <c r="D34" s="1058">
        <f ca="1">IF(C33="自定义",ROUND(C34/C32,3),IF(C33="收益比率",SUMIF(INDIRECT("'"&amp;D33&amp;"'"&amp;"!b:b"),"土地收益比率",INDIRECT("'"&amp;D33&amp;"'"&amp;"!c:c")),SUMIF(INDIRECT("'"&amp;D33&amp;"'"&amp;"!b:b"),"土地成本比率",INDIRECT("'"&amp;D33&amp;"'"&amp;"!c:c"))))</f>
        <v>0.51300000000000001</v>
      </c>
      <c r="E34" s="2454" t="s">
        <v>2158</v>
      </c>
      <c r="F34" s="1738"/>
      <c r="G34" s="138"/>
      <c r="H34" s="138"/>
      <c r="I34" s="138"/>
    </row>
    <row r="35" spans="1:15" ht="15.75" thickBot="1">
      <c r="A35" s="2455"/>
      <c r="B35" s="2456" t="s">
        <v>2159</v>
      </c>
      <c r="C35" s="1444">
        <f ca="1">IF(C33="自定义",F35,ROUND(C32*D35,0))</f>
        <v>999</v>
      </c>
      <c r="D35" s="1445">
        <f ca="1">IF(C33="自定义",ROUND(C35/C32,3),IF(C33="收益比率",SUMIF(INDIRECT("'"&amp;D33&amp;"'"&amp;"!b:b"),"建筑物收益比率",INDIRECT("'"&amp;D33&amp;"'"&amp;"!c:c")),SUMIF(INDIRECT("'"&amp;D33&amp;"'"&amp;"!b:b"),"建筑物成本比率",INDIRECT("'"&amp;D33&amp;"'"&amp;"!c:c"))))</f>
        <v>0.48699999999999999</v>
      </c>
      <c r="E35" s="2457" t="s">
        <v>2160</v>
      </c>
      <c r="F35" s="163"/>
      <c r="G35" s="138"/>
      <c r="H35" s="138"/>
      <c r="I35" s="138"/>
    </row>
    <row r="36" spans="1:15" ht="15.75" thickBot="1">
      <c r="A36" s="3199" t="s">
        <v>2161</v>
      </c>
      <c r="B36" s="2458" t="s">
        <v>2162</v>
      </c>
      <c r="C36" s="154"/>
      <c r="D36" s="2459"/>
      <c r="E36" s="2460"/>
      <c r="F36" s="2461"/>
      <c r="G36" s="138"/>
      <c r="H36" s="138"/>
      <c r="I36" s="138"/>
    </row>
    <row r="37" spans="1:15" ht="15.75" thickBot="1">
      <c r="A37" s="3200"/>
      <c r="B37" s="2264" t="s">
        <v>2163</v>
      </c>
      <c r="C37" s="156"/>
      <c r="D37" s="1395"/>
      <c r="E37" s="1395"/>
      <c r="F37" s="2461"/>
      <c r="G37" s="138"/>
      <c r="H37" s="138"/>
      <c r="I37" s="138"/>
    </row>
    <row r="38" spans="1:15" ht="15.75" thickBot="1">
      <c r="A38" s="3201"/>
      <c r="B38" s="2462" t="s">
        <v>2164</v>
      </c>
      <c r="C38" s="727"/>
      <c r="D38" s="2463" t="s">
        <v>2165</v>
      </c>
      <c r="E38" s="1395"/>
      <c r="F38" s="2461"/>
      <c r="G38" s="138"/>
      <c r="H38" s="138"/>
      <c r="I38" s="138"/>
    </row>
    <row r="39" spans="1:15" ht="15">
      <c r="A39" s="2434" t="s">
        <v>2166</v>
      </c>
      <c r="B39" s="2464" t="s">
        <v>2149</v>
      </c>
      <c r="C39" s="2465" t="s">
        <v>2168</v>
      </c>
      <c r="D39" s="2465" t="s">
        <v>2169</v>
      </c>
      <c r="E39" s="2466" t="s">
        <v>2151</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78" t="s">
        <v>2175</v>
      </c>
      <c r="B45" s="3179"/>
      <c r="C45" s="3180"/>
      <c r="D45" s="164">
        <f ca="1">ROUND(H101*F45,0)</f>
        <v>2051</v>
      </c>
      <c r="E45" s="165" t="s">
        <v>2176</v>
      </c>
      <c r="F45" s="166">
        <v>1</v>
      </c>
      <c r="G45" s="167" t="s">
        <v>2177</v>
      </c>
      <c r="H45" s="138"/>
      <c r="I45" s="138"/>
      <c r="J45" s="3238" t="s">
        <v>2178</v>
      </c>
      <c r="K45" s="3238"/>
      <c r="L45" s="3238"/>
      <c r="M45" s="3238"/>
      <c r="N45" s="3238"/>
      <c r="O45" s="3238"/>
    </row>
    <row r="46" spans="1:15" ht="14.25" customHeight="1">
      <c r="A46" s="3175" t="s">
        <v>2179</v>
      </c>
      <c r="B46" s="3176"/>
      <c r="C46" s="3176"/>
      <c r="D46" s="3176"/>
      <c r="E46" s="3176"/>
      <c r="F46" s="3176"/>
      <c r="G46" s="3177"/>
      <c r="H46" s="2477"/>
      <c r="I46" s="168"/>
      <c r="J46" s="2950">
        <v>1</v>
      </c>
      <c r="K46" s="3238" t="s">
        <v>2180</v>
      </c>
      <c r="L46" s="3238"/>
      <c r="M46" s="3258"/>
      <c r="N46" s="3258"/>
      <c r="O46" s="3258"/>
    </row>
    <row r="47" spans="1:15" ht="12" customHeight="1">
      <c r="A47" s="169" t="s">
        <v>2181</v>
      </c>
      <c r="B47" s="170"/>
      <c r="C47" s="171"/>
      <c r="D47" s="172" t="s">
        <v>2182</v>
      </c>
      <c r="E47" s="24" t="s">
        <v>2183</v>
      </c>
      <c r="F47" s="173" t="s">
        <v>2184</v>
      </c>
      <c r="G47" s="174" t="s">
        <v>2185</v>
      </c>
      <c r="H47" s="2477"/>
      <c r="I47" s="168"/>
      <c r="J47" s="2950">
        <v>2</v>
      </c>
      <c r="K47" s="3238" t="s">
        <v>2186</v>
      </c>
      <c r="L47" s="3238"/>
      <c r="M47" s="3259">
        <f>'数据-取费表'!B2</f>
        <v>43339</v>
      </c>
      <c r="N47" s="3259"/>
      <c r="O47" s="3259"/>
    </row>
    <row r="48" spans="1:15" ht="25.5">
      <c r="A48" s="3206" t="s">
        <v>2187</v>
      </c>
      <c r="B48" s="3189"/>
      <c r="C48" s="3189"/>
      <c r="D48" s="140">
        <f>IF(H48="情况1",0,IF(H48="情况2",D52,IF(H48="情况3",D53,IF(H48="情况4",D54))))</f>
        <v>0</v>
      </c>
      <c r="E48" s="2959" t="str">
        <f>IF(H48="情况4","(销售额-原购置价)×税（费）率","销售额×税（费）率")</f>
        <v>销售额×税（费）率</v>
      </c>
      <c r="F48" s="175" t="str">
        <f>IF(H48="情况1","免征",'数据-取费表'!B41)</f>
        <v>免征</v>
      </c>
      <c r="G48" s="2478" t="s">
        <v>2188</v>
      </c>
      <c r="H48" s="2479" t="s">
        <v>2189</v>
      </c>
      <c r="I48" s="2477"/>
      <c r="J48" s="2950">
        <v>3</v>
      </c>
      <c r="K48" s="3238" t="s">
        <v>2190</v>
      </c>
      <c r="L48" s="3238"/>
      <c r="M48" s="3260">
        <f ca="1">H101</f>
        <v>2051</v>
      </c>
      <c r="N48" s="3260"/>
      <c r="O48" s="3260"/>
    </row>
    <row r="49" spans="1:35" ht="25.5" customHeight="1">
      <c r="A49" s="176" t="s">
        <v>2191</v>
      </c>
      <c r="B49" s="3174" t="s">
        <v>2192</v>
      </c>
      <c r="C49" s="3174"/>
      <c r="D49" s="177">
        <v>0</v>
      </c>
      <c r="E49" s="23" t="s">
        <v>2193</v>
      </c>
      <c r="F49" s="28" t="s">
        <v>34</v>
      </c>
      <c r="G49" s="3244"/>
      <c r="H49" s="138"/>
      <c r="I49" s="2480"/>
      <c r="J49" s="2950">
        <v>4</v>
      </c>
      <c r="K49" s="3238" t="str">
        <f>IF(项目基本情况!E8="房地产抵押价值","房地产抵押价值","抵押担保权已注销时的房地产抵押价值")</f>
        <v>房地产抵押价值</v>
      </c>
      <c r="L49" s="3238"/>
      <c r="M49" s="3260">
        <f ca="1">IF(项目基本情况!E8="房地产抵押价值",H107,H109)</f>
        <v>2051</v>
      </c>
      <c r="N49" s="3260"/>
      <c r="O49" s="3260"/>
    </row>
    <row r="50" spans="1:35" ht="25.5" customHeight="1">
      <c r="A50" s="178"/>
      <c r="B50" s="3174" t="s">
        <v>2194</v>
      </c>
      <c r="C50" s="3174"/>
      <c r="D50" s="179"/>
      <c r="E50" s="31"/>
      <c r="F50" s="180"/>
      <c r="G50" s="3245"/>
      <c r="H50" s="138"/>
      <c r="I50" s="2480"/>
      <c r="J50" s="3238" t="s">
        <v>2195</v>
      </c>
      <c r="K50" s="3238"/>
      <c r="L50" s="3238"/>
      <c r="M50" s="3238"/>
      <c r="N50" s="3238"/>
      <c r="O50" s="3238"/>
    </row>
    <row r="51" spans="1:35" ht="12" customHeight="1">
      <c r="A51" s="181"/>
      <c r="B51" s="3174" t="s">
        <v>2196</v>
      </c>
      <c r="C51" s="3174"/>
      <c r="D51" s="182"/>
      <c r="E51" s="30"/>
      <c r="F51" s="180"/>
      <c r="G51" s="3246"/>
      <c r="H51" s="138"/>
      <c r="I51" s="2480"/>
      <c r="J51" s="2943" t="s">
        <v>2197</v>
      </c>
      <c r="K51" s="3238" t="s">
        <v>2198</v>
      </c>
      <c r="L51" s="3238"/>
      <c r="M51" s="2943" t="s">
        <v>2199</v>
      </c>
      <c r="N51" s="2943" t="s">
        <v>2200</v>
      </c>
      <c r="O51" s="2943" t="s">
        <v>2201</v>
      </c>
    </row>
    <row r="52" spans="1:35" ht="24" customHeight="1">
      <c r="A52" s="183" t="s">
        <v>2202</v>
      </c>
      <c r="B52" s="3174" t="s">
        <v>2203</v>
      </c>
      <c r="C52" s="3174"/>
      <c r="D52" s="182">
        <f ca="1">ROUND(D45*'数据-取费表'!B41/(1+'数据-取费表'!C42),0)</f>
        <v>109</v>
      </c>
      <c r="E52" s="11" t="s">
        <v>2204</v>
      </c>
      <c r="F52" s="184">
        <f>'数据-取费表'!B41</f>
        <v>5.6000000000000001E-2</v>
      </c>
      <c r="G52" s="2482"/>
      <c r="H52" s="138"/>
      <c r="I52" s="2480"/>
      <c r="J52" s="2950">
        <v>1</v>
      </c>
      <c r="K52" s="3239" t="s">
        <v>2205</v>
      </c>
      <c r="L52" s="3239"/>
      <c r="M52" s="1753">
        <f>D48</f>
        <v>0</v>
      </c>
      <c r="N52" s="2950" t="str">
        <f>E48</f>
        <v>销售额×税（费）率</v>
      </c>
      <c r="O52" s="1754" t="str">
        <f>F48</f>
        <v>免征</v>
      </c>
    </row>
    <row r="53" spans="1:35" ht="12" customHeight="1">
      <c r="A53" s="183" t="s">
        <v>2206</v>
      </c>
      <c r="B53" s="3197" t="s">
        <v>2207</v>
      </c>
      <c r="C53" s="3198"/>
      <c r="D53" s="182">
        <f ca="1">ROUND(D45*'数据-取费表'!B41/(1+'数据-取费表'!C42),0)</f>
        <v>109</v>
      </c>
      <c r="E53" s="11" t="s">
        <v>2204</v>
      </c>
      <c r="F53" s="184">
        <f>'数据-取费表'!B41</f>
        <v>5.6000000000000001E-2</v>
      </c>
      <c r="G53" s="2482"/>
      <c r="H53" s="138"/>
      <c r="I53" s="2480"/>
      <c r="J53" s="2950">
        <v>2</v>
      </c>
      <c r="K53" s="3239" t="s">
        <v>2208</v>
      </c>
      <c r="L53" s="3239"/>
      <c r="M53" s="1753">
        <f t="shared" ref="M53:O54" ca="1" si="0">D55</f>
        <v>1</v>
      </c>
      <c r="N53" s="2950" t="str">
        <f t="shared" si="0"/>
        <v>销售额×税（费）率</v>
      </c>
      <c r="O53" s="1754">
        <f t="shared" si="0"/>
        <v>5.0000000000000001E-4</v>
      </c>
    </row>
    <row r="54" spans="1:35" ht="12" customHeight="1">
      <c r="A54" s="183" t="s">
        <v>2209</v>
      </c>
      <c r="B54" s="3197" t="s">
        <v>2210</v>
      </c>
      <c r="C54" s="3198"/>
      <c r="D54" s="182">
        <f ca="1">C68</f>
        <v>109</v>
      </c>
      <c r="E54" s="30" t="s">
        <v>2211</v>
      </c>
      <c r="F54" s="184">
        <f>'数据-取费表'!B41</f>
        <v>5.6000000000000001E-2</v>
      </c>
      <c r="G54" s="2482"/>
      <c r="H54" s="2483"/>
      <c r="I54" s="2480"/>
      <c r="J54" s="2950">
        <v>3</v>
      </c>
      <c r="K54" s="3239" t="s">
        <v>2212</v>
      </c>
      <c r="L54" s="3239"/>
      <c r="M54" s="1753">
        <f t="shared" ca="1" si="0"/>
        <v>1160</v>
      </c>
      <c r="N54" s="2950" t="str">
        <f t="shared" si="0"/>
        <v>增值额×税（费）率</v>
      </c>
      <c r="O54" s="1755" t="str">
        <f t="shared" si="0"/>
        <v>——</v>
      </c>
    </row>
    <row r="55" spans="1:35" ht="24" customHeight="1">
      <c r="A55" s="3188" t="s">
        <v>2213</v>
      </c>
      <c r="B55" s="3189"/>
      <c r="C55" s="3189"/>
      <c r="D55" s="185">
        <f ca="1">IF(H55="个人住宅",0,ROUND(D45*I55,0))</f>
        <v>1</v>
      </c>
      <c r="E55" s="11" t="s">
        <v>2214</v>
      </c>
      <c r="F55" s="184">
        <f>IF(H55="正常",I55,"免征")</f>
        <v>5.0000000000000001E-4</v>
      </c>
      <c r="G55" s="2482"/>
      <c r="H55" s="2479" t="s">
        <v>2215</v>
      </c>
      <c r="I55" s="186">
        <f>'数据-取费表'!B49</f>
        <v>5.0000000000000001E-4</v>
      </c>
      <c r="J55" s="2950" t="str">
        <f>IF(H59="非个人房产","",4)</f>
        <v/>
      </c>
      <c r="K55" s="3239" t="str">
        <f>IF(H59="非个人房产","——","个人所得税")</f>
        <v>——</v>
      </c>
      <c r="L55" s="3239"/>
      <c r="M55" s="1756" t="str">
        <f>D59</f>
        <v>——</v>
      </c>
      <c r="N55" s="2951" t="str">
        <f>E59</f>
        <v>——</v>
      </c>
      <c r="O55" s="1757" t="str">
        <f>F59</f>
        <v>——</v>
      </c>
    </row>
    <row r="56" spans="1:35" ht="24.75">
      <c r="A56" s="3188" t="s">
        <v>2216</v>
      </c>
      <c r="B56" s="3189"/>
      <c r="C56" s="3189"/>
      <c r="D56" s="185">
        <f ca="1">IF(H56="个人住宅",D57,D58)</f>
        <v>1160</v>
      </c>
      <c r="E56" s="11" t="s">
        <v>2217</v>
      </c>
      <c r="F56" s="184" t="str">
        <f>IF(H56="正常",F58,"免征")</f>
        <v>——</v>
      </c>
      <c r="G56" s="2484" t="s">
        <v>2218</v>
      </c>
      <c r="H56" s="2485" t="s">
        <v>2215</v>
      </c>
      <c r="I56" s="2486"/>
      <c r="J56" s="2950" t="str">
        <f>IF(项目基本情况!K6="上海银行",IF(J55="",4,J55+1),"")</f>
        <v/>
      </c>
      <c r="K56" s="3262" t="str">
        <f>IF(项目基本情况!K6="上海银行","其他处置费用","")</f>
        <v/>
      </c>
      <c r="L56" s="3263"/>
      <c r="M56" s="1753" t="str">
        <f>IF(项目基本情况!K6="上海银行",M69,"")</f>
        <v/>
      </c>
      <c r="N56" s="3265" t="str">
        <f>IF(项目基本情况!K6="上海银行","包含处置中涉及的律师、诉讼、拍卖、评估等费用","")</f>
        <v/>
      </c>
      <c r="O56" s="3266"/>
    </row>
    <row r="57" spans="1:35" ht="12.75">
      <c r="A57" s="183" t="s">
        <v>2191</v>
      </c>
      <c r="B57" s="3204" t="s">
        <v>2219</v>
      </c>
      <c r="C57" s="3213"/>
      <c r="D57" s="187">
        <v>0</v>
      </c>
      <c r="E57" s="23" t="s">
        <v>2193</v>
      </c>
      <c r="F57" s="155"/>
      <c r="G57" s="2482"/>
      <c r="H57" s="2486"/>
      <c r="I57" s="2486"/>
      <c r="J57" s="3239">
        <f>IF(AND(J55="",J56=""),4,IF(项目基本情况!K6="上海银行",'结果表 (车位)'!J56+1,'结果表 (车位)'!J55+1))</f>
        <v>4</v>
      </c>
      <c r="K57" s="3239" t="s">
        <v>2220</v>
      </c>
      <c r="L57" s="2487" t="s">
        <v>2221</v>
      </c>
      <c r="M57" s="1758"/>
      <c r="N57" s="1759">
        <f ca="1">SUMIF(M52:M56,"&lt;9e307")</f>
        <v>1161</v>
      </c>
      <c r="O57" s="2488"/>
      <c r="P57" s="1752">
        <f ca="1">N57/M49</f>
        <v>0.56606533398342274</v>
      </c>
    </row>
    <row r="58" spans="1:35" ht="24.75">
      <c r="A58" s="183" t="s">
        <v>2202</v>
      </c>
      <c r="B58" s="3204" t="s">
        <v>2222</v>
      </c>
      <c r="C58" s="3205"/>
      <c r="D58" s="185">
        <f ca="1">IF(H58="转让取得",C81,C97)</f>
        <v>1160</v>
      </c>
      <c r="E58" s="11" t="s">
        <v>2217</v>
      </c>
      <c r="F58" s="24" t="s">
        <v>34</v>
      </c>
      <c r="G58" s="2482"/>
      <c r="H58" s="2485" t="s">
        <v>2223</v>
      </c>
      <c r="I58" s="2486"/>
      <c r="J58" s="3239"/>
      <c r="K58" s="3239"/>
      <c r="L58" s="2487" t="s">
        <v>2224</v>
      </c>
      <c r="M58" s="1760"/>
      <c r="N58" s="2489" t="str">
        <f ca="1">NUMBERSTRING(INT(N57*10000),2)&amp;"元整"</f>
        <v>壹仟壹佰陆拾壹万元整</v>
      </c>
      <c r="O58" s="2490"/>
    </row>
    <row r="59" spans="1:35" ht="24.75" thickBot="1">
      <c r="A59" s="3242" t="s">
        <v>2225</v>
      </c>
      <c r="B59" s="3243"/>
      <c r="C59" s="3243"/>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240">
        <f>J57+1</f>
        <v>5</v>
      </c>
      <c r="K59" s="3239" t="s">
        <v>2227</v>
      </c>
      <c r="L59" s="2950" t="s">
        <v>2221</v>
      </c>
      <c r="M59" s="1761"/>
      <c r="N59" s="1762">
        <f ca="1">M49-N57</f>
        <v>890</v>
      </c>
      <c r="O59" s="2492"/>
    </row>
    <row r="60" spans="1:35" ht="12" customHeight="1">
      <c r="A60" s="2493"/>
      <c r="B60" s="2415"/>
      <c r="C60" s="2415"/>
      <c r="D60" s="2415"/>
      <c r="E60" s="2163"/>
      <c r="F60" s="2486"/>
      <c r="G60" s="2486"/>
      <c r="H60" s="2494"/>
      <c r="I60" s="138"/>
      <c r="J60" s="3241"/>
      <c r="K60" s="3239"/>
      <c r="L60" s="2487" t="s">
        <v>2224</v>
      </c>
      <c r="M60" s="1760"/>
      <c r="N60" s="2489" t="str">
        <f ca="1">NUMBERSTRING(INT(N59*10000),2)&amp;"元整"</f>
        <v>捌佰玖拾万元整</v>
      </c>
      <c r="O60" s="2490"/>
    </row>
    <row r="61" spans="1:35" ht="13.5" thickBot="1">
      <c r="A61" s="3186" t="s">
        <v>2228</v>
      </c>
      <c r="B61" s="3186"/>
      <c r="C61" s="3186"/>
      <c r="D61" s="3186"/>
      <c r="E61" s="3186"/>
      <c r="F61" s="2486"/>
      <c r="G61" s="2486"/>
      <c r="H61" s="2494"/>
      <c r="I61" s="138"/>
      <c r="J61" s="2950">
        <f>J59+1</f>
        <v>6</v>
      </c>
      <c r="K61" s="3239" t="s">
        <v>2229</v>
      </c>
      <c r="L61" s="3239"/>
      <c r="M61" s="1763"/>
      <c r="N61" s="1764">
        <f ca="1">ROUND(N59*10000/'数据-汇总表'!E3,0)</f>
        <v>289</v>
      </c>
      <c r="O61" s="2495"/>
    </row>
    <row r="62" spans="1:35" ht="12.75">
      <c r="A62" s="3202" t="s">
        <v>2230</v>
      </c>
      <c r="B62" s="3203"/>
      <c r="C62" s="2955"/>
      <c r="D62" s="2955" t="s">
        <v>2231</v>
      </c>
      <c r="E62" s="192" t="s">
        <v>2232</v>
      </c>
      <c r="F62" s="2486"/>
      <c r="G62" s="2486"/>
      <c r="H62" s="2494"/>
      <c r="I62" s="138"/>
    </row>
    <row r="63" spans="1:35" ht="12.75">
      <c r="A63" s="203" t="s">
        <v>775</v>
      </c>
      <c r="B63" s="193" t="s">
        <v>2233</v>
      </c>
      <c r="C63" s="194">
        <f ca="1">ROUND((C64+C65)/(1+'数据-取费表'!C42),0)</f>
        <v>1953</v>
      </c>
      <c r="D63" s="195"/>
      <c r="E63" s="196"/>
      <c r="F63" s="2486"/>
      <c r="G63" s="2486"/>
      <c r="H63" s="2494"/>
      <c r="I63" s="138"/>
      <c r="J63" s="3264" t="s">
        <v>2234</v>
      </c>
      <c r="K63" s="2946" t="s">
        <v>2235</v>
      </c>
      <c r="L63" s="1751">
        <f ca="1">IF(M49&gt;10000,M49*0.5%,IF(AND(M49&gt;1000,M49&lt;=10000),M49*1%,IF(AND(M49&gt;100,M49&lt;=1000),M49*3%,IF(AND(M49&gt;10,M49&lt;=100),M49*5%,M49*8%))))</f>
        <v>20.51</v>
      </c>
      <c r="M63" s="24">
        <f ca="1">ROUND(L63,1)</f>
        <v>20.5</v>
      </c>
      <c r="Z63" s="2420"/>
      <c r="AI63" s="2421"/>
    </row>
    <row r="64" spans="1:35" ht="14.25" customHeight="1">
      <c r="A64" s="197" t="s">
        <v>770</v>
      </c>
      <c r="B64" s="198" t="s">
        <v>2236</v>
      </c>
      <c r="C64" s="199">
        <f ca="1">D45</f>
        <v>2051</v>
      </c>
      <c r="D64" s="200" t="s">
        <v>32</v>
      </c>
      <c r="E64" s="201"/>
      <c r="F64" s="2486"/>
      <c r="G64" s="2486"/>
      <c r="H64" s="2494"/>
      <c r="I64" s="138"/>
      <c r="J64" s="3264"/>
      <c r="K64" s="2946" t="s">
        <v>2237</v>
      </c>
      <c r="L64" s="1751">
        <f ca="1">IF(M49&gt;2000,M49*0.5%,IF(AND(M49&gt;1000,M49&lt;=2000),M49*0.6%,IF(AND(M49&gt;500,M49&lt;=1000),M49*0.7%,IF(AND(M49&gt;200,M49&lt;=500),M49*0.8%,IF(AND(M49&gt;100,M49&lt;=200),M49*0.9%,IF(AND(M49&gt;50,M49&lt;=100),M49*1%,IF(AND(M49&gt;20,M49&lt;=50),M49*1.5%,IF(AND(M49&gt;10,M49&lt;=20),M49*2%,IF(AND(M49&gt;1,M49&lt;=10),M49*2.5%)))))))))</f>
        <v>10.255000000000001</v>
      </c>
      <c r="M64" s="24">
        <f t="shared" ref="M64:M65" ca="1" si="1">ROUND(L64,1)</f>
        <v>10.3</v>
      </c>
      <c r="N64" s="138" t="s">
        <v>2238</v>
      </c>
      <c r="Z64" s="2420"/>
      <c r="AI64" s="2421"/>
    </row>
    <row r="65" spans="1:35" ht="14.25" customHeight="1">
      <c r="A65" s="197" t="s">
        <v>771</v>
      </c>
      <c r="B65" s="198" t="s">
        <v>2239</v>
      </c>
      <c r="C65" s="202"/>
      <c r="D65" s="200"/>
      <c r="E65" s="201"/>
      <c r="F65" s="2486"/>
      <c r="G65" s="2486"/>
      <c r="H65" s="2494"/>
      <c r="I65" s="138"/>
      <c r="J65" s="3264"/>
      <c r="K65" s="2946" t="s">
        <v>2240</v>
      </c>
      <c r="L65" s="1751">
        <f ca="1">IF(M49&gt;1000,M49*0.1%,IF(AND(M49&gt;500,M49&lt;=1000),M49*0.5%,IF(AND(M49&gt;50,M49&lt;=500),M49*1%,IF(AND(M49&gt;1,M49&lt;=50),M49*1.5%))))</f>
        <v>2.0510000000000002</v>
      </c>
      <c r="M65" s="24">
        <f t="shared" ca="1" si="1"/>
        <v>2.1</v>
      </c>
      <c r="N65" s="138" t="s">
        <v>2238</v>
      </c>
      <c r="Z65" s="2420"/>
      <c r="AI65" s="2421"/>
    </row>
    <row r="66" spans="1:35" ht="14.25" customHeight="1">
      <c r="A66" s="203" t="s">
        <v>772</v>
      </c>
      <c r="B66" s="204" t="s">
        <v>2241</v>
      </c>
      <c r="C66" s="205"/>
      <c r="D66" s="206" t="s">
        <v>32</v>
      </c>
      <c r="E66" s="1775" t="s">
        <v>1371</v>
      </c>
      <c r="F66" s="2486"/>
      <c r="G66" s="2486"/>
      <c r="H66" s="2494"/>
      <c r="I66" s="138"/>
      <c r="J66" s="3264"/>
      <c r="K66" s="2946" t="s">
        <v>2242</v>
      </c>
      <c r="L66" s="1751">
        <f ca="1">M49*0.5%</f>
        <v>10.255000000000001</v>
      </c>
      <c r="M66" s="24">
        <f ca="1">IF(L66&gt;0.5,0.5,ROUND(L66,0))</f>
        <v>0.5</v>
      </c>
      <c r="N66" s="138" t="s">
        <v>2243</v>
      </c>
      <c r="Z66" s="2420"/>
      <c r="AI66" s="2421"/>
    </row>
    <row r="67" spans="1:35" ht="14.25" customHeight="1">
      <c r="A67" s="203" t="s">
        <v>773</v>
      </c>
      <c r="B67" s="204" t="s">
        <v>2244</v>
      </c>
      <c r="C67" s="207">
        <f ca="1">C63-C66</f>
        <v>1953</v>
      </c>
      <c r="D67" s="200" t="s">
        <v>32</v>
      </c>
      <c r="E67" s="201"/>
      <c r="F67" s="2486"/>
      <c r="G67" s="2486"/>
      <c r="H67" s="2494"/>
      <c r="I67" s="138"/>
      <c r="J67" s="3264"/>
      <c r="K67" s="2946" t="s">
        <v>2245</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8" t="s">
        <v>774</v>
      </c>
      <c r="B68" s="209" t="s">
        <v>2246</v>
      </c>
      <c r="C68" s="210">
        <f ca="1">IF(C67&lt;=0,0,ROUND(C67*D68,0))</f>
        <v>109</v>
      </c>
      <c r="D68" s="211">
        <f>'数据-取费表'!B41</f>
        <v>5.6000000000000001E-2</v>
      </c>
      <c r="E68" s="212"/>
      <c r="F68" s="2486"/>
      <c r="G68" s="2486"/>
      <c r="H68" s="2494"/>
      <c r="I68" s="138"/>
      <c r="J68" s="3264"/>
      <c r="K68" s="2946" t="s">
        <v>2247</v>
      </c>
      <c r="L68" s="1751">
        <f ca="1">IF(M49&gt;10000,M49*0.5%,IF(AND(M49&gt;5000,M49&lt;=10000),M49*1%,IF(AND(M49&gt;1000,M49&lt;=5000),M49*2%,IF(AND(M49&gt;200,M49&lt;=1000),M49*3%,M49*5%))))</f>
        <v>41.02</v>
      </c>
      <c r="M68" s="24">
        <f ca="1">ROUND(L68,1)</f>
        <v>41</v>
      </c>
      <c r="Z68" s="2420"/>
      <c r="AI68" s="2421"/>
    </row>
    <row r="69" spans="1:35" s="2443" customFormat="1" ht="16.5" customHeight="1">
      <c r="A69" s="2497"/>
      <c r="B69" s="2498"/>
      <c r="C69" s="2499"/>
      <c r="D69" s="2500"/>
      <c r="E69" s="2501"/>
      <c r="F69" s="2163"/>
      <c r="G69" s="2163"/>
      <c r="H69" s="2162"/>
      <c r="I69" s="2415"/>
      <c r="J69" s="3264"/>
      <c r="K69" s="2946" t="s">
        <v>2248</v>
      </c>
      <c r="L69" s="2502"/>
      <c r="M69" s="24">
        <f ca="1">ROUND(SUM(M63:M68),0)</f>
        <v>77</v>
      </c>
      <c r="N69" s="1752">
        <f ca="1">M69/M49</f>
        <v>3.7542662116040959E-2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23" t="s">
        <v>2249</v>
      </c>
      <c r="B70" s="3224"/>
      <c r="C70" s="3224"/>
      <c r="D70" s="3224"/>
      <c r="E70" s="3224"/>
      <c r="F70" s="3224"/>
      <c r="G70" s="3224"/>
      <c r="H70" s="322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2" t="s">
        <v>2230</v>
      </c>
      <c r="B71" s="3203"/>
      <c r="C71" s="2955"/>
      <c r="D71" s="2955"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1953</v>
      </c>
      <c r="D72" s="200" t="s">
        <v>32</v>
      </c>
      <c r="E72" s="2957"/>
      <c r="F72" s="2956"/>
      <c r="G72" s="295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12</v>
      </c>
      <c r="D73" s="200" t="s">
        <v>32</v>
      </c>
      <c r="E73" s="2957"/>
      <c r="F73" s="2956"/>
      <c r="G73" s="295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2957"/>
      <c r="F74" s="2956"/>
      <c r="G74" s="295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197" t="s">
        <v>2258</v>
      </c>
      <c r="F76" s="3174"/>
      <c r="G76" s="3174"/>
      <c r="H76" s="322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2947" t="s">
        <v>2260</v>
      </c>
      <c r="F77" s="224"/>
      <c r="G77" s="2510" t="s">
        <v>2261</v>
      </c>
      <c r="H77" s="295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12</v>
      </c>
      <c r="D78" s="226">
        <f>'数据-取费表'!B43</f>
        <v>6.000000000000001E-3</v>
      </c>
      <c r="E78" s="3183" t="s">
        <v>2263</v>
      </c>
      <c r="F78" s="3184"/>
      <c r="G78" s="3184"/>
      <c r="H78" s="319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1941</v>
      </c>
      <c r="D79" s="200" t="s">
        <v>32</v>
      </c>
      <c r="E79" s="2957"/>
      <c r="F79" s="2956"/>
      <c r="G79" s="295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161.75</v>
      </c>
      <c r="D80" s="200" t="s">
        <v>32</v>
      </c>
      <c r="E80" s="2947"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1160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23" t="s">
        <v>2267</v>
      </c>
      <c r="B83" s="3224"/>
      <c r="C83" s="3224"/>
      <c r="D83" s="3224"/>
      <c r="E83" s="3224"/>
      <c r="F83" s="3224"/>
      <c r="G83" s="3224"/>
      <c r="H83" s="322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2" t="s">
        <v>2230</v>
      </c>
      <c r="B84" s="3203"/>
      <c r="C84" s="2955"/>
      <c r="D84" s="2955"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1953</v>
      </c>
      <c r="D85" s="200" t="s">
        <v>32</v>
      </c>
      <c r="E85" s="2957"/>
      <c r="F85" s="2956"/>
      <c r="G85" s="295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12</v>
      </c>
      <c r="D86" s="235"/>
      <c r="E86" s="2957"/>
      <c r="F86" s="2956"/>
      <c r="G86" s="295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2952"/>
      <c r="F87" s="2953"/>
      <c r="G87" s="2953"/>
      <c r="H87" s="295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2953"/>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2953"/>
      <c r="G89" s="2953"/>
      <c r="H89" s="295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2953"/>
      <c r="G90" s="2953"/>
      <c r="H90" s="295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83" t="s">
        <v>2276</v>
      </c>
      <c r="F91" s="3184"/>
      <c r="G91" s="3184"/>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83" t="s">
        <v>2280</v>
      </c>
      <c r="F92" s="3184"/>
      <c r="G92" s="3184"/>
      <c r="H92" s="319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12</v>
      </c>
      <c r="D93" s="226">
        <f>'数据-取费表'!B43</f>
        <v>6.000000000000001E-3</v>
      </c>
      <c r="E93" s="3183" t="s">
        <v>2263</v>
      </c>
      <c r="F93" s="3184"/>
      <c r="G93" s="3184"/>
      <c r="H93" s="319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194" t="s">
        <v>2284</v>
      </c>
      <c r="F94" s="3195"/>
      <c r="G94" s="3195"/>
      <c r="H94" s="319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1941</v>
      </c>
      <c r="D95" s="200" t="s">
        <v>32</v>
      </c>
      <c r="E95" s="2957"/>
      <c r="F95" s="2956"/>
      <c r="G95" s="295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161.75</v>
      </c>
      <c r="D96" s="200" t="s">
        <v>32</v>
      </c>
      <c r="E96" s="2947"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1160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168" t="s">
        <v>2286</v>
      </c>
      <c r="B100" s="3169"/>
      <c r="C100" s="3169"/>
      <c r="D100" s="3185"/>
      <c r="E100" s="3169" t="s">
        <v>2287</v>
      </c>
      <c r="F100" s="3169"/>
      <c r="G100" s="3169"/>
      <c r="H100" s="3185"/>
      <c r="I100" s="138"/>
    </row>
    <row r="101" spans="1:35" ht="18.75" customHeight="1">
      <c r="A101" s="3247" t="s">
        <v>2288</v>
      </c>
      <c r="B101" s="3248"/>
      <c r="C101" s="736" t="str">
        <f>C4</f>
        <v>比较法-车位</v>
      </c>
      <c r="D101" s="737" t="str">
        <f>D4</f>
        <v>收益法 (车位)</v>
      </c>
      <c r="E101" s="3261" t="s">
        <v>2289</v>
      </c>
      <c r="F101" s="3215"/>
      <c r="G101" s="2517" t="s">
        <v>2290</v>
      </c>
      <c r="H101" s="1048">
        <f ca="1">H118</f>
        <v>2051</v>
      </c>
      <c r="I101" s="138"/>
    </row>
    <row r="102" spans="1:35" ht="18.75" customHeight="1">
      <c r="A102" s="3217" t="s">
        <v>2291</v>
      </c>
      <c r="B102" s="2517" t="s">
        <v>2290</v>
      </c>
      <c r="C102" s="736">
        <f ca="1">C19</f>
        <v>2228</v>
      </c>
      <c r="D102" s="737">
        <f ca="1">D19</f>
        <v>1639</v>
      </c>
      <c r="E102" s="3261"/>
      <c r="F102" s="3215"/>
      <c r="G102" s="2517" t="s">
        <v>2292</v>
      </c>
      <c r="H102" s="371">
        <f ca="1">I118</f>
        <v>7541</v>
      </c>
      <c r="I102" s="138"/>
    </row>
    <row r="103" spans="1:35" ht="42.75" customHeight="1">
      <c r="A103" s="3217"/>
      <c r="B103" s="2517" t="s">
        <v>2292</v>
      </c>
      <c r="C103" s="738">
        <f ca="1">C20</f>
        <v>8192</v>
      </c>
      <c r="D103" s="739">
        <f ca="1">D20</f>
        <v>6027</v>
      </c>
      <c r="E103" s="3256" t="s">
        <v>2293</v>
      </c>
      <c r="F103" s="3257"/>
      <c r="G103" s="2518" t="s">
        <v>2294</v>
      </c>
      <c r="H103" s="1048">
        <f>IF(D36="正常操作",H104+H105+H106,H105+H106)</f>
        <v>0</v>
      </c>
      <c r="I103" s="138"/>
    </row>
    <row r="104" spans="1:35" ht="18.75" customHeight="1">
      <c r="A104" s="3217" t="s">
        <v>2295</v>
      </c>
      <c r="B104" s="2519" t="s">
        <v>2290</v>
      </c>
      <c r="C104" s="740">
        <f ca="1">H118</f>
        <v>2051</v>
      </c>
      <c r="D104" s="741"/>
      <c r="E104" s="2264" t="s">
        <v>2296</v>
      </c>
      <c r="F104" s="2255"/>
      <c r="G104" s="2518" t="s">
        <v>2294</v>
      </c>
      <c r="H104" s="1049">
        <f>IF(D36="同一抵押权人同一抵押物续贷",C36&amp;"（未扣减，详见特别提示）",C36)</f>
        <v>0</v>
      </c>
      <c r="I104" s="138"/>
    </row>
    <row r="105" spans="1:35" ht="18.75" customHeight="1" thickBot="1">
      <c r="A105" s="3218"/>
      <c r="B105" s="2520" t="s">
        <v>2292</v>
      </c>
      <c r="C105" s="742">
        <f ca="1">I118</f>
        <v>7541</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214" t="str">
        <f>IF(项目基本情况!E8="已注销","——","3.房地产抵押价值")</f>
        <v>3.房地产抵押价值</v>
      </c>
      <c r="F107" s="3215"/>
      <c r="G107" s="2517" t="s">
        <v>2290</v>
      </c>
      <c r="H107" s="1048">
        <f ca="1">IF(E107="——","——",H101-H103)</f>
        <v>2051</v>
      </c>
      <c r="I107" s="138"/>
    </row>
    <row r="108" spans="1:35" ht="18.75" customHeight="1">
      <c r="A108" s="138"/>
      <c r="B108" s="138"/>
      <c r="C108" s="138"/>
      <c r="D108" s="138"/>
      <c r="E108" s="3214"/>
      <c r="F108" s="3215"/>
      <c r="G108" s="2517" t="s">
        <v>2292</v>
      </c>
      <c r="H108" s="371">
        <f ca="1">ROUND(H107*10000/'数据-汇总表'!E3,0)</f>
        <v>666</v>
      </c>
      <c r="I108" s="138"/>
    </row>
    <row r="109" spans="1:35" ht="18.75" customHeight="1">
      <c r="A109" s="138"/>
      <c r="B109" s="138"/>
      <c r="C109" s="138"/>
      <c r="D109" s="138"/>
      <c r="E109" s="3214" t="str">
        <f>IF(项目基本情况!E8="已注销及未注销","4.抵押担保权已注销时的房地产抵押价值",IF(项目基本情况!E8="已注销","3.抵押担保权已注销时的房地产抵押价值","——"))</f>
        <v>——</v>
      </c>
      <c r="F109" s="3215"/>
      <c r="G109" s="2517" t="s">
        <v>2290</v>
      </c>
      <c r="H109" s="348" t="str">
        <f>IF(E109="——","——",H101-H105-H106)</f>
        <v>——</v>
      </c>
      <c r="I109" s="138"/>
    </row>
    <row r="110" spans="1:35" ht="18.75" customHeight="1">
      <c r="A110" s="138"/>
      <c r="B110" s="138"/>
      <c r="C110" s="138"/>
      <c r="D110" s="138"/>
      <c r="E110" s="3214"/>
      <c r="F110" s="3215"/>
      <c r="G110" s="2517" t="s">
        <v>2292</v>
      </c>
      <c r="H110" s="371" t="str">
        <f>IF(H109="——","——",ROUND(H109*10000/'数据-汇总表'!E3,0))</f>
        <v>——</v>
      </c>
      <c r="I110" s="138"/>
    </row>
    <row r="111" spans="1:35" ht="18.75" customHeight="1">
      <c r="A111" s="138"/>
      <c r="B111" s="138"/>
      <c r="C111" s="138"/>
      <c r="D111" s="138"/>
      <c r="E111" s="3249" t="str">
        <f>IF(项目基本情况!E9="抵押净值",IF(OR(项目基本情况!E8="已注销",项目基本情况!E8="房地产抵押价值"),"4.抵押净值","5.抵押净值"),"——")</f>
        <v>——</v>
      </c>
      <c r="F111" s="3250"/>
      <c r="G111" s="2517" t="s">
        <v>2290</v>
      </c>
      <c r="H111" s="1048" t="str">
        <f>IF(E111="——","——",N59)</f>
        <v>——</v>
      </c>
      <c r="I111" s="138"/>
    </row>
    <row r="112" spans="1:35" ht="18.75" customHeight="1" thickBot="1">
      <c r="A112" s="138"/>
      <c r="B112" s="138"/>
      <c r="C112" s="138"/>
      <c r="D112" s="138"/>
      <c r="E112" s="3251"/>
      <c r="F112" s="3252"/>
      <c r="G112" s="2522" t="s">
        <v>2292</v>
      </c>
      <c r="H112" s="790" t="str">
        <f>IF(E111="——","——",N61)</f>
        <v>——</v>
      </c>
      <c r="I112" s="138"/>
    </row>
    <row r="113" spans="1:11" ht="18.75" customHeight="1">
      <c r="A113" s="138"/>
      <c r="B113" s="138"/>
      <c r="C113" s="138"/>
      <c r="D113" s="138"/>
      <c r="E113" s="3219" t="s">
        <v>2298</v>
      </c>
      <c r="F113" s="3219"/>
      <c r="G113" s="3219"/>
      <c r="H113" s="3219"/>
      <c r="I113" s="138"/>
    </row>
    <row r="114" spans="1:11" ht="3.75" customHeight="1">
      <c r="A114" s="2415"/>
      <c r="B114" s="2415"/>
      <c r="C114" s="2415"/>
      <c r="D114" s="2415"/>
      <c r="E114" s="2493"/>
      <c r="F114" s="2493"/>
      <c r="G114" s="2493"/>
      <c r="H114" s="2493"/>
      <c r="I114" s="2415"/>
    </row>
    <row r="115" spans="1:11" ht="18.75" customHeight="1">
      <c r="A115" s="3232" t="s">
        <v>2300</v>
      </c>
      <c r="B115" s="3233"/>
      <c r="C115" s="3233"/>
      <c r="D115" s="3233"/>
      <c r="E115" s="3233"/>
      <c r="F115" s="3233"/>
      <c r="G115" s="3233"/>
      <c r="H115" s="3233"/>
      <c r="I115" s="3234"/>
    </row>
    <row r="116" spans="1:11" ht="27" customHeight="1">
      <c r="A116" s="3101" t="s">
        <v>2301</v>
      </c>
      <c r="B116" s="3220" t="s">
        <v>2302</v>
      </c>
      <c r="C116" s="3220" t="s">
        <v>2303</v>
      </c>
      <c r="D116" s="3236" t="s">
        <v>2304</v>
      </c>
      <c r="E116" s="3237"/>
      <c r="F116" s="3228" t="s">
        <v>2305</v>
      </c>
      <c r="G116" s="3228"/>
      <c r="H116" s="3101" t="s">
        <v>2306</v>
      </c>
      <c r="I116" s="3101"/>
    </row>
    <row r="117" spans="1:11" ht="18.75" customHeight="1">
      <c r="A117" s="3101"/>
      <c r="B117" s="3221"/>
      <c r="C117" s="3221"/>
      <c r="D117" s="2942" t="s">
        <v>2307</v>
      </c>
      <c r="E117" s="2942" t="s">
        <v>2308</v>
      </c>
      <c r="F117" s="2942" t="s">
        <v>2307</v>
      </c>
      <c r="G117" s="2942" t="s">
        <v>2309</v>
      </c>
      <c r="H117" s="2942" t="s">
        <v>2307</v>
      </c>
      <c r="I117" s="2942" t="s">
        <v>2309</v>
      </c>
    </row>
    <row r="118" spans="1:11" ht="24.75" customHeight="1">
      <c r="A118" s="2523" t="str">
        <f>项目基本情况!S2</f>
        <v>浙江省宁波市春晓镇183地块3、6、7号楼产权式公寓用房及地下车库用房房地产</v>
      </c>
      <c r="B118" s="2942">
        <f>M18</f>
        <v>2719.64</v>
      </c>
      <c r="C118" s="2942">
        <f>M19</f>
        <v>5366.47</v>
      </c>
      <c r="D118" s="2942">
        <f ca="1">ROUND(IF(D32="总价",C34,E118*B118/10000),0)</f>
        <v>1052</v>
      </c>
      <c r="E118" s="2942">
        <f ca="1">ROUND(IF(C33="自定义",IF(D32="楼面单价",C34,D118*10000/B118),I118-G118),0)</f>
        <v>3868</v>
      </c>
      <c r="F118" s="2942">
        <f ca="1">ROUND(IF(D32="总价",C35,G118*B118/10000),0)</f>
        <v>999</v>
      </c>
      <c r="G118" s="2942">
        <f ca="1">ROUND(IF(D32="楼面单价",C35,F118*10000/B118),0)</f>
        <v>3673</v>
      </c>
      <c r="H118" s="2942">
        <f ca="1">ROUND(IF(D32="总价",C32,I118*B118/10000),0)</f>
        <v>2051</v>
      </c>
      <c r="I118" s="2942">
        <f ca="1">ROUND(IF(D32="楼面单价",C32,H118*10000/B118),0)</f>
        <v>7541</v>
      </c>
    </row>
    <row r="119" spans="1:11" ht="18.75" customHeight="1">
      <c r="A119" s="3101" t="s">
        <v>2310</v>
      </c>
      <c r="B119" s="3101"/>
      <c r="C119" s="3101"/>
      <c r="D119" s="3225" t="str">
        <f ca="1">NUMBERSTRING(INT(D118*10000),2)&amp;"元整"</f>
        <v>壹仟零伍拾贰万元整</v>
      </c>
      <c r="E119" s="3227"/>
      <c r="F119" s="3225" t="str">
        <f ca="1">NUMBERSTRING(INT(F118*10000),2)&amp;"元整"</f>
        <v>玖佰玖拾玖万元整</v>
      </c>
      <c r="G119" s="3227"/>
      <c r="H119" s="3225" t="str">
        <f ca="1">NUMBERSTRING(INT(H118*10000),2)&amp;"元整"</f>
        <v>贰仟零伍拾壹万元整</v>
      </c>
      <c r="I119" s="3227"/>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20" t="str">
        <f>IF(D120=0,"故，本次评估不存在"&amp;A120,"故，本次评估"&amp;A120&amp;"为人民币"&amp;D120&amp;"万元整。")</f>
        <v>故，本次评估不存在估价师知悉的法定优先受偿款</v>
      </c>
    </row>
    <row r="121" spans="1:11" ht="18.75" customHeight="1">
      <c r="A121" s="3229" t="s">
        <v>2310</v>
      </c>
      <c r="B121" s="3230"/>
      <c r="C121" s="3231"/>
      <c r="D121" s="3225" t="str">
        <f>IF(D120=0,"零元整",NUMBERSTRING(INT(D120*10000),2)&amp;"元整")</f>
        <v>零元整</v>
      </c>
      <c r="E121" s="3226"/>
      <c r="F121" s="3226"/>
      <c r="G121" s="3226"/>
      <c r="H121" s="3226"/>
      <c r="I121" s="3227"/>
    </row>
    <row r="122" spans="1:11" ht="18.75" customHeight="1">
      <c r="A122" s="3216" t="str">
        <f>IF(项目基本情况!B9="房地产市场价值","",MID(E107,3,LEN(E107)-2))</f>
        <v>房地产抵押价值</v>
      </c>
      <c r="B122" s="3216"/>
      <c r="C122" s="3216"/>
      <c r="D122" s="3253">
        <f ca="1">H107</f>
        <v>2051</v>
      </c>
      <c r="E122" s="3254"/>
      <c r="F122" s="3254"/>
      <c r="G122" s="3254"/>
      <c r="H122" s="3254"/>
      <c r="I122" s="3255"/>
    </row>
    <row r="123" spans="1:11" ht="18.75" customHeight="1">
      <c r="A123" s="3101" t="s">
        <v>2310</v>
      </c>
      <c r="B123" s="3101"/>
      <c r="C123" s="3101"/>
      <c r="D123" s="3225" t="str">
        <f ca="1">NUMBERSTRING(INT(D122*10000),2)&amp;"元整"</f>
        <v>贰仟零伍拾壹万元整</v>
      </c>
      <c r="E123" s="3226"/>
      <c r="F123" s="3226"/>
      <c r="G123" s="3226"/>
      <c r="H123" s="3226"/>
      <c r="I123" s="3227"/>
    </row>
    <row r="124" spans="1:11" ht="18.75" customHeight="1">
      <c r="A124" s="3216" t="str">
        <f>IF(项目基本情况!B9="房地产市场价值","",MID(E109,3,LEN(E109)-2))</f>
        <v/>
      </c>
      <c r="B124" s="3216"/>
      <c r="C124" s="3216"/>
      <c r="D124" s="3253" t="str">
        <f>H109</f>
        <v>——</v>
      </c>
      <c r="E124" s="3254"/>
      <c r="F124" s="3254"/>
      <c r="G124" s="3254"/>
      <c r="H124" s="3254"/>
      <c r="I124" s="3255"/>
    </row>
    <row r="125" spans="1:11" ht="18.75" customHeight="1">
      <c r="A125" s="3101" t="s">
        <v>2310</v>
      </c>
      <c r="B125" s="3101"/>
      <c r="C125" s="3101"/>
      <c r="D125" s="3225" t="e">
        <f>NUMBERSTRING(INT(D124*10000),2)&amp;"元整"</f>
        <v>#VALUE!</v>
      </c>
      <c r="E125" s="3226"/>
      <c r="F125" s="3226"/>
      <c r="G125" s="3226"/>
      <c r="H125" s="3226"/>
      <c r="I125" s="3227"/>
    </row>
    <row r="126" spans="1:11" ht="18.75" customHeight="1">
      <c r="A126" s="3216" t="str">
        <f>IF(项目基本情况!B9="房地产市场价值","",MID(E111,3,LEN(E111)-2))</f>
        <v/>
      </c>
      <c r="B126" s="3216"/>
      <c r="C126" s="3216"/>
      <c r="D126" s="3253" t="str">
        <f>H111</f>
        <v>——</v>
      </c>
      <c r="E126" s="3254"/>
      <c r="F126" s="3254"/>
      <c r="G126" s="3254"/>
      <c r="H126" s="3254"/>
      <c r="I126" s="3255"/>
    </row>
    <row r="127" spans="1:11" ht="18.75" customHeight="1">
      <c r="A127" s="3101" t="s">
        <v>2310</v>
      </c>
      <c r="B127" s="3101"/>
      <c r="C127" s="3101"/>
      <c r="D127" s="3225" t="e">
        <f>NUMBERSTRING(INT(D126*10000),2)&amp;"元整"</f>
        <v>#VALUE!</v>
      </c>
      <c r="E127" s="3226"/>
      <c r="F127" s="3226"/>
      <c r="G127" s="3226"/>
      <c r="H127" s="3226"/>
      <c r="I127" s="3227"/>
    </row>
    <row r="128" spans="1:11" ht="21.75" customHeight="1">
      <c r="A128" s="3235" t="s">
        <v>2311</v>
      </c>
      <c r="B128" s="3235"/>
      <c r="C128" s="3235"/>
      <c r="D128" s="3235"/>
      <c r="E128" s="3235"/>
      <c r="F128" s="3235"/>
      <c r="G128" s="3235"/>
      <c r="H128" s="3235"/>
      <c r="I128" s="3235"/>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C10:D13">
    <cfRule type="cellIs" dxfId="47" priority="5" stopIfTrue="1" operator="equal">
      <formula>15</formula>
    </cfRule>
  </conditionalFormatting>
  <conditionalFormatting sqref="D14:D16">
    <cfRule type="cellIs" dxfId="46" priority="4" stopIfTrue="1" operator="equal">
      <formula>30</formula>
    </cfRule>
  </conditionalFormatting>
  <conditionalFormatting sqref="C90">
    <cfRule type="expression" dxfId="45" priority="3" stopIfTrue="1">
      <formula>$H$88&lt;&gt;"仅含出让金"</formula>
    </cfRule>
  </conditionalFormatting>
  <conditionalFormatting sqref="C91">
    <cfRule type="expression" dxfId="44" priority="2" stopIfTrue="1">
      <formula>$H$91="由企业提供"</formula>
    </cfRule>
  </conditionalFormatting>
  <conditionalFormatting sqref="E36">
    <cfRule type="expression" dxfId="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2783</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0" t="s">
        <v>2639</v>
      </c>
      <c r="D4" s="3311"/>
      <c r="E4" s="3312" t="s">
        <v>2640</v>
      </c>
      <c r="F4" s="3313"/>
      <c r="G4" s="3310" t="s">
        <v>2641</v>
      </c>
      <c r="H4" s="3311"/>
      <c r="I4" s="3310" t="s">
        <v>2642</v>
      </c>
      <c r="J4" s="3311"/>
      <c r="K4" s="610" t="s">
        <v>2643</v>
      </c>
      <c r="L4" s="1133"/>
      <c r="M4" s="1134"/>
      <c r="N4" s="1134"/>
      <c r="O4" s="1134"/>
      <c r="P4" s="3314" t="s">
        <v>2644</v>
      </c>
      <c r="Q4" s="3315"/>
      <c r="R4" s="3320" t="s">
        <v>2640</v>
      </c>
      <c r="S4" s="3321"/>
      <c r="T4" s="3320" t="s">
        <v>2641</v>
      </c>
      <c r="U4" s="3321"/>
      <c r="V4" s="3326" t="s">
        <v>2642</v>
      </c>
      <c r="W4" s="3326"/>
      <c r="X4" s="1815"/>
      <c r="Y4" s="3320" t="s">
        <v>2644</v>
      </c>
      <c r="Z4" s="3321"/>
      <c r="AA4" s="3307" t="s">
        <v>2640</v>
      </c>
      <c r="AB4" s="3308" t="s">
        <v>2641</v>
      </c>
      <c r="AC4" s="3307" t="s">
        <v>2642</v>
      </c>
    </row>
    <row r="5" spans="1:29" ht="15">
      <c r="A5" s="404"/>
      <c r="B5" s="405"/>
      <c r="C5" s="3329" t="s">
        <v>2535</v>
      </c>
      <c r="D5" s="3330"/>
      <c r="E5" s="3336" t="s">
        <v>2536</v>
      </c>
      <c r="F5" s="3337"/>
      <c r="G5" s="3329" t="s">
        <v>2537</v>
      </c>
      <c r="H5" s="3330"/>
      <c r="I5" s="3329" t="s">
        <v>2538</v>
      </c>
      <c r="J5" s="3330"/>
      <c r="K5" s="610"/>
      <c r="L5" s="1133"/>
      <c r="M5" s="1134"/>
      <c r="N5" s="1134"/>
      <c r="O5" s="1134"/>
      <c r="P5" s="3316"/>
      <c r="Q5" s="3317"/>
      <c r="R5" s="3322"/>
      <c r="S5" s="3323"/>
      <c r="T5" s="3322"/>
      <c r="U5" s="3323"/>
      <c r="V5" s="3326"/>
      <c r="W5" s="3326"/>
      <c r="X5" s="1815"/>
      <c r="Y5" s="3322"/>
      <c r="Z5" s="3323"/>
      <c r="AA5" s="3308"/>
      <c r="AB5" s="3308"/>
      <c r="AC5" s="3308"/>
    </row>
    <row r="6" spans="1:29" ht="15.75" thickBot="1">
      <c r="A6" s="406"/>
      <c r="B6" s="407"/>
      <c r="C6" s="3358" t="s">
        <v>2784</v>
      </c>
      <c r="D6" s="3359"/>
      <c r="E6" s="3362" t="s">
        <v>2784</v>
      </c>
      <c r="F6" s="3363"/>
      <c r="G6" s="3358" t="s">
        <v>2784</v>
      </c>
      <c r="H6" s="3359"/>
      <c r="I6" s="3358" t="s">
        <v>2784</v>
      </c>
      <c r="J6" s="3359"/>
      <c r="K6" s="610" t="s">
        <v>2540</v>
      </c>
      <c r="L6" s="1133"/>
      <c r="M6" s="1134"/>
      <c r="N6" s="1134"/>
      <c r="O6" s="1134"/>
      <c r="P6" s="3318"/>
      <c r="Q6" s="3319"/>
      <c r="R6" s="3322"/>
      <c r="S6" s="3323"/>
      <c r="T6" s="3324"/>
      <c r="U6" s="3325"/>
      <c r="V6" s="3326"/>
      <c r="W6" s="3326"/>
      <c r="X6" s="1815"/>
      <c r="Y6" s="3324"/>
      <c r="Z6" s="3325"/>
      <c r="AA6" s="3309"/>
      <c r="AB6" s="3309"/>
      <c r="AC6" s="3309"/>
    </row>
    <row r="7" spans="1:29" s="117" customFormat="1" ht="15.75" thickBot="1">
      <c r="A7" s="408" t="s">
        <v>2541</v>
      </c>
      <c r="B7" s="409"/>
      <c r="C7" s="410">
        <f>'数据-取费表'!B2</f>
        <v>43339</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331" t="s">
        <v>2542</v>
      </c>
      <c r="Q7" s="3333"/>
      <c r="R7" s="770" t="s">
        <v>17</v>
      </c>
      <c r="S7" s="771">
        <f t="shared" ref="S7:S15" si="0">F7</f>
        <v>0</v>
      </c>
      <c r="T7" s="770" t="s">
        <v>17</v>
      </c>
      <c r="U7" s="771">
        <f t="shared" ref="U7:U15" si="1">H7</f>
        <v>0</v>
      </c>
      <c r="V7" s="770" t="s">
        <v>17</v>
      </c>
      <c r="W7" s="771">
        <f t="shared" ref="W7:W15" si="2">J7</f>
        <v>0</v>
      </c>
      <c r="X7" s="772"/>
      <c r="Y7" s="3331" t="s">
        <v>2542</v>
      </c>
      <c r="Z7" s="3332"/>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31" t="s">
        <v>2545</v>
      </c>
      <c r="Q8" s="3332"/>
      <c r="R8" s="770" t="s">
        <v>17</v>
      </c>
      <c r="S8" s="771">
        <f t="shared" si="0"/>
        <v>0</v>
      </c>
      <c r="T8" s="770" t="s">
        <v>17</v>
      </c>
      <c r="U8" s="771">
        <f t="shared" si="1"/>
        <v>0</v>
      </c>
      <c r="V8" s="770" t="s">
        <v>17</v>
      </c>
      <c r="W8" s="771">
        <f t="shared" si="2"/>
        <v>0</v>
      </c>
      <c r="X8" s="772"/>
      <c r="Y8" s="3331" t="s">
        <v>2545</v>
      </c>
      <c r="Z8" s="3332"/>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95" t="s">
        <v>2548</v>
      </c>
      <c r="Q9" s="1797" t="str">
        <f t="shared" ref="Q9:Q15" si="6">B9</f>
        <v>用途</v>
      </c>
      <c r="R9" s="770" t="s">
        <v>17</v>
      </c>
      <c r="S9" s="771">
        <f t="shared" si="0"/>
        <v>100</v>
      </c>
      <c r="T9" s="770" t="s">
        <v>17</v>
      </c>
      <c r="U9" s="771">
        <f t="shared" si="1"/>
        <v>100</v>
      </c>
      <c r="V9" s="770" t="s">
        <v>17</v>
      </c>
      <c r="W9" s="771">
        <f t="shared" si="2"/>
        <v>100</v>
      </c>
      <c r="X9" s="772"/>
      <c r="Y9" s="310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95"/>
      <c r="Q10" s="1797" t="str">
        <f t="shared" si="6"/>
        <v>土地使用年限（年）</v>
      </c>
      <c r="R10" s="770" t="s">
        <v>17</v>
      </c>
      <c r="S10" s="771">
        <f t="shared" si="0"/>
        <v>105</v>
      </c>
      <c r="T10" s="770" t="s">
        <v>17</v>
      </c>
      <c r="U10" s="771">
        <f t="shared" si="1"/>
        <v>105</v>
      </c>
      <c r="V10" s="770" t="s">
        <v>17</v>
      </c>
      <c r="W10" s="771">
        <f t="shared" si="2"/>
        <v>105</v>
      </c>
      <c r="X10" s="772"/>
      <c r="Y10" s="3101"/>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95"/>
      <c r="Q11" s="1797" t="str">
        <f t="shared" si="6"/>
        <v>容积率</v>
      </c>
      <c r="R11" s="770" t="s">
        <v>17</v>
      </c>
      <c r="S11" s="771" t="e">
        <f t="shared" si="0"/>
        <v>#N/A</v>
      </c>
      <c r="T11" s="770" t="s">
        <v>17</v>
      </c>
      <c r="U11" s="771" t="e">
        <f t="shared" si="1"/>
        <v>#N/A</v>
      </c>
      <c r="V11" s="770" t="s">
        <v>17</v>
      </c>
      <c r="W11" s="771" t="e">
        <f t="shared" si="2"/>
        <v>#N/A</v>
      </c>
      <c r="X11" s="772"/>
      <c r="Y11" s="310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95"/>
      <c r="Q12" s="1797">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95"/>
      <c r="Q13" s="1797">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5"/>
      <c r="Q14" s="1797">
        <f t="shared" si="6"/>
        <v>111</v>
      </c>
      <c r="R14" s="770" t="s">
        <v>17</v>
      </c>
      <c r="S14" s="771">
        <f t="shared" si="0"/>
        <v>100</v>
      </c>
      <c r="T14" s="770" t="s">
        <v>17</v>
      </c>
      <c r="U14" s="771">
        <f t="shared" si="1"/>
        <v>100</v>
      </c>
      <c r="V14" s="770" t="s">
        <v>17</v>
      </c>
      <c r="W14" s="771">
        <f t="shared" si="2"/>
        <v>100</v>
      </c>
      <c r="X14" s="772"/>
      <c r="Y14" s="3101"/>
      <c r="Z14" s="55">
        <f t="shared" si="7"/>
        <v>111</v>
      </c>
      <c r="AA14" s="773">
        <f t="shared" si="3"/>
        <v>1</v>
      </c>
      <c r="AB14" s="773">
        <f t="shared" si="4"/>
        <v>1</v>
      </c>
      <c r="AC14" s="773">
        <f t="shared" si="5"/>
        <v>1</v>
      </c>
    </row>
    <row r="15" spans="1:29" ht="15">
      <c r="A15" s="440" t="s">
        <v>2552</v>
      </c>
      <c r="B15" s="629" t="s">
        <v>2785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97" t="s">
        <v>2553</v>
      </c>
      <c r="Q15" s="1812" t="str">
        <f t="shared" si="6"/>
        <v>产业集聚程度</v>
      </c>
      <c r="R15" s="774" t="s">
        <v>17</v>
      </c>
      <c r="S15" s="775">
        <f t="shared" si="0"/>
        <v>100</v>
      </c>
      <c r="T15" s="774" t="s">
        <v>17</v>
      </c>
      <c r="U15" s="775">
        <f t="shared" si="1"/>
        <v>100</v>
      </c>
      <c r="V15" s="774" t="s">
        <v>17</v>
      </c>
      <c r="W15" s="775">
        <f t="shared" si="2"/>
        <v>100</v>
      </c>
      <c r="X15" s="1815"/>
      <c r="Y15" s="3297" t="s">
        <v>2553</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298"/>
      <c r="Q16" s="1812"/>
      <c r="R16" s="774"/>
      <c r="S16" s="775"/>
      <c r="T16" s="774"/>
      <c r="U16" s="775"/>
      <c r="V16" s="774"/>
      <c r="W16" s="775"/>
      <c r="X16" s="1815"/>
      <c r="Y16" s="3298"/>
      <c r="Z16" s="1816"/>
      <c r="AA16" s="1813">
        <v>1</v>
      </c>
      <c r="AB16" s="1813">
        <v>1</v>
      </c>
      <c r="AC16" s="1813">
        <v>1</v>
      </c>
    </row>
    <row r="17" spans="1:29" ht="15">
      <c r="A17" s="428"/>
      <c r="B17" s="631" t="s">
        <v>2702</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98"/>
      <c r="Q17" s="1812" t="str">
        <f>B17</f>
        <v>交通便捷度</v>
      </c>
      <c r="R17" s="774" t="s">
        <v>17</v>
      </c>
      <c r="S17" s="775">
        <f>F17</f>
        <v>100</v>
      </c>
      <c r="T17" s="774" t="s">
        <v>17</v>
      </c>
      <c r="U17" s="775">
        <f>H17</f>
        <v>100</v>
      </c>
      <c r="V17" s="774" t="s">
        <v>17</v>
      </c>
      <c r="W17" s="775">
        <f>J17</f>
        <v>100</v>
      </c>
      <c r="X17" s="1815"/>
      <c r="Y17" s="3298"/>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298"/>
      <c r="Q18" s="1812"/>
      <c r="R18" s="774"/>
      <c r="S18" s="775"/>
      <c r="T18" s="774"/>
      <c r="U18" s="775"/>
      <c r="V18" s="774"/>
      <c r="W18" s="775"/>
      <c r="X18" s="1815"/>
      <c r="Y18" s="3298"/>
      <c r="Z18" s="1816"/>
      <c r="AA18" s="1813">
        <v>1</v>
      </c>
      <c r="AB18" s="1813">
        <v>1</v>
      </c>
      <c r="AC18" s="1813">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98"/>
      <c r="Q19" s="1812" t="str">
        <f t="shared" ref="Q19:Q33" si="8">B19</f>
        <v>区域土地利用方向</v>
      </c>
      <c r="R19" s="774" t="s">
        <v>17</v>
      </c>
      <c r="S19" s="775">
        <f>F19</f>
        <v>100</v>
      </c>
      <c r="T19" s="774" t="s">
        <v>17</v>
      </c>
      <c r="U19" s="775">
        <f>H19</f>
        <v>100</v>
      </c>
      <c r="V19" s="774" t="s">
        <v>17</v>
      </c>
      <c r="W19" s="775">
        <f>J19</f>
        <v>100</v>
      </c>
      <c r="X19" s="1815"/>
      <c r="Y19" s="3298"/>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298"/>
      <c r="Q20" s="1812"/>
      <c r="R20" s="774"/>
      <c r="S20" s="775"/>
      <c r="T20" s="774"/>
      <c r="U20" s="775"/>
      <c r="V20" s="774"/>
      <c r="W20" s="775"/>
      <c r="X20" s="1815"/>
      <c r="Y20" s="3298"/>
      <c r="Z20" s="1816"/>
      <c r="AA20" s="1813"/>
      <c r="AB20" s="1813"/>
      <c r="AC20" s="1813"/>
    </row>
    <row r="21" spans="1:29" ht="15">
      <c r="A21" s="404"/>
      <c r="B21" s="631" t="s">
        <v>2786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98"/>
      <c r="Q21" s="1812" t="str">
        <f t="shared" si="8"/>
        <v>环境状况</v>
      </c>
      <c r="R21" s="774" t="s">
        <v>17</v>
      </c>
      <c r="S21" s="775">
        <f>F21</f>
        <v>100</v>
      </c>
      <c r="T21" s="774" t="s">
        <v>17</v>
      </c>
      <c r="U21" s="775">
        <f>H21</f>
        <v>100</v>
      </c>
      <c r="V21" s="774" t="s">
        <v>17</v>
      </c>
      <c r="W21" s="775">
        <f>J21</f>
        <v>100</v>
      </c>
      <c r="X21" s="1815"/>
      <c r="Y21" s="3298"/>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298"/>
      <c r="Q22" s="1812"/>
      <c r="R22" s="774"/>
      <c r="S22" s="775"/>
      <c r="T22" s="774"/>
      <c r="U22" s="775"/>
      <c r="V22" s="774"/>
      <c r="W22" s="775"/>
      <c r="X22" s="1815"/>
      <c r="Y22" s="3298"/>
      <c r="Z22" s="1816"/>
      <c r="AA22" s="1813">
        <v>1</v>
      </c>
      <c r="AB22" s="1813">
        <v>1</v>
      </c>
      <c r="AC22" s="1813">
        <v>1</v>
      </c>
    </row>
    <row r="23" spans="1:29" s="117" customFormat="1" ht="15">
      <c r="A23" s="649"/>
      <c r="B23" s="633" t="s">
        <v>2647</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98"/>
      <c r="Q23" s="1797" t="str">
        <f t="shared" si="8"/>
        <v>公共配套设施</v>
      </c>
      <c r="R23" s="770" t="s">
        <v>17</v>
      </c>
      <c r="S23" s="771">
        <f>F23</f>
        <v>100</v>
      </c>
      <c r="T23" s="770" t="s">
        <v>17</v>
      </c>
      <c r="U23" s="771">
        <f>H23</f>
        <v>100</v>
      </c>
      <c r="V23" s="770" t="s">
        <v>17</v>
      </c>
      <c r="W23" s="771">
        <f>J23</f>
        <v>100</v>
      </c>
      <c r="X23" s="772"/>
      <c r="Y23" s="3298"/>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298"/>
      <c r="Q24" s="1797"/>
      <c r="R24" s="770"/>
      <c r="S24" s="771"/>
      <c r="T24" s="770"/>
      <c r="U24" s="771"/>
      <c r="V24" s="770"/>
      <c r="W24" s="771"/>
      <c r="X24" s="772"/>
      <c r="Y24" s="3298"/>
      <c r="Z24" s="55"/>
      <c r="AA24" s="773">
        <v>1</v>
      </c>
      <c r="AB24" s="773">
        <v>1</v>
      </c>
      <c r="AC24" s="773">
        <v>1</v>
      </c>
    </row>
    <row r="25" spans="1:29" s="117" customFormat="1" ht="15">
      <c r="A25" s="649"/>
      <c r="B25" s="633" t="s">
        <v>2648</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98"/>
      <c r="Q25" s="1797" t="str">
        <f t="shared" ref="Q25" si="9">B25</f>
        <v>基础设施水平</v>
      </c>
      <c r="R25" s="770" t="s">
        <v>17</v>
      </c>
      <c r="S25" s="771">
        <f>F25</f>
        <v>100</v>
      </c>
      <c r="T25" s="770" t="s">
        <v>17</v>
      </c>
      <c r="U25" s="771">
        <f>H25</f>
        <v>100</v>
      </c>
      <c r="V25" s="770" t="s">
        <v>17</v>
      </c>
      <c r="W25" s="771">
        <f>J25</f>
        <v>100</v>
      </c>
      <c r="X25" s="772"/>
      <c r="Y25" s="3298"/>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298"/>
      <c r="Q26" s="1797"/>
      <c r="R26" s="770"/>
      <c r="S26" s="771"/>
      <c r="T26" s="770"/>
      <c r="U26" s="771"/>
      <c r="V26" s="770"/>
      <c r="W26" s="771"/>
      <c r="X26" s="772"/>
      <c r="Y26" s="3298"/>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9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98"/>
      <c r="Z27" s="1816" t="str">
        <f t="shared" ref="Z27:Z40" si="13">Q27</f>
        <v>临街状况</v>
      </c>
      <c r="AA27" s="1813">
        <f t="shared" si="3"/>
        <v>1</v>
      </c>
      <c r="AB27" s="1813">
        <f t="shared" si="4"/>
        <v>1</v>
      </c>
      <c r="AC27" s="1813">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98"/>
      <c r="Q28" s="1812" t="str">
        <f t="shared" si="8"/>
        <v>毗邻道路的类型与等级</v>
      </c>
      <c r="R28" s="774" t="s">
        <v>17</v>
      </c>
      <c r="S28" s="775">
        <f t="shared" si="10"/>
        <v>100</v>
      </c>
      <c r="T28" s="774" t="s">
        <v>17</v>
      </c>
      <c r="U28" s="775">
        <f t="shared" si="11"/>
        <v>100</v>
      </c>
      <c r="V28" s="774" t="s">
        <v>17</v>
      </c>
      <c r="W28" s="775">
        <f t="shared" si="12"/>
        <v>100</v>
      </c>
      <c r="X28" s="1815"/>
      <c r="Y28" s="3298"/>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298"/>
      <c r="Q29" s="1812"/>
      <c r="R29" s="774"/>
      <c r="S29" s="775"/>
      <c r="T29" s="774"/>
      <c r="U29" s="775"/>
      <c r="V29" s="774"/>
      <c r="W29" s="775"/>
      <c r="X29" s="1815"/>
      <c r="Y29" s="3298"/>
      <c r="Z29" s="1816"/>
      <c r="AA29" s="1813">
        <v>1</v>
      </c>
      <c r="AB29" s="1813">
        <v>1</v>
      </c>
      <c r="AC29" s="1813">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98"/>
      <c r="Q30" s="1812" t="str">
        <f t="shared" si="8"/>
        <v>土地级别</v>
      </c>
      <c r="R30" s="774" t="s">
        <v>17</v>
      </c>
      <c r="S30" s="775">
        <f t="shared" si="10"/>
        <v>100</v>
      </c>
      <c r="T30" s="774" t="s">
        <v>17</v>
      </c>
      <c r="U30" s="775">
        <f t="shared" si="11"/>
        <v>100</v>
      </c>
      <c r="V30" s="774" t="s">
        <v>17</v>
      </c>
      <c r="W30" s="775">
        <f t="shared" si="12"/>
        <v>100</v>
      </c>
      <c r="X30" s="1815"/>
      <c r="Y30" s="3298"/>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98"/>
      <c r="Q31" s="1812">
        <f t="shared" si="8"/>
        <v>111</v>
      </c>
      <c r="R31" s="774" t="s">
        <v>17</v>
      </c>
      <c r="S31" s="775">
        <f t="shared" si="10"/>
        <v>100</v>
      </c>
      <c r="T31" s="774" t="s">
        <v>17</v>
      </c>
      <c r="U31" s="775">
        <f t="shared" si="11"/>
        <v>100</v>
      </c>
      <c r="V31" s="774" t="s">
        <v>17</v>
      </c>
      <c r="W31" s="775">
        <f t="shared" si="12"/>
        <v>100</v>
      </c>
      <c r="X31" s="1815"/>
      <c r="Y31" s="3298"/>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53" t="s">
        <v>2558</v>
      </c>
      <c r="Q32" s="1812">
        <f t="shared" si="8"/>
        <v>111</v>
      </c>
      <c r="R32" s="774" t="s">
        <v>17</v>
      </c>
      <c r="S32" s="775">
        <f t="shared" si="10"/>
        <v>100</v>
      </c>
      <c r="T32" s="774" t="s">
        <v>17</v>
      </c>
      <c r="U32" s="775">
        <f t="shared" si="11"/>
        <v>100</v>
      </c>
      <c r="V32" s="774" t="s">
        <v>17</v>
      </c>
      <c r="W32" s="775">
        <f t="shared" si="12"/>
        <v>100</v>
      </c>
      <c r="X32" s="1815"/>
      <c r="Y32" s="3302" t="s">
        <v>2558</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02"/>
      <c r="Q33" s="1812">
        <f t="shared" si="8"/>
        <v>111</v>
      </c>
      <c r="R33" s="777" t="s">
        <v>17</v>
      </c>
      <c r="S33" s="778">
        <f t="shared" si="10"/>
        <v>100</v>
      </c>
      <c r="T33" s="777" t="s">
        <v>17</v>
      </c>
      <c r="U33" s="778">
        <f t="shared" si="11"/>
        <v>100</v>
      </c>
      <c r="V33" s="777" t="s">
        <v>17</v>
      </c>
      <c r="W33" s="778">
        <f t="shared" si="12"/>
        <v>100</v>
      </c>
      <c r="X33" s="779"/>
      <c r="Y33" s="3302"/>
      <c r="Z33" s="780">
        <f t="shared" si="13"/>
        <v>111</v>
      </c>
      <c r="AA33" s="1813">
        <f t="shared" si="3"/>
        <v>1</v>
      </c>
      <c r="AB33" s="1813">
        <f t="shared" si="4"/>
        <v>1</v>
      </c>
      <c r="AC33" s="1813">
        <f t="shared" si="5"/>
        <v>1</v>
      </c>
    </row>
    <row r="34" spans="1:29" ht="15">
      <c r="A34" s="440" t="s">
        <v>2556</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02"/>
      <c r="Q34" s="1812" t="str">
        <f>B34</f>
        <v>宗地面积</v>
      </c>
      <c r="R34" s="774" t="s">
        <v>17</v>
      </c>
      <c r="S34" s="775" t="e">
        <f t="shared" si="10"/>
        <v>#N/A</v>
      </c>
      <c r="T34" s="774" t="s">
        <v>17</v>
      </c>
      <c r="U34" s="775" t="e">
        <f t="shared" si="11"/>
        <v>#N/A</v>
      </c>
      <c r="V34" s="774" t="s">
        <v>17</v>
      </c>
      <c r="W34" s="775" t="e">
        <f t="shared" si="12"/>
        <v>#N/A</v>
      </c>
      <c r="X34" s="1815"/>
      <c r="Y34" s="3302"/>
      <c r="Z34" s="1816" t="str">
        <f t="shared" si="13"/>
        <v>宗地面积</v>
      </c>
      <c r="AA34" s="1813" t="e">
        <f t="shared" si="3"/>
        <v>#N/A</v>
      </c>
      <c r="AB34" s="1813" t="e">
        <f t="shared" si="4"/>
        <v>#N/A</v>
      </c>
      <c r="AC34" s="1813"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302"/>
      <c r="Q35" s="1812" t="str">
        <f t="shared" ref="Q35:Q40" si="14">B35</f>
        <v>宗地形状</v>
      </c>
      <c r="R35" s="774" t="s">
        <v>17</v>
      </c>
      <c r="S35" s="775">
        <f t="shared" si="10"/>
        <v>100</v>
      </c>
      <c r="T35" s="774" t="s">
        <v>17</v>
      </c>
      <c r="U35" s="775">
        <f t="shared" si="11"/>
        <v>100</v>
      </c>
      <c r="V35" s="774" t="s">
        <v>17</v>
      </c>
      <c r="W35" s="775">
        <f t="shared" si="12"/>
        <v>100</v>
      </c>
      <c r="X35" s="1815"/>
      <c r="Y35" s="3302"/>
      <c r="Z35" s="1816" t="str">
        <f t="shared" si="13"/>
        <v>宗地形状</v>
      </c>
      <c r="AA35" s="1813">
        <f t="shared" si="3"/>
        <v>1</v>
      </c>
      <c r="AB35" s="1813">
        <f t="shared" si="4"/>
        <v>1</v>
      </c>
      <c r="AC35" s="1813">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302"/>
      <c r="Q36" s="1812" t="str">
        <f t="shared" si="14"/>
        <v>宗地开发程度</v>
      </c>
      <c r="R36" s="770" t="s">
        <v>17</v>
      </c>
      <c r="S36" s="771">
        <f t="shared" si="10"/>
        <v>100</v>
      </c>
      <c r="T36" s="770" t="s">
        <v>17</v>
      </c>
      <c r="U36" s="771">
        <f t="shared" si="11"/>
        <v>100</v>
      </c>
      <c r="V36" s="770" t="s">
        <v>17</v>
      </c>
      <c r="W36" s="771">
        <f t="shared" si="12"/>
        <v>100</v>
      </c>
      <c r="X36" s="772"/>
      <c r="Y36" s="3302"/>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302" t="s">
        <v>2558</v>
      </c>
      <c r="Q37" s="1812" t="str">
        <f t="shared" si="14"/>
        <v>工程地质条件</v>
      </c>
      <c r="R37" s="774" t="s">
        <v>17</v>
      </c>
      <c r="S37" s="775">
        <f t="shared" si="10"/>
        <v>100</v>
      </c>
      <c r="T37" s="774" t="s">
        <v>17</v>
      </c>
      <c r="U37" s="775">
        <f t="shared" si="11"/>
        <v>100</v>
      </c>
      <c r="V37" s="774" t="s">
        <v>17</v>
      </c>
      <c r="W37" s="775">
        <f t="shared" si="12"/>
        <v>100</v>
      </c>
      <c r="X37" s="1815"/>
      <c r="Y37" s="3302" t="s">
        <v>2558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02"/>
      <c r="Q38" s="1812">
        <f t="shared" si="14"/>
        <v>111</v>
      </c>
      <c r="R38" s="774" t="s">
        <v>17</v>
      </c>
      <c r="S38" s="775">
        <f t="shared" si="10"/>
        <v>100</v>
      </c>
      <c r="T38" s="774" t="s">
        <v>17</v>
      </c>
      <c r="U38" s="775">
        <f t="shared" si="11"/>
        <v>100</v>
      </c>
      <c r="V38" s="774" t="s">
        <v>17</v>
      </c>
      <c r="W38" s="775">
        <f t="shared" si="12"/>
        <v>100</v>
      </c>
      <c r="X38" s="1815"/>
      <c r="Y38" s="330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02"/>
      <c r="Q39" s="1812">
        <f t="shared" si="14"/>
        <v>111</v>
      </c>
      <c r="R39" s="774" t="s">
        <v>17</v>
      </c>
      <c r="S39" s="775">
        <f t="shared" si="10"/>
        <v>100</v>
      </c>
      <c r="T39" s="774" t="s">
        <v>17</v>
      </c>
      <c r="U39" s="775">
        <f t="shared" si="11"/>
        <v>100</v>
      </c>
      <c r="V39" s="774" t="s">
        <v>17</v>
      </c>
      <c r="W39" s="775">
        <f t="shared" si="12"/>
        <v>100</v>
      </c>
      <c r="X39" s="1815"/>
      <c r="Y39" s="3302"/>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02"/>
      <c r="Q40" s="1812">
        <f t="shared" si="14"/>
        <v>111</v>
      </c>
      <c r="R40" s="777" t="s">
        <v>17</v>
      </c>
      <c r="S40" s="778">
        <f t="shared" si="10"/>
        <v>100</v>
      </c>
      <c r="T40" s="777" t="s">
        <v>17</v>
      </c>
      <c r="U40" s="778">
        <f t="shared" si="11"/>
        <v>100</v>
      </c>
      <c r="V40" s="777" t="s">
        <v>17</v>
      </c>
      <c r="W40" s="778">
        <f t="shared" si="12"/>
        <v>100</v>
      </c>
      <c r="X40" s="779"/>
      <c r="Y40" s="3302"/>
      <c r="Z40" s="780">
        <f t="shared" si="13"/>
        <v>111</v>
      </c>
      <c r="AA40" s="1813">
        <f t="shared" si="3"/>
        <v>1</v>
      </c>
      <c r="AB40" s="1813">
        <f t="shared" si="4"/>
        <v>1</v>
      </c>
      <c r="AC40" s="1813">
        <f t="shared" si="5"/>
        <v>1</v>
      </c>
    </row>
    <row r="41" spans="1:29" ht="15">
      <c r="A41" s="479" t="s">
        <v>2713</v>
      </c>
      <c r="B41" s="2703" t="s">
        <v>2787</v>
      </c>
      <c r="C41" s="682" t="s">
        <v>1</v>
      </c>
      <c r="D41" s="481"/>
      <c r="E41" s="482"/>
      <c r="F41" s="483"/>
      <c r="G41" s="484"/>
      <c r="H41" s="485"/>
      <c r="I41" s="482"/>
      <c r="J41" s="485"/>
      <c r="K41" s="783"/>
      <c r="L41" s="1146"/>
      <c r="M41" s="1134"/>
      <c r="N41" s="1134"/>
      <c r="O41" s="1147"/>
      <c r="P41" s="3295" t="str">
        <f>A41</f>
        <v>成交单价</v>
      </c>
      <c r="Q41" s="3295"/>
      <c r="R41" s="3326">
        <f>E41</f>
        <v>0</v>
      </c>
      <c r="S41" s="3326"/>
      <c r="T41" s="3326">
        <f>G41</f>
        <v>0</v>
      </c>
      <c r="U41" s="3326"/>
      <c r="V41" s="3326">
        <f>I41</f>
        <v>0</v>
      </c>
      <c r="W41" s="3326"/>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95" t="str">
        <f>A42</f>
        <v>比较价值（元/平方米）</v>
      </c>
      <c r="Q42" s="3295"/>
      <c r="R42" s="3354" t="e">
        <f>ROUND(PRODUCT(R41,AA7:AA40),0)</f>
        <v>#DIV/0!</v>
      </c>
      <c r="S42" s="3354"/>
      <c r="T42" s="3354" t="e">
        <f>ROUND(PRODUCT(T41,AB7:AB40),0)</f>
        <v>#DIV/0!</v>
      </c>
      <c r="U42" s="3354"/>
      <c r="V42" s="3354" t="e">
        <f>ROUND(PRODUCT(V41,AC7:AC40),0)</f>
        <v>#DIV/0!</v>
      </c>
      <c r="W42" s="3354"/>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92" t="str">
        <f>A43</f>
        <v>估价对象XX用房的比较价值（楼面单价，元/平方米）</v>
      </c>
      <c r="Q43" s="3293"/>
      <c r="R43" s="3355" t="e">
        <f>ROUND(AVERAGE(R42:V42),0)</f>
        <v>#DIV/0!</v>
      </c>
      <c r="S43" s="3355"/>
      <c r="T43" s="3355"/>
      <c r="U43" s="3355"/>
      <c r="V43" s="3355"/>
      <c r="W43" s="33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4" t="s">
        <v>2748</v>
      </c>
      <c r="D50" s="2705" t="s">
        <v>2749</v>
      </c>
      <c r="E50" s="686" t="s">
        <v>2750</v>
      </c>
      <c r="F50" s="687" t="s">
        <v>2751</v>
      </c>
      <c r="G50" s="3310" t="s">
        <v>2752</v>
      </c>
      <c r="H50" s="3356"/>
      <c r="I50" s="1816" t="s">
        <v>2788</v>
      </c>
      <c r="J50" s="1816" t="str">
        <f>项目基本情况!F35</f>
        <v>浙江省宁波市</v>
      </c>
      <c r="K50" s="2707" t="s">
        <v>2754</v>
      </c>
      <c r="L50" s="1109"/>
      <c r="M50" s="1147"/>
      <c r="N50" s="1147"/>
      <c r="O50" s="1147"/>
    </row>
    <row r="51" spans="1:17" s="692" customFormat="1">
      <c r="A51" s="688" t="s">
        <v>2755</v>
      </c>
      <c r="B51" s="689" t="e">
        <f>C43</f>
        <v>#DIV/0!</v>
      </c>
      <c r="C51" s="690">
        <v>1</v>
      </c>
      <c r="D51" s="1166">
        <v>1</v>
      </c>
      <c r="E51" s="690">
        <f>'数据-汇总表'!E8+'数据-汇总表'!E9</f>
        <v>28072.940000000002</v>
      </c>
      <c r="F51" s="691" t="e">
        <f t="shared" ref="F51:F60" si="15">ROUND(B51*E51/10000,0)</f>
        <v>#DIV/0!</v>
      </c>
      <c r="G51" s="3306"/>
      <c r="H51" s="3295"/>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357"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357"/>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357"/>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357"/>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8"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8"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9"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60760.83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0" t="s">
        <v>2770</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2789</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2791</v>
      </c>
      <c r="B1" s="241"/>
      <c r="C1" s="245" t="s">
        <v>2792</v>
      </c>
      <c r="D1" s="388">
        <f>SUM(D29:D30,D33:D39)</f>
        <v>0</v>
      </c>
      <c r="E1" s="2716"/>
      <c r="F1" s="2716"/>
      <c r="G1" s="2716"/>
      <c r="H1" s="2716"/>
      <c r="I1" s="2716"/>
      <c r="J1" s="2716"/>
      <c r="K1" s="1373"/>
      <c r="L1" s="2717" t="s">
        <v>2793</v>
      </c>
      <c r="M1" s="1083">
        <f>SUMPRODUCT((区片价!B5:B9=I2)*(区片价!C3:F3=E2)*(区片价!C5:F9))</f>
        <v>0</v>
      </c>
      <c r="N1" s="1086">
        <f>SUMPRODUCT((因素修正幅度!B5:B9=I2)*(因素修正幅度!C3:F3=E2)*(因素修正幅度!C5:F9))</f>
        <v>0</v>
      </c>
      <c r="O1" s="2718"/>
      <c r="P1" s="2718"/>
      <c r="Q1" s="1373"/>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5" t="s">
        <v>2799</v>
      </c>
      <c r="B2" s="248" t="e">
        <f>C26</f>
        <v>#DIV/0!</v>
      </c>
      <c r="C2" s="2720" t="s">
        <v>2800</v>
      </c>
      <c r="D2" s="2721" t="s">
        <v>2801</v>
      </c>
      <c r="E2" s="2722"/>
      <c r="F2" s="2721" t="s">
        <v>2802</v>
      </c>
      <c r="G2" s="2723">
        <f>IF(E2="商业",项目基本情况!B37,IF(E2="办公",项目基本情况!C37,IF(E2="住宅",项目基本情况!D37,项目基本情况!E37)))</f>
        <v>0</v>
      </c>
      <c r="H2" s="2721" t="s">
        <v>2803</v>
      </c>
      <c r="I2" s="2723">
        <f>IF(E2="商业",项目基本情况!B38,IF(E2="办公",项目基本情况!C38,IF(E2="住宅",项目基本情况!D38,项目基本情况!E38)))</f>
        <v>0</v>
      </c>
      <c r="J2" s="2724"/>
      <c r="K2" s="1373"/>
      <c r="L2" s="2725" t="s">
        <v>2804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2805</v>
      </c>
      <c r="B3" s="248" t="e">
        <f>ROUND(B2*10000/D1,0)</f>
        <v>#DIV/0!</v>
      </c>
      <c r="C3" s="2720" t="s">
        <v>2806</v>
      </c>
      <c r="D3" s="2721" t="s">
        <v>2807</v>
      </c>
      <c r="E3" s="2726"/>
      <c r="F3" s="2727" t="s">
        <v>2808</v>
      </c>
      <c r="G3" s="916">
        <f>IF(F3="宗地容积率",'数据-汇总表'!I4,IF(F3="估价对象容积率",'数据-汇总表'!I6,'数据-汇总表'!I7))</f>
        <v>0.46</v>
      </c>
      <c r="H3" s="198" t="s">
        <v>2809</v>
      </c>
      <c r="I3" s="947"/>
      <c r="J3" s="2724" t="s">
        <v>2810</v>
      </c>
      <c r="K3" s="1373"/>
      <c r="L3" s="2725" t="s">
        <v>2811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74"/>
      <c r="B4" s="3375"/>
      <c r="C4" s="3375"/>
      <c r="D4" s="3376"/>
      <c r="E4" s="3376"/>
      <c r="F4" s="3376"/>
      <c r="G4" s="3376"/>
      <c r="H4" s="3376"/>
      <c r="I4" s="3376"/>
      <c r="J4" s="3377"/>
      <c r="K4" s="1373"/>
      <c r="L4" s="2725" t="s">
        <v>2812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2813</v>
      </c>
      <c r="C5" s="917" t="e">
        <f>ROUND(IF(E2="商业",IF(F16="增加",C6*C7+C16,C6*C7-C16),IF(E2="住宅",IF(F16="增加",C6*C12+C16,C6*C12-C16),IF(F16="增加",C6+C16,C6-C16))),0)</f>
        <v>#DIV/0!</v>
      </c>
      <c r="D5" s="1789">
        <f>ROUND(IF(E2="商业",IF(F16="增加",C6+C16,C6-C16)),0)</f>
        <v>0</v>
      </c>
      <c r="E5" s="2730"/>
      <c r="F5" s="2730"/>
      <c r="G5" s="2731"/>
      <c r="H5" s="2731"/>
      <c r="I5" s="2731"/>
      <c r="J5" s="2732"/>
      <c r="K5" s="2733"/>
      <c r="L5" s="2725" t="s">
        <v>2814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2815</v>
      </c>
      <c r="B6" s="2739" t="s">
        <v>2816</v>
      </c>
      <c r="C6" s="918">
        <f>SUMIF(L1:L12,G2,M1:M12)</f>
        <v>0</v>
      </c>
      <c r="D6" s="2740" t="s">
        <v>2817</v>
      </c>
      <c r="E6" s="2741"/>
      <c r="F6" s="2741"/>
      <c r="G6" s="2742"/>
      <c r="H6" s="2742"/>
      <c r="I6" s="2742"/>
      <c r="J6" s="2743"/>
      <c r="K6" s="1844"/>
      <c r="L6" s="2725" t="s">
        <v>2818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378" t="str">
        <f>IF(E2="商业",IF(C8="不临58条商业街","",2),"")</f>
        <v/>
      </c>
      <c r="B7" s="2744" t="s">
        <v>2819</v>
      </c>
      <c r="C7" s="919" t="e">
        <f>IF(C8="不临58条商业街",1,ROUND(1+(1.6*E8+1.2*E9+0.8*E10+0.4*E11)*C9,4))</f>
        <v>#DIV/0!</v>
      </c>
      <c r="D7" s="2745" t="s">
        <v>2820</v>
      </c>
      <c r="E7" s="948"/>
      <c r="F7" s="2746"/>
      <c r="G7" s="2747"/>
      <c r="H7" s="2747"/>
      <c r="I7" s="2747"/>
      <c r="J7" s="2748"/>
      <c r="K7" s="1844"/>
      <c r="L7" s="2725" t="s">
        <v>2821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0.46</v>
      </c>
      <c r="AA7" s="1608"/>
      <c r="AB7" s="1608"/>
      <c r="AC7" s="1609"/>
      <c r="AD7" s="1610"/>
      <c r="AE7" s="1610"/>
      <c r="AF7" s="1610"/>
      <c r="AG7" s="1610"/>
      <c r="AH7" s="1610"/>
      <c r="AI7" s="1610"/>
      <c r="AJ7" s="1611"/>
    </row>
    <row r="8" spans="1:36" ht="15">
      <c r="A8" s="3379"/>
      <c r="B8" s="198" t="s">
        <v>2824</v>
      </c>
      <c r="C8" s="2749"/>
      <c r="D8" s="920" t="s">
        <v>139</v>
      </c>
      <c r="E8" s="921" t="e">
        <f>ROUND(C11/E7,4)</f>
        <v>#DIV/0!</v>
      </c>
      <c r="F8" s="2750" t="s">
        <v>2825</v>
      </c>
      <c r="G8" s="2751"/>
      <c r="H8" s="2751"/>
      <c r="I8" s="2751"/>
      <c r="J8" s="2752"/>
      <c r="K8" s="1373"/>
      <c r="L8" s="2725" t="s">
        <v>2826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71" t="s">
        <v>2827</v>
      </c>
      <c r="X8" s="3372"/>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379"/>
      <c r="B9" s="198" t="s">
        <v>2840</v>
      </c>
      <c r="C9" s="922">
        <f>SUMIF(修正!C59:C119,C8,修正!E59:E119)</f>
        <v>0</v>
      </c>
      <c r="D9" s="200" t="s">
        <v>140</v>
      </c>
      <c r="E9" s="200" t="e">
        <f>ROUND(C11/E7,4)</f>
        <v>#DIV/0!</v>
      </c>
      <c r="F9" s="2750" t="s">
        <v>2841</v>
      </c>
      <c r="G9" s="2751"/>
      <c r="H9" s="2751"/>
      <c r="I9" s="2751"/>
      <c r="J9" s="2752"/>
      <c r="K9" s="1373"/>
      <c r="L9" s="2725" t="s">
        <v>2842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73"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79"/>
      <c r="B10" s="198" t="s">
        <v>2845</v>
      </c>
      <c r="C10" s="200">
        <f>SUMIF(修正!C59:C119,C8,修正!F59:F119)</f>
        <v>0</v>
      </c>
      <c r="D10" s="200" t="s">
        <v>141</v>
      </c>
      <c r="E10" s="200" t="e">
        <f>ROUND(C11/E7,4)</f>
        <v>#DIV/0!</v>
      </c>
      <c r="F10" s="2750" t="s">
        <v>2846</v>
      </c>
      <c r="G10" s="2751"/>
      <c r="H10" s="2751"/>
      <c r="I10" s="2751"/>
      <c r="J10" s="2752"/>
      <c r="K10" s="1373"/>
      <c r="L10" s="2725" t="s">
        <v>2847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7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79"/>
      <c r="B11" s="2753" t="s">
        <v>2848</v>
      </c>
      <c r="C11" s="923">
        <f>C10/4</f>
        <v>0</v>
      </c>
      <c r="D11" s="923" t="s">
        <v>142</v>
      </c>
      <c r="E11" s="923" t="e">
        <f>ROUND(C11/E7,4)</f>
        <v>#DIV/0!</v>
      </c>
      <c r="F11" s="2754" t="s">
        <v>2849</v>
      </c>
      <c r="G11" s="2755"/>
      <c r="H11" s="2755"/>
      <c r="I11" s="2755"/>
      <c r="J11" s="2756"/>
      <c r="K11" s="1373"/>
      <c r="L11" s="2725" t="s">
        <v>2850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73" t="s">
        <v>2851</v>
      </c>
      <c r="X11" s="1616" t="s">
        <v>2852</v>
      </c>
      <c r="Y11" s="1617">
        <f>$G$3</f>
        <v>0.46</v>
      </c>
      <c r="Z11" s="1617">
        <f t="shared" ref="Z11:AJ11" si="3">$G$3</f>
        <v>0.46</v>
      </c>
      <c r="AA11" s="1617">
        <f t="shared" si="3"/>
        <v>0.46</v>
      </c>
      <c r="AB11" s="1617">
        <f t="shared" si="3"/>
        <v>0.46</v>
      </c>
      <c r="AC11" s="1617">
        <f t="shared" si="3"/>
        <v>0.46</v>
      </c>
      <c r="AD11" s="1617">
        <f t="shared" si="3"/>
        <v>0.46</v>
      </c>
      <c r="AE11" s="1617">
        <f t="shared" si="3"/>
        <v>0.46</v>
      </c>
      <c r="AF11" s="1617">
        <f t="shared" si="3"/>
        <v>0.46</v>
      </c>
      <c r="AG11" s="1617">
        <f t="shared" si="3"/>
        <v>0.46</v>
      </c>
      <c r="AH11" s="1617">
        <f t="shared" si="3"/>
        <v>0.46</v>
      </c>
      <c r="AI11" s="1617">
        <f t="shared" si="3"/>
        <v>0.46</v>
      </c>
      <c r="AJ11" s="1617">
        <f t="shared" si="3"/>
        <v>0.46</v>
      </c>
    </row>
    <row r="12" spans="1:36" ht="25.5" thickBot="1">
      <c r="A12" s="3378" t="s">
        <v>2853</v>
      </c>
      <c r="B12" s="2757" t="s">
        <v>2854</v>
      </c>
      <c r="C12" s="919">
        <f>ROUND(C15*D15*E15*F15*G15*H15*I15*J15,4)</f>
        <v>1</v>
      </c>
      <c r="D12" s="2758" t="s">
        <v>2855</v>
      </c>
      <c r="E12" s="2759"/>
      <c r="F12" s="2759"/>
      <c r="G12" s="2760"/>
      <c r="H12" s="2760"/>
      <c r="I12" s="2760"/>
      <c r="J12" s="2761"/>
      <c r="K12" s="1373"/>
      <c r="L12" s="2762" t="s">
        <v>2856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73"/>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80"/>
      <c r="B13" s="2763" t="s">
        <v>2858</v>
      </c>
      <c r="C13" s="2764" t="s">
        <v>2859</v>
      </c>
      <c r="D13" s="1810" t="s">
        <v>2860</v>
      </c>
      <c r="E13" s="1810" t="s">
        <v>2861</v>
      </c>
      <c r="F13" s="30" t="s">
        <v>2862</v>
      </c>
      <c r="G13" s="2765" t="s">
        <v>2863</v>
      </c>
      <c r="H13" s="2765" t="s">
        <v>2863</v>
      </c>
      <c r="I13" s="2765" t="s">
        <v>2863</v>
      </c>
      <c r="J13" s="2766" t="s">
        <v>2863</v>
      </c>
      <c r="K13" s="1373"/>
      <c r="L13" s="1373"/>
      <c r="M13" s="1373"/>
      <c r="N13" s="1373"/>
      <c r="O13" s="1373"/>
      <c r="P13" s="1373"/>
      <c r="Q13" s="1373"/>
      <c r="R13" s="1604">
        <v>12</v>
      </c>
      <c r="S13" s="1605"/>
      <c r="T13" s="1604" t="e">
        <f t="shared" si="0"/>
        <v>#DIV/0!</v>
      </c>
      <c r="U13" s="1605"/>
      <c r="V13" s="1604" t="e">
        <f t="shared" si="1"/>
        <v>#DIV/0!</v>
      </c>
      <c r="W13" s="3373"/>
      <c r="X13" s="1618"/>
      <c r="Y13" s="1615">
        <f>(-0.163*(Y12^2)-0.59*Y12+7617)*(10^(-4))/Y11</f>
        <v>1.6558695652173914</v>
      </c>
      <c r="Z13" s="1615">
        <f t="shared" ref="Z13:AJ13" si="5">(-0.163*(Z12^2)-0.59*Z12+7617)*(10^(-4))/Z11</f>
        <v>1.6558695652173914</v>
      </c>
      <c r="AA13" s="1615">
        <f t="shared" si="5"/>
        <v>1.6558695652173914</v>
      </c>
      <c r="AB13" s="1615">
        <f t="shared" si="5"/>
        <v>1.6558695652173914</v>
      </c>
      <c r="AC13" s="1615">
        <f t="shared" si="5"/>
        <v>1.6558695652173914</v>
      </c>
      <c r="AD13" s="1615">
        <f t="shared" si="5"/>
        <v>1.6558695652173914</v>
      </c>
      <c r="AE13" s="1615">
        <f t="shared" si="5"/>
        <v>1.6558695652173914</v>
      </c>
      <c r="AF13" s="1615">
        <f t="shared" si="5"/>
        <v>1.6558695652173914</v>
      </c>
      <c r="AG13" s="1615">
        <f t="shared" si="5"/>
        <v>1.6558695652173914</v>
      </c>
      <c r="AH13" s="1615">
        <f t="shared" si="5"/>
        <v>1.6558695652173914</v>
      </c>
      <c r="AI13" s="1615">
        <f t="shared" si="5"/>
        <v>1.6558695652173914</v>
      </c>
      <c r="AJ13" s="1615">
        <f t="shared" si="5"/>
        <v>1.6558695652173914</v>
      </c>
    </row>
    <row r="14" spans="1:36" ht="15">
      <c r="A14" s="3380"/>
      <c r="B14" s="2767"/>
      <c r="C14" s="2768"/>
      <c r="D14" s="2769"/>
      <c r="E14" s="2769"/>
      <c r="F14" s="2770"/>
      <c r="G14" s="2771" t="s">
        <v>2864</v>
      </c>
      <c r="H14" s="2772"/>
      <c r="I14" s="2773"/>
      <c r="J14" s="2774"/>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81"/>
      <c r="B15" s="2775" t="s">
        <v>2865</v>
      </c>
      <c r="C15" s="229">
        <f>IF(C14="有",1.1,1)</f>
        <v>1</v>
      </c>
      <c r="D15" s="229">
        <f>IF(D14="有",1.1,1)</f>
        <v>1</v>
      </c>
      <c r="E15" s="229">
        <f>IF(E14="有",1.1,1)</f>
        <v>1</v>
      </c>
      <c r="F15" s="229">
        <f>IF(F14="500米范围内",1.2,IF(F14="500-1000米",1.1,1))</f>
        <v>1</v>
      </c>
      <c r="G15" s="949">
        <v>1</v>
      </c>
      <c r="H15" s="949">
        <v>1</v>
      </c>
      <c r="I15" s="949">
        <v>1</v>
      </c>
      <c r="J15" s="950">
        <v>1</v>
      </c>
      <c r="K15" s="1373"/>
      <c r="L15" s="2776" t="s">
        <v>2801</v>
      </c>
      <c r="M15" s="920" t="s">
        <v>2866</v>
      </c>
      <c r="N15" s="920" t="s">
        <v>2867</v>
      </c>
      <c r="O15" s="920" t="s">
        <v>2868</v>
      </c>
      <c r="P15" s="2777" t="s">
        <v>2869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78" t="s">
        <v>2870</v>
      </c>
      <c r="B16" s="2744" t="s">
        <v>2871</v>
      </c>
      <c r="C16" s="1803" t="e">
        <f>ROUND(SUM(G17:J17)/C17,0)</f>
        <v>#DIV/0!</v>
      </c>
      <c r="D16" s="2778" t="s">
        <v>2872</v>
      </c>
      <c r="E16" s="2779"/>
      <c r="F16" s="2780"/>
      <c r="G16" s="2781"/>
      <c r="H16" s="2781"/>
      <c r="I16" s="2781"/>
      <c r="J16" s="2782"/>
      <c r="K16" s="1373"/>
      <c r="L16" s="2783" t="s">
        <v>2873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79"/>
      <c r="B17" s="2784" t="s">
        <v>2874</v>
      </c>
      <c r="C17" s="924">
        <f>SUMPRODUCT((修正!A2:A5=E2)*(修正!B1:M1=G2)*(修正!B2:M5))</f>
        <v>0</v>
      </c>
      <c r="D17" s="2785"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2878</v>
      </c>
      <c r="C18" s="926">
        <f>SUMIF(修正!C18:C39,E3,修正!E18:E39)</f>
        <v>0</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2879</v>
      </c>
      <c r="C19" s="927" t="e">
        <f>ROUND(IF(H19="按公示增长率计算",SUMPRODUCT((地价!A3:A23=YEAR(G19)&amp;"-"&amp;ROUNDUP(MONTH(G19)/3,0))*(地价!X2:AB2=E2)*(地价!X3:AB23)),IF(H19="地价指数",M20/M19,(1+I19)^O19)),4)</f>
        <v>#DIV/0!</v>
      </c>
      <c r="D19" s="2796" t="s">
        <v>2880</v>
      </c>
      <c r="E19" s="928">
        <v>41640</v>
      </c>
      <c r="F19" s="2796" t="s">
        <v>2881</v>
      </c>
      <c r="G19" s="929">
        <f>'数据-取费表'!B2</f>
        <v>43339</v>
      </c>
      <c r="H19" s="2797" t="s">
        <v>2882</v>
      </c>
      <c r="I19" s="930" t="str">
        <f>IF(H19="季度增幅（自定义）",SUMIF(N21:N24,E2,O21:O24),"")</f>
        <v/>
      </c>
      <c r="J19" s="2794"/>
      <c r="K19" s="1380"/>
      <c r="L19" s="2798" t="s">
        <v>2883</v>
      </c>
      <c r="M19" s="1736">
        <f>ROUND(SUMIF(地价!B2:F2,E2,地价!B23:F23),0)</f>
        <v>0</v>
      </c>
      <c r="N19" s="2799" t="s">
        <v>2884</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2885</v>
      </c>
      <c r="C20" s="932" t="e">
        <f>ROUND(POWER(1+G20,J20-I20)*(POWER(1+G20,I20)-1)/(POWER(1+G20,J20)-1),4)</f>
        <v>#DIV/0!</v>
      </c>
      <c r="D20" s="2805" t="s">
        <v>2886</v>
      </c>
      <c r="E20" s="1770">
        <f ca="1">存贷款利率!D4/100</f>
        <v>4.3499999999999997E-2</v>
      </c>
      <c r="F20" s="2805" t="s">
        <v>2877</v>
      </c>
      <c r="G20" s="937">
        <f>SUMIF(M15:P15,E2,M17:P17)</f>
        <v>0</v>
      </c>
      <c r="H20" s="2805" t="s">
        <v>2887</v>
      </c>
      <c r="I20" s="938" t="e">
        <f>SUMIF('数据-取费表'!C6:C15,E2,'数据-取费表'!F6:F15)/COUNTIF('数据-取费表'!C6:C15,E2)</f>
        <v>#DIV/0!</v>
      </c>
      <c r="J20" s="939">
        <f>IF(E2="住宅",70,IF(E2="商业",40,50))</f>
        <v>50</v>
      </c>
      <c r="K20" s="1380"/>
      <c r="L20" s="2806" t="s">
        <v>2888</v>
      </c>
      <c r="M20" s="1737">
        <f>ROUND(SUMPRODUCT((地价!A4:A23=YEAR(G19)&amp;"-"&amp;ROUNDUP(MONTH(G19)/3,0))*(地价!B2:F2=E2)*(地价!B4:F23)),0)</f>
        <v>0</v>
      </c>
      <c r="N20" s="2807" t="s">
        <v>2889</v>
      </c>
      <c r="O20" s="2808" t="s">
        <v>2890</v>
      </c>
      <c r="P20" s="2809" t="s">
        <v>2891</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2892</v>
      </c>
      <c r="C21" s="940">
        <f>IF(B21="容积率修正",IF(G3&lt;=10,D22,J22),C23)</f>
        <v>0</v>
      </c>
      <c r="D21" s="2812"/>
      <c r="E21" s="2812"/>
      <c r="F21" s="2812"/>
      <c r="G21" s="2812"/>
      <c r="H21" s="2812"/>
      <c r="I21" s="2812"/>
      <c r="J21" s="2813"/>
      <c r="K21" s="1380"/>
      <c r="N21" s="2814" t="s">
        <v>2893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2" t="s">
        <v>2896</v>
      </c>
      <c r="D22" s="1812">
        <f>IF(E22=G22,F22,IF(G3&lt;=10,ROUND(F22+(H22-F22)*(G3-E22)/(G22-E22),4),"——"))</f>
        <v>0</v>
      </c>
      <c r="E22" s="916">
        <f>ROUNDDOWN(G3,1)</f>
        <v>0.4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4" t="s">
        <v>2897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0</v>
      </c>
      <c r="D24" s="2792"/>
      <c r="E24" s="2822"/>
      <c r="F24" s="2822"/>
      <c r="G24" s="2822"/>
      <c r="H24" s="2822"/>
      <c r="I24" s="2822"/>
      <c r="J24" s="2823"/>
      <c r="K24" s="1380"/>
      <c r="N24" s="2824" t="s">
        <v>2902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8"/>
      <c r="B26" s="2815" t="s">
        <v>2905</v>
      </c>
      <c r="C26" s="206" t="e">
        <f>E29+SUM(E33:E39)</f>
        <v>#DIV/0!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t="e">
        <f>ROUND(C5*C18*C19*C20*C21*C24,0)</f>
        <v>#DIV/0!</v>
      </c>
      <c r="D29" s="2844"/>
      <c r="E29" s="945" t="e">
        <f>ROUND(C29*D29/10000,0)</f>
        <v>#DIV/0!</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t="e">
        <f>ROUND(IF(E2="工业",C29*M39,C29*M38),0)</f>
        <v>#DIV/0!</v>
      </c>
      <c r="D30" s="2850"/>
      <c r="E30" s="945" t="e">
        <f>ROUND(C30*D30/10000,0)</f>
        <v>#DIV/0!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388" t="s">
        <v>2919</v>
      </c>
      <c r="B33" s="2860" t="s">
        <v>2920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89"/>
      <c r="B34" s="2764" t="s">
        <v>2921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89"/>
      <c r="B35" s="2764" t="s">
        <v>2922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3"/>
      <c r="L35" s="1373"/>
      <c r="M35" s="1373"/>
      <c r="N35" s="1373"/>
      <c r="O35" s="1373"/>
      <c r="P35" s="1373"/>
      <c r="Q35" s="1373"/>
      <c r="R35" s="1373"/>
      <c r="S35" s="1373"/>
      <c r="T35" s="1373"/>
      <c r="U35" s="1373"/>
      <c r="V35" s="1373"/>
      <c r="W35" s="1373"/>
      <c r="X35" s="1373"/>
      <c r="Y35" s="1373"/>
      <c r="Z35" s="1374"/>
    </row>
    <row r="36" spans="1:37" ht="13.5" thickBot="1">
      <c r="A36" s="3390"/>
      <c r="B36" s="2764" t="s">
        <v>2923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73"/>
      <c r="L38" s="1889"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t="e">
        <f>ROUND(C5*C19*C20*C24*F39,0)</f>
        <v>#DIV/0!</v>
      </c>
      <c r="D39" s="2850"/>
      <c r="E39" s="229" t="e">
        <f t="shared" si="7"/>
        <v>#DIV/0!</v>
      </c>
      <c r="F39" s="935">
        <f>SUMIF(修正!A45:A56,G2,修正!H45:H56)</f>
        <v>0</v>
      </c>
      <c r="G39" s="229" t="e">
        <f>ROUND(IF(E2="工业",C39*$M$39,C39*$M$38),0)</f>
        <v>#DIV/0!</v>
      </c>
      <c r="H39" s="229">
        <f t="shared" si="8"/>
        <v>0</v>
      </c>
      <c r="I39" s="229" t="e">
        <f t="shared" si="9"/>
        <v>#DIV/0!</v>
      </c>
      <c r="J39" s="2867"/>
      <c r="K39" s="1373"/>
      <c r="L39" s="2868" t="s">
        <v>2869</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2931</v>
      </c>
      <c r="B47" s="1811" t="s">
        <v>2932</v>
      </c>
      <c r="C47" s="1811" t="s">
        <v>2933</v>
      </c>
      <c r="D47" s="1811" t="s">
        <v>2934</v>
      </c>
      <c r="E47" s="819" t="s">
        <v>2935</v>
      </c>
      <c r="F47" s="2878" t="s">
        <v>2936</v>
      </c>
      <c r="G47" s="1811" t="s">
        <v>754</v>
      </c>
      <c r="H47" s="2879" t="s">
        <v>2937</v>
      </c>
      <c r="I47" s="1811" t="s">
        <v>2938</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7" t="s">
        <v>2939</v>
      </c>
      <c r="B48" s="2880" t="str">
        <f>估价对象房地状况!C4</f>
        <v>较差</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2940</v>
      </c>
      <c r="B49" s="2881" t="str">
        <f>估价对象房地状况!C18</f>
        <v>一般</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2941</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2944</v>
      </c>
      <c r="B52" s="2881" t="str">
        <f>估价对象房地状况!C24</f>
        <v>次干道</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2947</v>
      </c>
      <c r="B54" s="1727" t="str">
        <f>估价对象房地状况!C21</f>
        <v>较差</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2948</v>
      </c>
      <c r="B55" s="2881" t="str">
        <f>估价对象房地状况!C22</f>
        <v>六通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2949</v>
      </c>
      <c r="B56" s="2886" t="str">
        <f>估价对象房地状况!C20</f>
        <v>一般</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1"/>
      <c r="C58" s="1811" t="s">
        <v>2933</v>
      </c>
      <c r="D58" s="1811" t="s">
        <v>2934</v>
      </c>
      <c r="E58" s="819" t="s">
        <v>2935</v>
      </c>
      <c r="F58" s="2878" t="s">
        <v>2951</v>
      </c>
      <c r="G58" s="1811" t="s">
        <v>754</v>
      </c>
      <c r="H58" s="2879" t="s">
        <v>2937</v>
      </c>
      <c r="I58" s="1811" t="s">
        <v>2938</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7" t="s">
        <v>2952</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一般</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2941</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2942</v>
      </c>
      <c r="B62" s="2882" t="s">
        <v>2943</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2944</v>
      </c>
      <c r="B63" s="2881" t="str">
        <f>估价对象房地状况!C24</f>
        <v>次干道</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2945</v>
      </c>
      <c r="B64" s="2883" t="s">
        <v>2946</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2947</v>
      </c>
      <c r="B65" s="1727" t="str">
        <f>估价对象房地状况!C21</f>
        <v>较差</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2948</v>
      </c>
      <c r="B66" s="1727" t="str">
        <f>估价对象房地状况!C22</f>
        <v>六通</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一般</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2931</v>
      </c>
      <c r="B69" s="1811"/>
      <c r="C69" s="1811" t="s">
        <v>2933</v>
      </c>
      <c r="D69" s="1811" t="s">
        <v>2934</v>
      </c>
      <c r="E69" s="819" t="s">
        <v>2935</v>
      </c>
      <c r="F69" s="2878" t="s">
        <v>2951</v>
      </c>
      <c r="G69" s="1811" t="s">
        <v>754</v>
      </c>
      <c r="H69" s="2879" t="s">
        <v>2937</v>
      </c>
      <c r="I69" s="1811" t="s">
        <v>2938</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2940</v>
      </c>
      <c r="B71" s="2881" t="str">
        <f>估价对象房地状况!C18</f>
        <v>一般</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2941</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2955</v>
      </c>
      <c r="B73" s="2881" t="str">
        <f>估价对象房地状况!C24</f>
        <v>次干道</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2947</v>
      </c>
      <c r="B74" s="1727" t="str">
        <f>估价对象房地状况!C21</f>
        <v>较差</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2948</v>
      </c>
      <c r="B75" s="1727" t="str">
        <f>估价对象房地状况!C22</f>
        <v>六通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2949</v>
      </c>
      <c r="B77" s="2880" t="str">
        <f>估价对象房地状况!C20</f>
        <v>一般</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2957</v>
      </c>
      <c r="B79" s="2874">
        <f>1+E81</f>
        <v>1</v>
      </c>
      <c r="C79" s="814"/>
      <c r="D79" s="814"/>
      <c r="E79" s="815"/>
      <c r="F79" s="2876"/>
      <c r="G79" s="6"/>
      <c r="H79" s="6"/>
      <c r="I79" s="6"/>
      <c r="J79" s="7"/>
      <c r="K79" s="7"/>
      <c r="L79" s="7"/>
      <c r="M79" s="7"/>
      <c r="N79" s="7"/>
      <c r="Z79" s="2719"/>
      <c r="AA79" s="2795"/>
      <c r="AG79" s="1375"/>
      <c r="AK79" s="2795"/>
    </row>
    <row r="80" spans="1:37" ht="24.75">
      <c r="A80" s="2877" t="s">
        <v>2931</v>
      </c>
      <c r="B80" s="1811"/>
      <c r="C80" s="1811" t="s">
        <v>2933</v>
      </c>
      <c r="D80" s="1811" t="s">
        <v>2934</v>
      </c>
      <c r="E80" s="819" t="s">
        <v>2935</v>
      </c>
      <c r="F80" s="2878" t="s">
        <v>2951</v>
      </c>
      <c r="G80" s="1811" t="s">
        <v>754</v>
      </c>
      <c r="H80" s="2879" t="s">
        <v>2937</v>
      </c>
      <c r="I80" s="1811" t="s">
        <v>2938</v>
      </c>
      <c r="J80" s="603" t="s">
        <v>2590</v>
      </c>
      <c r="K80" s="603" t="s">
        <v>2591</v>
      </c>
      <c r="L80" s="603" t="s">
        <v>2592</v>
      </c>
      <c r="M80" s="603" t="s">
        <v>2593</v>
      </c>
      <c r="N80" s="603" t="s">
        <v>2594</v>
      </c>
      <c r="Z80" s="2719"/>
      <c r="AA80" s="2795"/>
      <c r="AG80" s="1375"/>
      <c r="AK80" s="2795"/>
    </row>
    <row r="81" spans="1:37" ht="24">
      <c r="A81" s="2877" t="s">
        <v>2958</v>
      </c>
      <c r="B81" s="2881">
        <f>估价对象房地状况!G15</f>
        <v>0</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14.25">
      <c r="A82" s="2877" t="s">
        <v>2940</v>
      </c>
      <c r="B82" s="2881">
        <f>估价对象房地状况!G16</f>
        <v>0</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4">
      <c r="A85" s="2877" t="s">
        <v>2947</v>
      </c>
      <c r="B85" s="1727">
        <f>估价对象房地状况!G19</f>
        <v>0</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4">
      <c r="A86" s="2877" t="s">
        <v>2948</v>
      </c>
      <c r="B86" s="1727">
        <f>估价对象房地状况!G20</f>
        <v>0</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15" thickBot="1">
      <c r="A88" s="2885" t="s">
        <v>2960</v>
      </c>
      <c r="B88" s="2890">
        <f>估价对象房地状况!G18</f>
        <v>0</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382" t="s">
        <v>2961</v>
      </c>
      <c r="B90" s="3382"/>
      <c r="C90" s="3382"/>
      <c r="D90" s="3382"/>
      <c r="E90" s="3382"/>
      <c r="F90" s="3382"/>
      <c r="G90" s="3382"/>
      <c r="H90" s="3382"/>
      <c r="I90" s="3382"/>
      <c r="J90" s="3382"/>
      <c r="K90" s="2891"/>
      <c r="L90" s="2891"/>
      <c r="M90" s="2891"/>
      <c r="N90" s="2891"/>
    </row>
    <row r="91" spans="1:37">
      <c r="A91" s="3384" t="s">
        <v>2962</v>
      </c>
      <c r="B91" s="3384" t="s">
        <v>2963</v>
      </c>
      <c r="C91" s="2845" t="s">
        <v>2964</v>
      </c>
      <c r="D91" s="2846"/>
      <c r="E91" s="2846"/>
      <c r="F91" s="2846"/>
      <c r="G91" s="2846"/>
      <c r="H91" s="2846"/>
      <c r="I91" s="2846"/>
      <c r="J91" s="2892"/>
      <c r="K91" s="2893"/>
      <c r="L91" s="2893"/>
      <c r="M91" s="2893"/>
      <c r="N91" s="2893"/>
    </row>
    <row r="92" spans="1:37">
      <c r="A92" s="3384"/>
      <c r="B92" s="3384"/>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385"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8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8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8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8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8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86"/>
      <c r="B99" s="2894" t="s">
        <v>2844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8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85" t="s">
        <v>2966</v>
      </c>
      <c r="B101" s="2898" t="s">
        <v>2967</v>
      </c>
      <c r="C101" s="2899">
        <f>$G$3</f>
        <v>0.46</v>
      </c>
      <c r="D101" s="2899">
        <f t="shared" ref="D101:N101" si="31">$G$3</f>
        <v>0.46</v>
      </c>
      <c r="E101" s="2899">
        <f t="shared" si="31"/>
        <v>0.46</v>
      </c>
      <c r="F101" s="2899">
        <f t="shared" si="31"/>
        <v>0.46</v>
      </c>
      <c r="G101" s="2899">
        <f t="shared" si="31"/>
        <v>0.46</v>
      </c>
      <c r="H101" s="2899">
        <f t="shared" si="31"/>
        <v>0.46</v>
      </c>
      <c r="I101" s="2899">
        <f t="shared" si="31"/>
        <v>0.46</v>
      </c>
      <c r="J101" s="2899">
        <f t="shared" si="31"/>
        <v>0.46</v>
      </c>
      <c r="K101" s="2899">
        <f t="shared" si="31"/>
        <v>0.46</v>
      </c>
      <c r="L101" s="2899">
        <f t="shared" si="31"/>
        <v>0.46</v>
      </c>
      <c r="M101" s="2899">
        <f t="shared" si="31"/>
        <v>0.46</v>
      </c>
      <c r="N101" s="2899">
        <f t="shared" si="31"/>
        <v>0.46</v>
      </c>
    </row>
    <row r="102" spans="1:14">
      <c r="A102" s="3386"/>
      <c r="B102" s="2894">
        <v>1</v>
      </c>
      <c r="C102" s="2895">
        <f>1.9362/C101</f>
        <v>4.2091304347826082</v>
      </c>
      <c r="D102" s="2895">
        <f>1.9362/D101</f>
        <v>4.2091304347826082</v>
      </c>
      <c r="E102" s="2895">
        <f>1.8629/E101</f>
        <v>4.0497826086956517</v>
      </c>
      <c r="F102" s="2895">
        <f>1.8629/F101</f>
        <v>4.0497826086956517</v>
      </c>
      <c r="G102" s="2895">
        <f>1.8629/G101</f>
        <v>4.0497826086956517</v>
      </c>
      <c r="H102" s="2895">
        <f>1.8629/H101</f>
        <v>4.0497826086956517</v>
      </c>
      <c r="I102" s="2895">
        <f>1.8629/I101</f>
        <v>4.0497826086956517</v>
      </c>
      <c r="J102" s="2895">
        <f>1.942/J101</f>
        <v>4.2217391304347824</v>
      </c>
      <c r="K102" s="2895">
        <f>1.942/K101</f>
        <v>4.2217391304347824</v>
      </c>
      <c r="L102" s="2895">
        <f>1.942/L101</f>
        <v>4.2217391304347824</v>
      </c>
      <c r="M102" s="2895">
        <f>1.942/M101</f>
        <v>4.2217391304347824</v>
      </c>
      <c r="N102" s="2895">
        <f>1.942/N101</f>
        <v>4.2217391304347824</v>
      </c>
    </row>
    <row r="103" spans="1:14">
      <c r="A103" s="3386"/>
      <c r="B103" s="2894">
        <v>2</v>
      </c>
      <c r="C103" s="2895">
        <f>1.4198/C101</f>
        <v>3.0865217391304345</v>
      </c>
      <c r="D103" s="2895">
        <f>1.4198/D101</f>
        <v>3.0865217391304345</v>
      </c>
      <c r="E103" s="2895">
        <f>1.3372/E101</f>
        <v>2.9069565217391302</v>
      </c>
      <c r="F103" s="2895">
        <f>1.3372/F101</f>
        <v>2.9069565217391302</v>
      </c>
      <c r="G103" s="2895">
        <f>1.3372/G101</f>
        <v>2.9069565217391302</v>
      </c>
      <c r="H103" s="2895">
        <f>1.3372/H101</f>
        <v>2.9069565217391302</v>
      </c>
      <c r="I103" s="2895">
        <f>1.3372/I101</f>
        <v>2.9069565217391302</v>
      </c>
      <c r="J103" s="2895">
        <f>1.2799/J101</f>
        <v>2.7823913043478261</v>
      </c>
      <c r="K103" s="2895">
        <f>1.2799/K101</f>
        <v>2.7823913043478261</v>
      </c>
      <c r="L103" s="2895">
        <f>1.2799/L101</f>
        <v>2.7823913043478261</v>
      </c>
      <c r="M103" s="2895">
        <f>1.2799/M101</f>
        <v>2.7823913043478261</v>
      </c>
      <c r="N103" s="2895">
        <f>1.2799/N101</f>
        <v>2.7823913043478261</v>
      </c>
    </row>
    <row r="104" spans="1:14">
      <c r="A104" s="3386"/>
      <c r="B104" s="2894">
        <v>3</v>
      </c>
      <c r="C104" s="2895">
        <f>1.1594/C101</f>
        <v>2.5204347826086955</v>
      </c>
      <c r="D104" s="2895">
        <f>1.1594/D101</f>
        <v>2.5204347826086955</v>
      </c>
      <c r="E104" s="2895">
        <f>1.0788/E101</f>
        <v>2.3452173913043475</v>
      </c>
      <c r="F104" s="2895">
        <f>1.0788/F101</f>
        <v>2.3452173913043475</v>
      </c>
      <c r="G104" s="2895">
        <f>1.0788/G101</f>
        <v>2.3452173913043475</v>
      </c>
      <c r="H104" s="2895">
        <f>1.0788/H101</f>
        <v>2.3452173913043475</v>
      </c>
      <c r="I104" s="2895">
        <f>1.0788/I101</f>
        <v>2.3452173913043475</v>
      </c>
      <c r="J104" s="2895">
        <f>1.0072/J101</f>
        <v>2.1895652173913045</v>
      </c>
      <c r="K104" s="2895">
        <f>1.0072/K101</f>
        <v>2.1895652173913045</v>
      </c>
      <c r="L104" s="2895">
        <f>1.0072/L101</f>
        <v>2.1895652173913045</v>
      </c>
      <c r="M104" s="2895">
        <f>1.0072/M101</f>
        <v>2.1895652173913045</v>
      </c>
      <c r="N104" s="2895">
        <f>1.0072/N101</f>
        <v>2.1895652173913045</v>
      </c>
    </row>
    <row r="105" spans="1:14">
      <c r="A105" s="3386"/>
      <c r="B105" s="2894">
        <v>4</v>
      </c>
      <c r="C105" s="2895">
        <f>0.9622/C101</f>
        <v>2.0917391304347825</v>
      </c>
      <c r="D105" s="2895">
        <f>0.9622/D101</f>
        <v>2.0917391304347825</v>
      </c>
      <c r="E105" s="2895">
        <f>0.8656/E101</f>
        <v>1.8817391304347826</v>
      </c>
      <c r="F105" s="2895">
        <f>0.8656/F101</f>
        <v>1.8817391304347826</v>
      </c>
      <c r="G105" s="2895">
        <f>0.8656/G101</f>
        <v>1.8817391304347826</v>
      </c>
      <c r="H105" s="2895">
        <f>0.8656/H101</f>
        <v>1.8817391304347826</v>
      </c>
      <c r="I105" s="2895">
        <f>0.8656/I101</f>
        <v>1.8817391304347826</v>
      </c>
      <c r="J105" s="2895">
        <f>0.7525/J101</f>
        <v>1.6358695652173911</v>
      </c>
      <c r="K105" s="2895">
        <f>0.7525/K101</f>
        <v>1.6358695652173911</v>
      </c>
      <c r="L105" s="2895">
        <f>0.7525/L101</f>
        <v>1.6358695652173911</v>
      </c>
      <c r="M105" s="2895">
        <f>0.7525/M101</f>
        <v>1.6358695652173911</v>
      </c>
      <c r="N105" s="2895">
        <f>0.7525/N101</f>
        <v>1.6358695652173911</v>
      </c>
    </row>
    <row r="106" spans="1:14">
      <c r="A106" s="3386"/>
      <c r="B106" s="2894">
        <v>5</v>
      </c>
      <c r="C106" s="2895">
        <f>0.8417/C101</f>
        <v>1.8297826086956521</v>
      </c>
      <c r="D106" s="2895">
        <f>0.8417/D101</f>
        <v>1.8297826086956521</v>
      </c>
      <c r="E106" s="2895">
        <f>0.7371/E101</f>
        <v>1.602391304347826</v>
      </c>
      <c r="F106" s="2895">
        <f>0.7371/F101</f>
        <v>1.602391304347826</v>
      </c>
      <c r="G106" s="2895">
        <f>0.7371/G101</f>
        <v>1.602391304347826</v>
      </c>
      <c r="H106" s="2895">
        <f>0.7371/H101</f>
        <v>1.602391304347826</v>
      </c>
      <c r="I106" s="2895">
        <f>0.7371/I101</f>
        <v>1.602391304347826</v>
      </c>
      <c r="J106" s="2895">
        <f>0.5659/J101</f>
        <v>1.2302173913043477</v>
      </c>
      <c r="K106" s="2895">
        <f>0.5659/K101</f>
        <v>1.2302173913043477</v>
      </c>
      <c r="L106" s="2895">
        <f>0.5659/L101</f>
        <v>1.2302173913043477</v>
      </c>
      <c r="M106" s="2895">
        <f>0.5659/M101</f>
        <v>1.2302173913043477</v>
      </c>
      <c r="N106" s="2895">
        <f>0.5659/N101</f>
        <v>1.2302173913043477</v>
      </c>
    </row>
    <row r="107" spans="1:14">
      <c r="A107" s="3386"/>
      <c r="B107" s="2894">
        <v>6</v>
      </c>
      <c r="C107" s="2895">
        <f>0.7608/C101</f>
        <v>1.653913043478261</v>
      </c>
      <c r="D107" s="2895">
        <f>0.7608/D101</f>
        <v>1.653913043478261</v>
      </c>
      <c r="E107" s="2895">
        <f>0.6482/E101</f>
        <v>1.4091304347826086</v>
      </c>
      <c r="F107" s="2895">
        <f>0.6482/F101</f>
        <v>1.4091304347826086</v>
      </c>
      <c r="G107" s="2895">
        <f>0.6482/G101</f>
        <v>1.4091304347826086</v>
      </c>
      <c r="H107" s="2895">
        <f>0.6482/H101</f>
        <v>1.4091304347826086</v>
      </c>
      <c r="I107" s="2895">
        <f>0.6482/I101</f>
        <v>1.4091304347826086</v>
      </c>
      <c r="J107" s="2895">
        <f>0.4525/J101</f>
        <v>0.98369565217391308</v>
      </c>
      <c r="K107" s="2895">
        <f>0.4525/K101</f>
        <v>0.98369565217391308</v>
      </c>
      <c r="L107" s="2895">
        <f>0.4525/L101</f>
        <v>0.98369565217391308</v>
      </c>
      <c r="M107" s="2895">
        <f>0.4525/M101</f>
        <v>0.98369565217391308</v>
      </c>
      <c r="N107" s="2895">
        <f>0.4525/N101</f>
        <v>0.98369565217391308</v>
      </c>
    </row>
    <row r="108" spans="1:14">
      <c r="A108" s="3386"/>
      <c r="B108" s="3240"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87"/>
      <c r="B109" s="3241"/>
      <c r="C109" s="2897">
        <f>(-0.163*(C108^2)-0.59*C108+7617)*(10^(-4))/C101</f>
        <v>1.6558695652173914</v>
      </c>
      <c r="D109" s="2897">
        <f>(-0.163*(D108^2)-0.59*D108+7617)*(10^(-4))/D101</f>
        <v>1.6558695652173914</v>
      </c>
      <c r="E109" s="2897">
        <f>(-0.161*(E108^2)-7.509*E108+6533)*(10^(-4))/E101</f>
        <v>1.4202173913043477</v>
      </c>
      <c r="F109" s="2897">
        <f>(-0.161*(F108^2)-7.509*F108+6533)*(10^(-4))/F101</f>
        <v>1.4202173913043477</v>
      </c>
      <c r="G109" s="2897">
        <f>(-0.161*(G108^2)-7.509*G108+6533)*(10^(-4))/G101</f>
        <v>1.4202173913043477</v>
      </c>
      <c r="H109" s="2897">
        <f>(-0.161*(H108^2)-7.509*H108+6533)*(10^(-4))/H101</f>
        <v>1.4202173913043477</v>
      </c>
      <c r="I109" s="2897">
        <f>(-0.161*(I108^2)-7.509*I108+6533)*(10^(-4))/I101</f>
        <v>1.4202173913043477</v>
      </c>
      <c r="J109" s="2897">
        <f>(-0.214*(J108^2)-21.991*J108+4665)*(10^(-4))/J101</f>
        <v>1.0141304347826088</v>
      </c>
      <c r="K109" s="2897">
        <f>(-0.214*(K108^2)-21.991*K108+4665)*(10^(-4))/K101</f>
        <v>1.0141304347826088</v>
      </c>
      <c r="L109" s="2897">
        <f>(-0.214*(L108^2)-21.991*L108+4665)*(10^(-4))/L101</f>
        <v>1.0141304347826088</v>
      </c>
      <c r="M109" s="2897">
        <f>(-0.214*(M108^2)-21.991*M108+4665)*(10^(-4))/M101</f>
        <v>1.0141304347826088</v>
      </c>
      <c r="N109" s="2897">
        <f>(-0.214*(N108^2)-21.991*N108+4665)*(10^(-4))/N101</f>
        <v>1.0141304347826088</v>
      </c>
    </row>
    <row r="110" spans="1:14">
      <c r="A110" s="3383" t="s">
        <v>2969</v>
      </c>
      <c r="B110" s="3383"/>
      <c r="C110" s="3383"/>
      <c r="D110" s="3383"/>
      <c r="E110" s="3383"/>
      <c r="F110" s="3383"/>
      <c r="G110" s="3383"/>
      <c r="H110" s="3383"/>
      <c r="I110" s="3383"/>
      <c r="J110" s="3383"/>
      <c r="K110" s="2900"/>
      <c r="L110" s="2900"/>
      <c r="M110" s="2900"/>
      <c r="N110" s="2900"/>
    </row>
    <row r="112" spans="1:14" ht="13.5" thickBot="1"/>
    <row r="113" spans="1:13" ht="25.5" thickBot="1">
      <c r="A113" s="903" t="s">
        <v>2970</v>
      </c>
      <c r="B113" s="1290">
        <f>G3</f>
        <v>0.46</v>
      </c>
      <c r="C113" s="904" t="s">
        <v>2971</v>
      </c>
      <c r="D113" s="905">
        <f>SUMPRODUCT((A115:A118=F113)*(B114:M114=H113)*B115:M118)</f>
        <v>0</v>
      </c>
      <c r="E113" s="2723" t="s">
        <v>2801</v>
      </c>
      <c r="F113" s="2902">
        <f>E2</f>
        <v>0</v>
      </c>
      <c r="G113" s="2723" t="s">
        <v>2802</v>
      </c>
      <c r="H113" s="2902">
        <f>G2</f>
        <v>0</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2866</v>
      </c>
      <c r="B115" s="910">
        <f>ROUND(0.9335-0.0094*B113,4)</f>
        <v>0.92920000000000003</v>
      </c>
      <c r="C115" s="910">
        <f>B115</f>
        <v>0.92920000000000003</v>
      </c>
      <c r="D115" s="910">
        <f>ROUND(0.8331-0.0109*B113,4)</f>
        <v>0.82809999999999995</v>
      </c>
      <c r="E115" s="910">
        <f>D115</f>
        <v>0.82809999999999995</v>
      </c>
      <c r="F115" s="910">
        <f>E115</f>
        <v>0.82809999999999995</v>
      </c>
      <c r="G115" s="910">
        <f>F115</f>
        <v>0.82809999999999995</v>
      </c>
      <c r="H115" s="910">
        <f>G115</f>
        <v>0.82809999999999995</v>
      </c>
      <c r="I115" s="910">
        <f>ROUND(0.689-0.0155*B113,4)</f>
        <v>0.68189999999999995</v>
      </c>
      <c r="J115" s="910">
        <f t="shared" ref="J115:M118" si="33">I115</f>
        <v>0.68189999999999995</v>
      </c>
      <c r="K115" s="910">
        <f t="shared" si="33"/>
        <v>0.68189999999999995</v>
      </c>
      <c r="L115" s="910">
        <f t="shared" si="33"/>
        <v>0.68189999999999995</v>
      </c>
      <c r="M115" s="911">
        <f t="shared" si="33"/>
        <v>0.68189999999999995</v>
      </c>
    </row>
    <row r="116" spans="1:13">
      <c r="A116" s="909" t="s">
        <v>2867</v>
      </c>
      <c r="B116" s="910">
        <f>ROUND(0.949-0.012*B113,4)</f>
        <v>0.94350000000000001</v>
      </c>
      <c r="C116" s="910">
        <f>B116</f>
        <v>0.94350000000000001</v>
      </c>
      <c r="D116" s="910">
        <f>ROUND(0.8567-0.013*B113,4)</f>
        <v>0.85070000000000001</v>
      </c>
      <c r="E116" s="910">
        <f t="shared" ref="E116:H117" si="34">D116</f>
        <v>0.85070000000000001</v>
      </c>
      <c r="F116" s="910">
        <f t="shared" si="34"/>
        <v>0.85070000000000001</v>
      </c>
      <c r="G116" s="910">
        <f t="shared" si="34"/>
        <v>0.85070000000000001</v>
      </c>
      <c r="H116" s="910">
        <f t="shared" si="34"/>
        <v>0.85070000000000001</v>
      </c>
      <c r="I116" s="910">
        <f>ROUND(0.7694-0.014*B113,4)</f>
        <v>0.76300000000000001</v>
      </c>
      <c r="J116" s="910">
        <f t="shared" si="33"/>
        <v>0.76300000000000001</v>
      </c>
      <c r="K116" s="910">
        <f t="shared" si="33"/>
        <v>0.76300000000000001</v>
      </c>
      <c r="L116" s="910">
        <f t="shared" si="33"/>
        <v>0.76300000000000001</v>
      </c>
      <c r="M116" s="911">
        <f t="shared" si="33"/>
        <v>0.76300000000000001</v>
      </c>
    </row>
    <row r="117" spans="1:13">
      <c r="A117" s="909" t="s">
        <v>2868</v>
      </c>
      <c r="B117" s="910">
        <f>ROUND(0.8808-0.006*B113,4)</f>
        <v>0.878</v>
      </c>
      <c r="C117" s="910">
        <f>B117</f>
        <v>0.878</v>
      </c>
      <c r="D117" s="910">
        <f>ROUND(0.8748-0.008*B113,4)</f>
        <v>0.87109999999999999</v>
      </c>
      <c r="E117" s="910">
        <f t="shared" si="34"/>
        <v>0.87109999999999999</v>
      </c>
      <c r="F117" s="910">
        <f t="shared" si="34"/>
        <v>0.87109999999999999</v>
      </c>
      <c r="G117" s="910">
        <f t="shared" si="34"/>
        <v>0.87109999999999999</v>
      </c>
      <c r="H117" s="910">
        <f t="shared" si="34"/>
        <v>0.87109999999999999</v>
      </c>
      <c r="I117" s="910">
        <f>ROUND(0.7412-0.0095*B113,4)</f>
        <v>0.73680000000000001</v>
      </c>
      <c r="J117" s="910">
        <f t="shared" si="33"/>
        <v>0.73680000000000001</v>
      </c>
      <c r="K117" s="910">
        <f t="shared" si="33"/>
        <v>0.73680000000000001</v>
      </c>
      <c r="L117" s="910">
        <f t="shared" si="33"/>
        <v>0.73680000000000001</v>
      </c>
      <c r="M117" s="911">
        <f t="shared" si="33"/>
        <v>0.73680000000000001</v>
      </c>
    </row>
    <row r="118" spans="1:13" ht="13.5" thickBot="1">
      <c r="A118" s="714" t="s">
        <v>2869</v>
      </c>
      <c r="B118" s="912">
        <f>ROUND(0.7275-0.01*B113,4)</f>
        <v>0.72289999999999999</v>
      </c>
      <c r="C118" s="912">
        <f>B118</f>
        <v>0.72289999999999999</v>
      </c>
      <c r="D118" s="912">
        <f>ROUND(0.7043-0.012*B113,4)</f>
        <v>0.69879999999999998</v>
      </c>
      <c r="E118" s="912">
        <f>D118</f>
        <v>0.69879999999999998</v>
      </c>
      <c r="F118" s="912">
        <f>E118</f>
        <v>0.69879999999999998</v>
      </c>
      <c r="G118" s="912">
        <f>ROUND(0.6299-0.0122*B113,4)</f>
        <v>0.62429999999999997</v>
      </c>
      <c r="H118" s="912">
        <f>G118</f>
        <v>0.62429999999999997</v>
      </c>
      <c r="I118" s="912">
        <f>ROUND(0.5667-0.0136*B113,4)</f>
        <v>0.56040000000000001</v>
      </c>
      <c r="J118" s="912">
        <f t="shared" si="33"/>
        <v>0.56040000000000001</v>
      </c>
      <c r="K118" s="912">
        <f t="shared" si="33"/>
        <v>0.56040000000000001</v>
      </c>
      <c r="L118" s="912">
        <f t="shared" si="33"/>
        <v>0.56040000000000001</v>
      </c>
      <c r="M118" s="913">
        <f t="shared" si="33"/>
        <v>0.56040000000000001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963"/>
      <c r="B4" s="3061" t="s">
        <v>1630</v>
      </c>
      <c r="C4" s="3061"/>
      <c r="D4" s="3061"/>
      <c r="E4" s="1963"/>
    </row>
    <row r="5" spans="1:5" ht="16.5" thickTop="1">
      <c r="A5" s="1961"/>
      <c r="B5" s="3059" t="s">
        <v>1622</v>
      </c>
      <c r="C5" s="1964" t="s">
        <v>1623</v>
      </c>
      <c r="D5" s="1043">
        <f ca="1">'结果表（公寓）'!H101</f>
        <v>26095</v>
      </c>
      <c r="E5" s="1961"/>
    </row>
    <row r="6" spans="1:5" ht="15.75">
      <c r="A6" s="1961"/>
      <c r="B6" s="3059"/>
      <c r="C6" s="1964" t="s">
        <v>1624</v>
      </c>
      <c r="D6" s="1043" t="str">
        <f ca="1">NUMBERSTRING(INT(D5*10000),2)&amp;"元整"</f>
        <v>贰亿陆仟零玖拾伍万元整</v>
      </c>
      <c r="E6" s="1961"/>
    </row>
    <row r="7" spans="1:5" ht="15.75">
      <c r="A7" s="1961"/>
      <c r="B7" s="3064"/>
      <c r="C7" s="1965" t="s">
        <v>1625</v>
      </c>
      <c r="D7" s="1044">
        <f ca="1">'结果表（公寓）'!H102</f>
        <v>9295</v>
      </c>
      <c r="E7" s="1961"/>
    </row>
    <row r="8" spans="1:5" ht="15.75">
      <c r="A8" s="1961"/>
      <c r="B8" s="3065" t="str">
        <f>'结果表（公寓）'!E103</f>
        <v>2.估价师知悉的法定优先受偿款</v>
      </c>
      <c r="C8" s="1966" t="s">
        <v>1626</v>
      </c>
      <c r="D8" s="1044">
        <f>'结果表（公寓）'!H103</f>
        <v>0</v>
      </c>
      <c r="E8" s="1961"/>
    </row>
    <row r="9" spans="1:5" ht="15.75">
      <c r="A9" s="1961"/>
      <c r="B9" s="3067"/>
      <c r="C9" s="1964" t="s">
        <v>1624</v>
      </c>
      <c r="D9" s="1043" t="str">
        <f>NUMBERSTRING(INT(D8*10000),2)&amp;"元整"</f>
        <v>零元整</v>
      </c>
      <c r="E9" s="1961"/>
    </row>
    <row r="10" spans="1:5" ht="15">
      <c r="A10" s="1961"/>
      <c r="B10" s="1967" t="s">
        <v>1629</v>
      </c>
      <c r="C10" s="1968" t="s">
        <v>1627</v>
      </c>
      <c r="D10" s="1045">
        <f>'结果表（公寓）'!H104</f>
        <v>0</v>
      </c>
      <c r="E10" s="1961"/>
    </row>
    <row r="11" spans="1:5" ht="15">
      <c r="A11" s="1961"/>
      <c r="B11" s="1967" t="s">
        <v>1631</v>
      </c>
      <c r="C11" s="1968" t="s">
        <v>1632</v>
      </c>
      <c r="D11" s="1045">
        <f>'结果表（公寓）'!H105</f>
        <v>0</v>
      </c>
      <c r="E11" s="1961"/>
    </row>
    <row r="12" spans="1:5" ht="15">
      <c r="A12" s="1961"/>
      <c r="B12" s="1967" t="s">
        <v>1633</v>
      </c>
      <c r="C12" s="1968" t="s">
        <v>1632</v>
      </c>
      <c r="D12" s="1045">
        <f>'结果表（公寓）'!H106</f>
        <v>0</v>
      </c>
      <c r="E12" s="1961"/>
    </row>
    <row r="13" spans="1:5" ht="15.75">
      <c r="A13" s="1961"/>
      <c r="B13" s="3058" t="str">
        <f>'结果表（公寓）'!E107</f>
        <v>3.房地产抵押价值</v>
      </c>
      <c r="C13" s="1969" t="s">
        <v>1623</v>
      </c>
      <c r="D13" s="1046">
        <f ca="1">'结果表（公寓）'!H107</f>
        <v>26095</v>
      </c>
      <c r="E13" s="1961"/>
    </row>
    <row r="14" spans="1:5" ht="15.75">
      <c r="A14" s="1961"/>
      <c r="B14" s="3059"/>
      <c r="C14" s="1964" t="s">
        <v>1624</v>
      </c>
      <c r="D14" s="1043" t="str">
        <f ca="1">NUMBERSTRING(INT(D13*10000),2)&amp;"元整"</f>
        <v>贰亿陆仟零玖拾伍万元整</v>
      </c>
      <c r="E14" s="1961"/>
    </row>
    <row r="15" spans="1:5" ht="15">
      <c r="A15" s="1961"/>
      <c r="B15" s="3064"/>
      <c r="C15" s="1965" t="s">
        <v>1634</v>
      </c>
      <c r="D15" s="1055">
        <f ca="1">'结果表（公寓）'!H108</f>
        <v>8474</v>
      </c>
      <c r="E15" s="1961"/>
    </row>
    <row r="16" spans="1:5" ht="15">
      <c r="A16" s="1961"/>
      <c r="B16" s="3065" t="str">
        <f>'结果表（公寓）'!E109</f>
        <v>——</v>
      </c>
      <c r="C16" s="1969" t="s">
        <v>1635</v>
      </c>
      <c r="D16" s="1970" t="str">
        <f>'结果表（公寓）'!H109</f>
        <v>——</v>
      </c>
      <c r="E16" s="1961"/>
    </row>
    <row r="17" spans="1:5" ht="15.75">
      <c r="A17" s="1961"/>
      <c r="B17" s="3066"/>
      <c r="C17" s="1964" t="s">
        <v>1636</v>
      </c>
      <c r="D17" s="1043" t="e">
        <f>NUMBERSTRING(INT(D16*10000),2)&amp;"元整"</f>
        <v>#VALUE!</v>
      </c>
      <c r="E17" s="1961"/>
    </row>
    <row r="18" spans="1:5" ht="15">
      <c r="A18" s="1961"/>
      <c r="B18" s="3067"/>
      <c r="C18" s="1965" t="s">
        <v>1625</v>
      </c>
      <c r="D18" s="1055" t="str">
        <f>'结果表（公寓）'!H110</f>
        <v>——</v>
      </c>
      <c r="E18" s="1961"/>
    </row>
    <row r="19" spans="1:5" ht="15.75">
      <c r="A19" s="1961"/>
      <c r="B19" s="3058" t="str">
        <f>'结果表（公寓）'!E111</f>
        <v>——</v>
      </c>
      <c r="C19" s="1969" t="s">
        <v>1623</v>
      </c>
      <c r="D19" s="1044" t="str">
        <f>'结果表（公寓）'!H111</f>
        <v>——</v>
      </c>
      <c r="E19" s="1961"/>
    </row>
    <row r="20" spans="1:5" ht="15.75">
      <c r="A20" s="1961"/>
      <c r="B20" s="3059"/>
      <c r="C20" s="1964" t="s">
        <v>1636</v>
      </c>
      <c r="D20" s="1043" t="e">
        <f>NUMBERSTRING(INT(D19*10000),2)&amp;"元整"</f>
        <v>#VALUE!</v>
      </c>
      <c r="E20" s="1961"/>
    </row>
    <row r="21" spans="1:5" ht="15.75" thickBot="1">
      <c r="A21" s="1961"/>
      <c r="B21" s="3060"/>
      <c r="C21" s="1971" t="s">
        <v>1634</v>
      </c>
      <c r="D21" s="1056" t="str">
        <f>'结果表（公寓）'!H112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91" t="s">
        <v>183</v>
      </c>
      <c r="B18" s="882" t="s">
        <v>560</v>
      </c>
      <c r="C18" s="883" t="s">
        <v>561</v>
      </c>
      <c r="D18" s="884"/>
      <c r="E18" s="882">
        <v>1</v>
      </c>
      <c r="F18" s="885" t="s">
        <v>562</v>
      </c>
      <c r="G18" s="886"/>
      <c r="H18" s="878"/>
      <c r="I18" s="878"/>
    </row>
    <row r="19" spans="1:9" s="887" customFormat="1" ht="19.5" customHeight="1">
      <c r="A19" s="3391"/>
      <c r="B19" s="3391" t="s">
        <v>563</v>
      </c>
      <c r="C19" s="883" t="s">
        <v>564</v>
      </c>
      <c r="D19" s="884"/>
      <c r="E19" s="882">
        <v>0.9</v>
      </c>
      <c r="F19" s="885" t="s">
        <v>565</v>
      </c>
      <c r="G19" s="886"/>
      <c r="H19" s="878"/>
      <c r="I19" s="878"/>
    </row>
    <row r="20" spans="1:9" s="887" customFormat="1" ht="19.5" customHeight="1">
      <c r="A20" s="3391"/>
      <c r="B20" s="3391"/>
      <c r="C20" s="883" t="s">
        <v>566</v>
      </c>
      <c r="D20" s="884"/>
      <c r="E20" s="882">
        <v>1.1000000000000001</v>
      </c>
      <c r="F20" s="885" t="s">
        <v>567</v>
      </c>
      <c r="G20" s="886"/>
      <c r="H20" s="878"/>
      <c r="I20" s="878"/>
    </row>
    <row r="21" spans="1:9" s="887" customFormat="1" ht="19.5" customHeight="1">
      <c r="A21" s="3391"/>
      <c r="B21" s="3391"/>
      <c r="C21" s="883" t="s">
        <v>568</v>
      </c>
      <c r="D21" s="884"/>
      <c r="E21" s="882">
        <v>0.8</v>
      </c>
      <c r="F21" s="885" t="s">
        <v>569</v>
      </c>
      <c r="G21" s="886"/>
      <c r="H21" s="878"/>
      <c r="I21" s="878"/>
    </row>
    <row r="22" spans="1:9" s="887" customFormat="1" ht="19.5" customHeight="1">
      <c r="A22" s="3391"/>
      <c r="B22" s="3391"/>
      <c r="C22" s="883" t="s">
        <v>570</v>
      </c>
      <c r="D22" s="884"/>
      <c r="E22" s="882">
        <v>0.5</v>
      </c>
      <c r="F22" s="885"/>
      <c r="G22" s="886"/>
      <c r="H22" s="878"/>
      <c r="I22" s="878"/>
    </row>
    <row r="23" spans="1:9" s="887" customFormat="1" ht="19.5" customHeight="1">
      <c r="A23" s="3391" t="s">
        <v>184</v>
      </c>
      <c r="B23" s="882" t="s">
        <v>560</v>
      </c>
      <c r="C23" s="883" t="s">
        <v>571</v>
      </c>
      <c r="D23" s="884"/>
      <c r="E23" s="882">
        <v>1</v>
      </c>
      <c r="F23" s="885" t="s">
        <v>572</v>
      </c>
      <c r="G23" s="886"/>
      <c r="H23" s="878"/>
      <c r="I23" s="878"/>
    </row>
    <row r="24" spans="1:9" s="887" customFormat="1" ht="19.5" customHeight="1">
      <c r="A24" s="3391"/>
      <c r="B24" s="3391" t="s">
        <v>563</v>
      </c>
      <c r="C24" s="883" t="s">
        <v>573</v>
      </c>
      <c r="D24" s="884"/>
      <c r="E24" s="882">
        <v>0.5</v>
      </c>
      <c r="F24" s="885"/>
      <c r="G24" s="886"/>
      <c r="H24" s="878"/>
      <c r="I24" s="878"/>
    </row>
    <row r="25" spans="1:9" s="887" customFormat="1" ht="19.5" customHeight="1">
      <c r="A25" s="3391"/>
      <c r="B25" s="3391"/>
      <c r="C25" s="883" t="s">
        <v>574</v>
      </c>
      <c r="D25" s="884"/>
      <c r="E25" s="882">
        <v>1.1000000000000001</v>
      </c>
      <c r="F25" s="885"/>
      <c r="G25" s="886"/>
      <c r="H25" s="878"/>
      <c r="I25" s="878"/>
    </row>
    <row r="26" spans="1:9" s="887" customFormat="1" ht="19.5" customHeight="1">
      <c r="A26" s="3391"/>
      <c r="B26" s="3391"/>
      <c r="C26" s="883" t="s">
        <v>575</v>
      </c>
      <c r="D26" s="884"/>
      <c r="E26" s="882">
        <v>1.1000000000000001</v>
      </c>
      <c r="F26" s="885"/>
      <c r="G26" s="886"/>
      <c r="H26" s="878"/>
      <c r="I26" s="878"/>
    </row>
    <row r="27" spans="1:9" s="887" customFormat="1" ht="19.5" customHeight="1">
      <c r="A27" s="3391"/>
      <c r="B27" s="3391"/>
      <c r="C27" s="883" t="s">
        <v>576</v>
      </c>
      <c r="D27" s="884"/>
      <c r="E27" s="882">
        <v>0.9</v>
      </c>
      <c r="F27" s="885" t="s">
        <v>577</v>
      </c>
      <c r="G27" s="886"/>
      <c r="H27" s="878"/>
      <c r="I27" s="878"/>
    </row>
    <row r="28" spans="1:9" s="887" customFormat="1" ht="19.5" customHeight="1">
      <c r="A28" s="3391"/>
      <c r="B28" s="3391"/>
      <c r="C28" s="883" t="s">
        <v>578</v>
      </c>
      <c r="D28" s="884"/>
      <c r="E28" s="882">
        <v>0.9</v>
      </c>
      <c r="F28" s="885" t="s">
        <v>579</v>
      </c>
      <c r="G28" s="886"/>
      <c r="H28" s="878"/>
      <c r="I28" s="878"/>
    </row>
    <row r="29" spans="1:9" s="887" customFormat="1" ht="19.5" customHeight="1">
      <c r="A29" s="3391"/>
      <c r="B29" s="3391"/>
      <c r="C29" s="883" t="s">
        <v>580</v>
      </c>
      <c r="D29" s="884"/>
      <c r="E29" s="882">
        <v>0.9</v>
      </c>
      <c r="F29" s="885" t="s">
        <v>581</v>
      </c>
      <c r="G29" s="886"/>
      <c r="H29" s="878"/>
      <c r="I29" s="878"/>
    </row>
    <row r="30" spans="1:9" s="887" customFormat="1" ht="19.5" customHeight="1">
      <c r="A30" s="3391"/>
      <c r="B30" s="3391"/>
      <c r="C30" s="883" t="s">
        <v>582</v>
      </c>
      <c r="D30" s="884"/>
      <c r="E30" s="882">
        <v>0.9</v>
      </c>
      <c r="F30" s="885" t="s">
        <v>583</v>
      </c>
      <c r="G30" s="886"/>
      <c r="H30" s="878"/>
      <c r="I30" s="878"/>
    </row>
    <row r="31" spans="1:9" s="887" customFormat="1" ht="19.5" customHeight="1">
      <c r="A31" s="3391"/>
      <c r="B31" s="3391"/>
      <c r="C31" s="883" t="s">
        <v>584</v>
      </c>
      <c r="D31" s="884"/>
      <c r="E31" s="882">
        <v>0.8</v>
      </c>
      <c r="F31" s="885" t="s">
        <v>585</v>
      </c>
      <c r="G31" s="886"/>
      <c r="H31" s="878"/>
      <c r="I31" s="878"/>
    </row>
    <row r="32" spans="1:9" s="887" customFormat="1" ht="19.5" customHeight="1">
      <c r="A32" s="3391"/>
      <c r="B32" s="3391"/>
      <c r="C32" s="883" t="s">
        <v>586</v>
      </c>
      <c r="D32" s="884"/>
      <c r="E32" s="882">
        <v>0.8</v>
      </c>
      <c r="F32" s="885" t="s">
        <v>587</v>
      </c>
      <c r="G32" s="886"/>
      <c r="H32" s="878"/>
      <c r="I32" s="878"/>
    </row>
    <row r="33" spans="1:9" s="887" customFormat="1" ht="19.5" customHeight="1">
      <c r="A33" s="3391" t="s">
        <v>185</v>
      </c>
      <c r="B33" s="882" t="s">
        <v>560</v>
      </c>
      <c r="C33" s="883" t="s">
        <v>588</v>
      </c>
      <c r="D33" s="884"/>
      <c r="E33" s="882">
        <v>1</v>
      </c>
      <c r="F33" s="885" t="s">
        <v>589</v>
      </c>
      <c r="G33" s="886"/>
      <c r="H33" s="878"/>
      <c r="I33" s="878"/>
    </row>
    <row r="34" spans="1:9" s="887" customFormat="1" ht="19.5" customHeight="1">
      <c r="A34" s="3391"/>
      <c r="B34" s="882" t="s">
        <v>563</v>
      </c>
      <c r="C34" s="883" t="s">
        <v>590</v>
      </c>
      <c r="D34" s="884"/>
      <c r="E34" s="882">
        <v>1.5</v>
      </c>
      <c r="F34" s="885" t="s">
        <v>591</v>
      </c>
      <c r="G34" s="886"/>
      <c r="H34" s="878"/>
      <c r="I34" s="878"/>
    </row>
    <row r="35" spans="1:9" s="887" customFormat="1" ht="19.5" customHeight="1">
      <c r="A35" s="3391" t="s">
        <v>186</v>
      </c>
      <c r="B35" s="882" t="s">
        <v>560</v>
      </c>
      <c r="C35" s="883" t="s">
        <v>592</v>
      </c>
      <c r="D35" s="884"/>
      <c r="E35" s="882">
        <v>1</v>
      </c>
      <c r="F35" s="885" t="s">
        <v>593</v>
      </c>
      <c r="G35" s="886"/>
      <c r="H35" s="878"/>
      <c r="I35" s="878"/>
    </row>
    <row r="36" spans="1:9" s="887" customFormat="1" ht="19.5" customHeight="1">
      <c r="A36" s="3391"/>
      <c r="B36" s="3391" t="s">
        <v>563</v>
      </c>
      <c r="C36" s="883" t="s">
        <v>594</v>
      </c>
      <c r="D36" s="884"/>
      <c r="E36" s="882">
        <v>1</v>
      </c>
      <c r="F36" s="885" t="s">
        <v>595</v>
      </c>
      <c r="G36" s="886"/>
      <c r="H36" s="878"/>
      <c r="I36" s="878"/>
    </row>
    <row r="37" spans="1:9" s="887" customFormat="1" ht="19.5" customHeight="1">
      <c r="A37" s="3391"/>
      <c r="B37" s="3391"/>
      <c r="C37" s="883" t="s">
        <v>596</v>
      </c>
      <c r="D37" s="884"/>
      <c r="E37" s="882">
        <v>1.5</v>
      </c>
      <c r="F37" s="885" t="s">
        <v>597</v>
      </c>
      <c r="G37" s="886"/>
      <c r="H37" s="878"/>
      <c r="I37" s="878"/>
    </row>
    <row r="38" spans="1:9" s="887" customFormat="1" ht="19.5" customHeight="1">
      <c r="A38" s="3391"/>
      <c r="B38" s="3391"/>
      <c r="C38" s="883" t="s">
        <v>598</v>
      </c>
      <c r="D38" s="884"/>
      <c r="E38" s="882">
        <v>1</v>
      </c>
      <c r="F38" s="885" t="s">
        <v>599</v>
      </c>
      <c r="G38" s="886"/>
      <c r="H38" s="878"/>
      <c r="I38" s="878"/>
    </row>
    <row r="39" spans="1:9" s="887" customFormat="1" ht="19.5" customHeight="1">
      <c r="A39" s="3391"/>
      <c r="B39" s="33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91" t="s">
        <v>614</v>
      </c>
      <c r="C61" s="818" t="s">
        <v>615</v>
      </c>
      <c r="D61" s="818" t="s">
        <v>616</v>
      </c>
      <c r="E61" s="895">
        <v>0.5</v>
      </c>
      <c r="F61" s="882">
        <v>80</v>
      </c>
    </row>
    <row r="62" spans="1:8" s="878" customFormat="1" ht="24">
      <c r="A62" s="882">
        <v>2</v>
      </c>
      <c r="B62" s="3391"/>
      <c r="C62" s="818" t="s">
        <v>617</v>
      </c>
      <c r="D62" s="818" t="s">
        <v>618</v>
      </c>
      <c r="E62" s="895">
        <v>0.5</v>
      </c>
      <c r="F62" s="882">
        <v>80</v>
      </c>
    </row>
    <row r="63" spans="1:8" s="878" customFormat="1" ht="36">
      <c r="A63" s="882">
        <v>3</v>
      </c>
      <c r="B63" s="3391"/>
      <c r="C63" s="818" t="s">
        <v>619</v>
      </c>
      <c r="D63" s="818" t="s">
        <v>620</v>
      </c>
      <c r="E63" s="895">
        <v>0.5</v>
      </c>
      <c r="F63" s="882">
        <v>80</v>
      </c>
    </row>
    <row r="64" spans="1:8" s="878" customFormat="1" ht="36">
      <c r="A64" s="882">
        <v>4</v>
      </c>
      <c r="B64" s="3391"/>
      <c r="C64" s="818" t="s">
        <v>621</v>
      </c>
      <c r="D64" s="818" t="s">
        <v>622</v>
      </c>
      <c r="E64" s="895">
        <v>0.4</v>
      </c>
      <c r="F64" s="882">
        <v>60</v>
      </c>
    </row>
    <row r="65" spans="1:6" s="878" customFormat="1" ht="36">
      <c r="A65" s="882">
        <v>5</v>
      </c>
      <c r="B65" s="3391"/>
      <c r="C65" s="818" t="s">
        <v>623</v>
      </c>
      <c r="D65" s="818" t="s">
        <v>624</v>
      </c>
      <c r="E65" s="895">
        <v>0.2</v>
      </c>
      <c r="F65" s="882">
        <v>30</v>
      </c>
    </row>
    <row r="66" spans="1:6" s="878" customFormat="1" ht="36">
      <c r="A66" s="882">
        <v>6</v>
      </c>
      <c r="B66" s="3391"/>
      <c r="C66" s="818" t="s">
        <v>625</v>
      </c>
      <c r="D66" s="818" t="s">
        <v>626</v>
      </c>
      <c r="E66" s="895">
        <v>0.3</v>
      </c>
      <c r="F66" s="882">
        <v>50</v>
      </c>
    </row>
    <row r="67" spans="1:6" s="878" customFormat="1" ht="36">
      <c r="A67" s="882">
        <v>7</v>
      </c>
      <c r="B67" s="3391"/>
      <c r="C67" s="818" t="s">
        <v>627</v>
      </c>
      <c r="D67" s="818" t="s">
        <v>628</v>
      </c>
      <c r="E67" s="895">
        <v>0.2</v>
      </c>
      <c r="F67" s="882">
        <v>30</v>
      </c>
    </row>
    <row r="68" spans="1:6" s="878" customFormat="1" ht="36">
      <c r="A68" s="882">
        <v>8</v>
      </c>
      <c r="B68" s="3391"/>
      <c r="C68" s="818" t="s">
        <v>629</v>
      </c>
      <c r="D68" s="818" t="s">
        <v>630</v>
      </c>
      <c r="E68" s="895">
        <v>0.2</v>
      </c>
      <c r="F68" s="882">
        <v>30</v>
      </c>
    </row>
    <row r="69" spans="1:6" s="878" customFormat="1" ht="36">
      <c r="A69" s="882">
        <v>9</v>
      </c>
      <c r="B69" s="3391"/>
      <c r="C69" s="818" t="s">
        <v>631</v>
      </c>
      <c r="D69" s="818" t="s">
        <v>632</v>
      </c>
      <c r="E69" s="895">
        <v>0.2</v>
      </c>
      <c r="F69" s="882">
        <v>30</v>
      </c>
    </row>
    <row r="70" spans="1:6" s="878" customFormat="1" ht="48">
      <c r="A70" s="882">
        <v>10</v>
      </c>
      <c r="B70" s="3391"/>
      <c r="C70" s="818" t="s">
        <v>633</v>
      </c>
      <c r="D70" s="818" t="s">
        <v>634</v>
      </c>
      <c r="E70" s="895">
        <v>0.2</v>
      </c>
      <c r="F70" s="882">
        <v>30</v>
      </c>
    </row>
    <row r="71" spans="1:6" s="878" customFormat="1" ht="48">
      <c r="A71" s="882">
        <v>11</v>
      </c>
      <c r="B71" s="3391"/>
      <c r="C71" s="818" t="s">
        <v>635</v>
      </c>
      <c r="D71" s="818" t="s">
        <v>636</v>
      </c>
      <c r="E71" s="895">
        <v>0.2</v>
      </c>
      <c r="F71" s="882">
        <v>30</v>
      </c>
    </row>
    <row r="72" spans="1:6" s="878" customFormat="1" ht="36">
      <c r="A72" s="882">
        <v>12</v>
      </c>
      <c r="B72" s="3391"/>
      <c r="C72" s="818" t="s">
        <v>637</v>
      </c>
      <c r="D72" s="818" t="s">
        <v>638</v>
      </c>
      <c r="E72" s="895">
        <v>0.5</v>
      </c>
      <c r="F72" s="882">
        <v>80</v>
      </c>
    </row>
    <row r="73" spans="1:6" s="878" customFormat="1" ht="24">
      <c r="A73" s="882">
        <v>13</v>
      </c>
      <c r="B73" s="3391"/>
      <c r="C73" s="818" t="s">
        <v>639</v>
      </c>
      <c r="D73" s="818" t="s">
        <v>640</v>
      </c>
      <c r="E73" s="895">
        <v>0.4</v>
      </c>
      <c r="F73" s="882">
        <v>60</v>
      </c>
    </row>
    <row r="74" spans="1:6" s="878" customFormat="1" ht="24">
      <c r="A74" s="882">
        <v>14</v>
      </c>
      <c r="B74" s="3391"/>
      <c r="C74" s="818" t="s">
        <v>641</v>
      </c>
      <c r="D74" s="818" t="s">
        <v>642</v>
      </c>
      <c r="E74" s="895">
        <v>0.2</v>
      </c>
      <c r="F74" s="882">
        <v>30</v>
      </c>
    </row>
    <row r="75" spans="1:6" s="878" customFormat="1" ht="24">
      <c r="A75" s="882">
        <v>15</v>
      </c>
      <c r="B75" s="3391"/>
      <c r="C75" s="818" t="s">
        <v>643</v>
      </c>
      <c r="D75" s="818" t="s">
        <v>644</v>
      </c>
      <c r="E75" s="895">
        <v>0.2</v>
      </c>
      <c r="F75" s="882">
        <v>30</v>
      </c>
    </row>
    <row r="76" spans="1:6" s="878" customFormat="1" ht="24">
      <c r="A76" s="882">
        <v>16</v>
      </c>
      <c r="B76" s="3391" t="s">
        <v>645</v>
      </c>
      <c r="C76" s="818" t="s">
        <v>646</v>
      </c>
      <c r="D76" s="818" t="s">
        <v>647</v>
      </c>
      <c r="E76" s="895">
        <v>0.5</v>
      </c>
      <c r="F76" s="882">
        <v>80</v>
      </c>
    </row>
    <row r="77" spans="1:6" s="878" customFormat="1" ht="24">
      <c r="A77" s="882">
        <v>17</v>
      </c>
      <c r="B77" s="3391"/>
      <c r="C77" s="818" t="s">
        <v>648</v>
      </c>
      <c r="D77" s="818" t="s">
        <v>649</v>
      </c>
      <c r="E77" s="895">
        <v>0.5</v>
      </c>
      <c r="F77" s="882">
        <v>80</v>
      </c>
    </row>
    <row r="78" spans="1:6" s="878" customFormat="1" ht="24">
      <c r="A78" s="882">
        <v>18</v>
      </c>
      <c r="B78" s="3391"/>
      <c r="C78" s="818" t="s">
        <v>650</v>
      </c>
      <c r="D78" s="818" t="s">
        <v>651</v>
      </c>
      <c r="E78" s="895">
        <v>0.2</v>
      </c>
      <c r="F78" s="882">
        <v>30</v>
      </c>
    </row>
    <row r="79" spans="1:6" s="878" customFormat="1" ht="24">
      <c r="A79" s="882">
        <v>19</v>
      </c>
      <c r="B79" s="3391"/>
      <c r="C79" s="818" t="s">
        <v>652</v>
      </c>
      <c r="D79" s="818" t="s">
        <v>653</v>
      </c>
      <c r="E79" s="895">
        <v>0.5</v>
      </c>
      <c r="F79" s="882">
        <v>80</v>
      </c>
    </row>
    <row r="80" spans="1:6" s="878" customFormat="1" ht="36">
      <c r="A80" s="882">
        <v>20</v>
      </c>
      <c r="B80" s="3391"/>
      <c r="C80" s="818" t="s">
        <v>654</v>
      </c>
      <c r="D80" s="818" t="s">
        <v>655</v>
      </c>
      <c r="E80" s="895">
        <v>0.2</v>
      </c>
      <c r="F80" s="882">
        <v>30</v>
      </c>
    </row>
    <row r="81" spans="1:6" s="878" customFormat="1" ht="36">
      <c r="A81" s="882">
        <v>21</v>
      </c>
      <c r="B81" s="3391"/>
      <c r="C81" s="818" t="s">
        <v>656</v>
      </c>
      <c r="D81" s="818" t="s">
        <v>657</v>
      </c>
      <c r="E81" s="895">
        <v>0.2</v>
      </c>
      <c r="F81" s="882">
        <v>30</v>
      </c>
    </row>
    <row r="82" spans="1:6" s="878" customFormat="1" ht="48">
      <c r="A82" s="882">
        <v>22</v>
      </c>
      <c r="B82" s="3391"/>
      <c r="C82" s="818" t="s">
        <v>658</v>
      </c>
      <c r="D82" s="818" t="s">
        <v>659</v>
      </c>
      <c r="E82" s="895">
        <v>0.2</v>
      </c>
      <c r="F82" s="882">
        <v>30</v>
      </c>
    </row>
    <row r="83" spans="1:6" s="878" customFormat="1" ht="48">
      <c r="A83" s="882">
        <v>23</v>
      </c>
      <c r="B83" s="3391"/>
      <c r="C83" s="818" t="s">
        <v>660</v>
      </c>
      <c r="D83" s="818" t="s">
        <v>661</v>
      </c>
      <c r="E83" s="895">
        <v>0.2</v>
      </c>
      <c r="F83" s="882">
        <v>30</v>
      </c>
    </row>
    <row r="84" spans="1:6" s="878" customFormat="1" ht="36">
      <c r="A84" s="882">
        <v>24</v>
      </c>
      <c r="B84" s="3391"/>
      <c r="C84" s="818" t="s">
        <v>662</v>
      </c>
      <c r="D84" s="818" t="s">
        <v>663</v>
      </c>
      <c r="E84" s="895">
        <v>0.2</v>
      </c>
      <c r="F84" s="882">
        <v>30</v>
      </c>
    </row>
    <row r="85" spans="1:6" s="878" customFormat="1" ht="36">
      <c r="A85" s="882">
        <v>25</v>
      </c>
      <c r="B85" s="3391"/>
      <c r="C85" s="818" t="s">
        <v>664</v>
      </c>
      <c r="D85" s="818" t="s">
        <v>665</v>
      </c>
      <c r="E85" s="895">
        <v>0.5</v>
      </c>
      <c r="F85" s="882">
        <v>80</v>
      </c>
    </row>
    <row r="86" spans="1:6" s="878" customFormat="1" ht="36">
      <c r="A86" s="882">
        <v>26</v>
      </c>
      <c r="B86" s="3391"/>
      <c r="C86" s="818" t="s">
        <v>666</v>
      </c>
      <c r="D86" s="818" t="s">
        <v>667</v>
      </c>
      <c r="E86" s="895">
        <v>0.2</v>
      </c>
      <c r="F86" s="882">
        <v>30</v>
      </c>
    </row>
    <row r="87" spans="1:6" s="878" customFormat="1" ht="36">
      <c r="A87" s="882">
        <v>27</v>
      </c>
      <c r="B87" s="3391"/>
      <c r="C87" s="818" t="s">
        <v>668</v>
      </c>
      <c r="D87" s="818" t="s">
        <v>669</v>
      </c>
      <c r="E87" s="895">
        <v>0.2</v>
      </c>
      <c r="F87" s="882">
        <v>30</v>
      </c>
    </row>
    <row r="88" spans="1:6" s="878" customFormat="1" ht="36">
      <c r="A88" s="882">
        <v>28</v>
      </c>
      <c r="B88" s="3391"/>
      <c r="C88" s="818" t="s">
        <v>670</v>
      </c>
      <c r="D88" s="818" t="s">
        <v>671</v>
      </c>
      <c r="E88" s="895">
        <v>0.2</v>
      </c>
      <c r="F88" s="882">
        <v>30</v>
      </c>
    </row>
    <row r="89" spans="1:6" s="878" customFormat="1" ht="24">
      <c r="A89" s="882">
        <v>29</v>
      </c>
      <c r="B89" s="3391"/>
      <c r="C89" s="818" t="s">
        <v>672</v>
      </c>
      <c r="D89" s="818" t="s">
        <v>673</v>
      </c>
      <c r="E89" s="895">
        <v>0.2</v>
      </c>
      <c r="F89" s="882">
        <v>30</v>
      </c>
    </row>
    <row r="90" spans="1:6" s="878" customFormat="1" ht="24">
      <c r="A90" s="882">
        <v>30</v>
      </c>
      <c r="B90" s="3391"/>
      <c r="C90" s="818" t="s">
        <v>674</v>
      </c>
      <c r="D90" s="818" t="s">
        <v>675</v>
      </c>
      <c r="E90" s="895">
        <v>0.2</v>
      </c>
      <c r="F90" s="882">
        <v>30</v>
      </c>
    </row>
    <row r="91" spans="1:6" s="878" customFormat="1" ht="36">
      <c r="A91" s="882">
        <v>31</v>
      </c>
      <c r="B91" s="3391"/>
      <c r="C91" s="818" t="s">
        <v>676</v>
      </c>
      <c r="D91" s="818" t="s">
        <v>677</v>
      </c>
      <c r="E91" s="895">
        <v>0.2</v>
      </c>
      <c r="F91" s="882">
        <v>30</v>
      </c>
    </row>
    <row r="92" spans="1:6" s="878" customFormat="1" ht="24">
      <c r="A92" s="882">
        <v>32</v>
      </c>
      <c r="B92" s="3391" t="s">
        <v>678</v>
      </c>
      <c r="C92" s="882" t="s">
        <v>679</v>
      </c>
      <c r="D92" s="818" t="s">
        <v>680</v>
      </c>
      <c r="E92" s="895">
        <v>0.2</v>
      </c>
      <c r="F92" s="882">
        <v>30</v>
      </c>
    </row>
    <row r="93" spans="1:6" s="878" customFormat="1" ht="36">
      <c r="A93" s="882">
        <v>33</v>
      </c>
      <c r="B93" s="3391"/>
      <c r="C93" s="882" t="s">
        <v>681</v>
      </c>
      <c r="D93" s="818" t="s">
        <v>682</v>
      </c>
      <c r="E93" s="895">
        <v>0.2</v>
      </c>
      <c r="F93" s="882">
        <v>30</v>
      </c>
    </row>
    <row r="94" spans="1:6" s="878" customFormat="1" ht="48">
      <c r="A94" s="882">
        <v>34</v>
      </c>
      <c r="B94" s="3391"/>
      <c r="C94" s="882" t="s">
        <v>683</v>
      </c>
      <c r="D94" s="818" t="s">
        <v>684</v>
      </c>
      <c r="E94" s="895">
        <v>0.2</v>
      </c>
      <c r="F94" s="882">
        <v>30</v>
      </c>
    </row>
    <row r="95" spans="1:6" s="878" customFormat="1" ht="36">
      <c r="A95" s="882">
        <v>35</v>
      </c>
      <c r="B95" s="3391"/>
      <c r="C95" s="882" t="s">
        <v>685</v>
      </c>
      <c r="D95" s="818" t="s">
        <v>686</v>
      </c>
      <c r="E95" s="895">
        <v>0.2</v>
      </c>
      <c r="F95" s="882">
        <v>30</v>
      </c>
    </row>
    <row r="96" spans="1:6" s="878" customFormat="1" ht="48">
      <c r="A96" s="882">
        <v>36</v>
      </c>
      <c r="B96" s="3391"/>
      <c r="C96" s="818" t="s">
        <v>687</v>
      </c>
      <c r="D96" s="818" t="s">
        <v>688</v>
      </c>
      <c r="E96" s="895">
        <v>0.2</v>
      </c>
      <c r="F96" s="882">
        <v>30</v>
      </c>
    </row>
    <row r="97" spans="1:6" s="878" customFormat="1" ht="36">
      <c r="A97" s="882">
        <v>37</v>
      </c>
      <c r="B97" s="3391"/>
      <c r="C97" s="882" t="s">
        <v>689</v>
      </c>
      <c r="D97" s="818" t="s">
        <v>690</v>
      </c>
      <c r="E97" s="895">
        <v>0.2</v>
      </c>
      <c r="F97" s="882">
        <v>30</v>
      </c>
    </row>
    <row r="98" spans="1:6" s="878" customFormat="1" ht="36">
      <c r="A98" s="882">
        <v>38</v>
      </c>
      <c r="B98" s="3391"/>
      <c r="C98" s="882" t="s">
        <v>691</v>
      </c>
      <c r="D98" s="818" t="s">
        <v>692</v>
      </c>
      <c r="E98" s="895">
        <v>0.2</v>
      </c>
      <c r="F98" s="882">
        <v>30</v>
      </c>
    </row>
    <row r="99" spans="1:6" s="878" customFormat="1" ht="36">
      <c r="A99" s="882">
        <v>39</v>
      </c>
      <c r="B99" s="3391" t="s">
        <v>693</v>
      </c>
      <c r="C99" s="882" t="s">
        <v>694</v>
      </c>
      <c r="D99" s="818" t="s">
        <v>695</v>
      </c>
      <c r="E99" s="895">
        <v>0.3</v>
      </c>
      <c r="F99" s="882">
        <v>50</v>
      </c>
    </row>
    <row r="100" spans="1:6" s="878" customFormat="1" ht="24">
      <c r="A100" s="882">
        <v>40</v>
      </c>
      <c r="B100" s="3391"/>
      <c r="C100" s="882" t="s">
        <v>696</v>
      </c>
      <c r="D100" s="818" t="s">
        <v>697</v>
      </c>
      <c r="E100" s="895">
        <v>0.2</v>
      </c>
      <c r="F100" s="882">
        <v>30</v>
      </c>
    </row>
    <row r="101" spans="1:6" s="878" customFormat="1" ht="36">
      <c r="A101" s="882">
        <v>41</v>
      </c>
      <c r="B101" s="33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1" t="s">
        <v>708</v>
      </c>
      <c r="C105" s="882" t="s">
        <v>709</v>
      </c>
      <c r="D105" s="818" t="s">
        <v>710</v>
      </c>
      <c r="E105" s="895">
        <v>0.2</v>
      </c>
      <c r="F105" s="882">
        <v>30</v>
      </c>
    </row>
    <row r="106" spans="1:6" s="878" customFormat="1" ht="36">
      <c r="A106" s="882">
        <v>46</v>
      </c>
      <c r="B106" s="3391"/>
      <c r="C106" s="882" t="s">
        <v>711</v>
      </c>
      <c r="D106" s="818" t="s">
        <v>712</v>
      </c>
      <c r="E106" s="895">
        <v>0.2</v>
      </c>
      <c r="F106" s="882">
        <v>30</v>
      </c>
    </row>
    <row r="107" spans="1:6" s="878" customFormat="1" ht="36">
      <c r="A107" s="882">
        <v>47</v>
      </c>
      <c r="B107" s="3391" t="s">
        <v>713</v>
      </c>
      <c r="C107" s="882" t="s">
        <v>714</v>
      </c>
      <c r="D107" s="818" t="s">
        <v>715</v>
      </c>
      <c r="E107" s="895">
        <v>0.3</v>
      </c>
      <c r="F107" s="882">
        <v>50</v>
      </c>
    </row>
    <row r="108" spans="1:6" s="878" customFormat="1" ht="36">
      <c r="A108" s="882">
        <v>48</v>
      </c>
      <c r="B108" s="33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1" t="s">
        <v>724</v>
      </c>
      <c r="C111" s="882" t="s">
        <v>725</v>
      </c>
      <c r="D111" s="818" t="s">
        <v>726</v>
      </c>
      <c r="E111" s="895">
        <v>0.2</v>
      </c>
      <c r="F111" s="882">
        <v>30</v>
      </c>
    </row>
    <row r="112" spans="1:6" s="878" customFormat="1" ht="24">
      <c r="A112" s="882">
        <v>52</v>
      </c>
      <c r="B112" s="3391"/>
      <c r="C112" s="882" t="s">
        <v>727</v>
      </c>
      <c r="D112" s="818" t="s">
        <v>728</v>
      </c>
      <c r="E112" s="895">
        <v>0.2</v>
      </c>
      <c r="F112" s="882">
        <v>30</v>
      </c>
    </row>
    <row r="113" spans="1:6" s="878" customFormat="1" ht="24">
      <c r="A113" s="882">
        <v>53</v>
      </c>
      <c r="B113" s="33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1" t="s">
        <v>737</v>
      </c>
      <c r="C116" s="882" t="s">
        <v>738</v>
      </c>
      <c r="D116" s="818" t="s">
        <v>739</v>
      </c>
      <c r="E116" s="895">
        <v>0.2</v>
      </c>
      <c r="F116" s="882">
        <v>30</v>
      </c>
    </row>
    <row r="117" spans="1:6" ht="36">
      <c r="A117" s="882">
        <v>57</v>
      </c>
      <c r="B117" s="33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2992</v>
      </c>
    </row>
    <row r="2" spans="1:5" ht="15.75">
      <c r="A2" s="2909" t="s">
        <v>2984</v>
      </c>
      <c r="B2" s="2910" t="e">
        <f ca="1">SUMIF(B6:B13,"&lt;&gt;#ref!",B6:B13)</f>
        <v>#DIV/0!</v>
      </c>
      <c r="C2" s="2909" t="s">
        <v>2985</v>
      </c>
      <c r="D2" s="2909" t="s">
        <v>2986</v>
      </c>
      <c r="E2" s="2910">
        <f ca="1">SUMIF(E6:E13,"&lt;&gt;#ref!",E6:E13)</f>
        <v>0</v>
      </c>
    </row>
    <row r="3" spans="1:5" ht="15.75">
      <c r="A3" s="2909" t="s">
        <v>2987</v>
      </c>
      <c r="B3" s="2910" t="e">
        <f ca="1">ROUND(B2*10000/E2,0)</f>
        <v>#DIV/0!</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t="e">
        <f ca="1">SUMIF(INDIRECT("'"&amp;A6&amp;"'"&amp;"!A:A"),"总价",INDIRECT("'"&amp;A6&amp;"'"&amp;"!B:B"))</f>
        <v>#DIV/0!</v>
      </c>
      <c r="C6" s="2909" t="s">
        <v>2985</v>
      </c>
      <c r="D6" s="2911"/>
      <c r="E6" s="2574">
        <f ca="1">SUMIF(INDIRECT("'"&amp;A6&amp;"'"&amp;"!C:C"),"建筑面积",INDIRECT("'"&amp;A6&amp;"'"&amp;"!D:D"))</f>
        <v>0</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97" t="s">
        <v>1150</v>
      </c>
      <c r="C1" s="3397"/>
      <c r="D1" s="3397"/>
      <c r="E1" s="3397"/>
      <c r="F1" s="3397"/>
      <c r="G1" s="3396" t="s">
        <v>1151</v>
      </c>
      <c r="H1" s="3396"/>
      <c r="I1" s="3396"/>
      <c r="J1" s="3396"/>
      <c r="K1" s="3396"/>
      <c r="L1" s="3396"/>
      <c r="N1" s="3396" t="s">
        <v>1152</v>
      </c>
      <c r="O1" s="3396"/>
      <c r="P1" s="3396"/>
      <c r="Q1" s="3396"/>
      <c r="R1" s="1449"/>
      <c r="S1" s="3396" t="s">
        <v>1153</v>
      </c>
      <c r="T1" s="3396"/>
      <c r="U1" s="3396"/>
      <c r="V1" s="3396"/>
      <c r="X1" s="3395" t="s">
        <v>1154</v>
      </c>
      <c r="Y1" s="3396"/>
      <c r="Z1" s="3396"/>
      <c r="AA1" s="3396"/>
      <c r="AB1" s="3396"/>
      <c r="AD1" s="3395" t="s">
        <v>1155</v>
      </c>
      <c r="AE1" s="3396"/>
      <c r="AF1" s="3396"/>
      <c r="AG1" s="3396"/>
      <c r="AH1" s="339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0">
        <v>2018</v>
      </c>
      <c r="H5" s="1732">
        <v>3</v>
      </c>
      <c r="I5" s="2923">
        <v>0</v>
      </c>
      <c r="J5" s="2923">
        <v>0</v>
      </c>
      <c r="K5" s="2923">
        <v>0</v>
      </c>
      <c r="L5" s="2923">
        <v>0</v>
      </c>
      <c r="N5" s="1470">
        <f>I5/100</f>
        <v>0</v>
      </c>
      <c r="O5" s="1470">
        <f t="shared" ref="O5" si="7">J5/100</f>
        <v>0</v>
      </c>
      <c r="P5" s="1470">
        <f t="shared" ref="P5" si="8">K5/100</f>
        <v>0</v>
      </c>
      <c r="Q5" s="1470">
        <f t="shared" ref="Q5" si="9">L5/100</f>
        <v>0</v>
      </c>
      <c r="R5" s="1734"/>
      <c r="S5" s="1735"/>
      <c r="T5" s="1734"/>
      <c r="U5" s="1734"/>
      <c r="V5" s="1734"/>
      <c r="W5" s="2927" t="s">
        <v>3028</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8"/>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3026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8"/>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3023</v>
      </c>
      <c r="B8" s="1472">
        <v>439</v>
      </c>
      <c r="C8" s="1472">
        <v>327</v>
      </c>
      <c r="D8" s="1472">
        <f>C8</f>
        <v>327</v>
      </c>
      <c r="E8" s="1472">
        <v>627</v>
      </c>
      <c r="F8" s="1473">
        <v>283</v>
      </c>
      <c r="G8" s="2925">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1"/>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0"/>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1"/>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9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9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9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9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9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9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9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9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9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9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9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9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39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40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40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40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9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9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9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9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9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9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9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9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9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9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9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9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9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9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9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9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9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9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9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9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9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9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9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9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9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9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9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9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9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9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9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9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9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9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9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9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9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9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9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9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9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9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9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9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H22" sqref="H2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t="s">
        <v>1377</v>
      </c>
      <c r="C1" s="1622" t="s">
        <v>2523</v>
      </c>
      <c r="D1" s="1623" t="s">
        <v>48</v>
      </c>
      <c r="E1" s="1624"/>
      <c r="F1" s="2583" t="s">
        <v>3337</v>
      </c>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2320</v>
      </c>
      <c r="B2" s="1421">
        <f>IF(C2="——",IF(B37="元/平方米",ROUND(C39*D3/10000,0),ROUND(F3*C39/10000,0)),IF(B37="元/平方米",ROUND(C39*D3/10000,0),ROUND(F3*C39/10000,0))-D2)</f>
        <v>2228</v>
      </c>
      <c r="C2" s="2585" t="s">
        <v>70</v>
      </c>
      <c r="D2" s="1127" t="e">
        <f ca="1">SUMIF(INDIRECT("'"&amp;F2&amp;"'"&amp;"!A:A"),"承租人权益价值",INDIRECT("'"&amp;F2&amp;"'"&amp;"!c:c"))</f>
        <v>#REF!</v>
      </c>
      <c r="E2" s="2586" t="s">
        <v>2321</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f>IF(AND(C2="——",B37="元/平方米"),C39,ROUND(B2*10000/D3,0))</f>
        <v>8192</v>
      </c>
      <c r="C3" s="400" t="s">
        <v>2637</v>
      </c>
      <c r="D3" s="399">
        <f>SUMIF('数据-汇总表'!$C19:$C33,D1,'数据-汇总表'!$E19:$E33)</f>
        <v>2719.64</v>
      </c>
      <c r="E3" s="400" t="s">
        <v>2701</v>
      </c>
      <c r="F3" s="399">
        <f>SUMIF('数据-取费表'!A5:A15,D1,'数据-取费表'!AH5:AH15)</f>
        <v>203</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310" t="s">
        <v>2639</v>
      </c>
      <c r="D4" s="3311"/>
      <c r="E4" s="3312" t="s">
        <v>2640</v>
      </c>
      <c r="F4" s="3313"/>
      <c r="G4" s="3310" t="s">
        <v>2641</v>
      </c>
      <c r="H4" s="3311"/>
      <c r="I4" s="3310" t="s">
        <v>2642</v>
      </c>
      <c r="J4" s="3311"/>
      <c r="K4" s="610" t="s">
        <v>2643</v>
      </c>
      <c r="L4" s="1133"/>
      <c r="M4" s="1134"/>
      <c r="N4" s="1134"/>
      <c r="O4" s="1134"/>
      <c r="P4" s="3314" t="s">
        <v>2644</v>
      </c>
      <c r="Q4" s="3315"/>
      <c r="R4" s="3320" t="s">
        <v>2640</v>
      </c>
      <c r="S4" s="3321"/>
      <c r="T4" s="3320" t="s">
        <v>2641</v>
      </c>
      <c r="U4" s="3321"/>
      <c r="V4" s="3326" t="s">
        <v>2642</v>
      </c>
      <c r="W4" s="3326"/>
      <c r="X4" s="1815"/>
      <c r="Y4" s="3320" t="s">
        <v>2644</v>
      </c>
      <c r="Z4" s="3321"/>
      <c r="AA4" s="3307" t="s">
        <v>2640</v>
      </c>
      <c r="AB4" s="3308" t="s">
        <v>2641</v>
      </c>
      <c r="AC4" s="3307" t="s">
        <v>2642</v>
      </c>
    </row>
    <row r="5" spans="1:29" ht="15">
      <c r="A5" s="404"/>
      <c r="B5" s="405"/>
      <c r="C5" s="3360" t="s">
        <v>3413</v>
      </c>
      <c r="D5" s="3361"/>
      <c r="E5" s="3403" t="s">
        <v>3470</v>
      </c>
      <c r="F5" s="3365"/>
      <c r="G5" s="3402" t="s">
        <v>3471</v>
      </c>
      <c r="H5" s="3361"/>
      <c r="I5" s="3402" t="s">
        <v>3476</v>
      </c>
      <c r="J5" s="3361"/>
      <c r="K5" s="610"/>
      <c r="L5" s="1133"/>
      <c r="M5" s="1134"/>
      <c r="N5" s="1134"/>
      <c r="O5" s="1134"/>
      <c r="P5" s="3316"/>
      <c r="Q5" s="3317"/>
      <c r="R5" s="3322"/>
      <c r="S5" s="3323"/>
      <c r="T5" s="3322"/>
      <c r="U5" s="3323"/>
      <c r="V5" s="3326"/>
      <c r="W5" s="3326"/>
      <c r="X5" s="1815"/>
      <c r="Y5" s="3322"/>
      <c r="Z5" s="3323"/>
      <c r="AA5" s="3308"/>
      <c r="AB5" s="3308"/>
      <c r="AC5" s="3308"/>
    </row>
    <row r="6" spans="1:29" ht="15.75" thickBot="1">
      <c r="A6" s="406"/>
      <c r="B6" s="407"/>
      <c r="C6" s="3358" t="s">
        <v>2784</v>
      </c>
      <c r="D6" s="3359"/>
      <c r="E6" s="3362" t="s">
        <v>2784</v>
      </c>
      <c r="F6" s="3363"/>
      <c r="G6" s="3358" t="s">
        <v>2784</v>
      </c>
      <c r="H6" s="3359"/>
      <c r="I6" s="3358" t="s">
        <v>2784</v>
      </c>
      <c r="J6" s="3359"/>
      <c r="K6" s="610" t="s">
        <v>2540</v>
      </c>
      <c r="L6" s="1133"/>
      <c r="M6" s="1134"/>
      <c r="N6" s="1134"/>
      <c r="O6" s="1134"/>
      <c r="P6" s="3318"/>
      <c r="Q6" s="3319"/>
      <c r="R6" s="3322"/>
      <c r="S6" s="3323"/>
      <c r="T6" s="3324"/>
      <c r="U6" s="3325"/>
      <c r="V6" s="3326"/>
      <c r="W6" s="3326"/>
      <c r="X6" s="1815"/>
      <c r="Y6" s="3324"/>
      <c r="Z6" s="3325"/>
      <c r="AA6" s="3309"/>
      <c r="AB6" s="3309"/>
      <c r="AC6" s="3309"/>
    </row>
    <row r="7" spans="1:29" s="117" customFormat="1" ht="15.75" thickBot="1">
      <c r="A7" s="408" t="s">
        <v>2541</v>
      </c>
      <c r="B7" s="409"/>
      <c r="C7" s="410">
        <f>'数据-取费表'!B2</f>
        <v>43339</v>
      </c>
      <c r="D7" s="411">
        <v>100</v>
      </c>
      <c r="E7" s="412">
        <f>C7</f>
        <v>43339</v>
      </c>
      <c r="F7" s="413">
        <f>SUMIF(48:48,YEAR(E7)&amp;"-"&amp;MONTH(E7),49:49)</f>
        <v>100</v>
      </c>
      <c r="G7" s="412">
        <f>C7</f>
        <v>43339</v>
      </c>
      <c r="H7" s="411">
        <f>SUMIF(48:48,YEAR(G7)&amp;"-"&amp;MONTH(G7),49:49)</f>
        <v>100</v>
      </c>
      <c r="I7" s="412">
        <f>C7</f>
        <v>43339</v>
      </c>
      <c r="J7" s="411">
        <f>SUMIF(48:48,YEAR(I7)&amp;"-"&amp;MONTH(I7),49:49)</f>
        <v>100</v>
      </c>
      <c r="K7" s="611"/>
      <c r="L7" s="1135"/>
      <c r="M7" s="1136"/>
      <c r="N7" s="1136"/>
      <c r="O7" s="1136"/>
      <c r="P7" s="3331" t="s">
        <v>2542</v>
      </c>
      <c r="Q7" s="3333"/>
      <c r="R7" s="770" t="s">
        <v>17</v>
      </c>
      <c r="S7" s="771">
        <f t="shared" ref="S7:S14" si="0">F7</f>
        <v>100</v>
      </c>
      <c r="T7" s="770" t="s">
        <v>17</v>
      </c>
      <c r="U7" s="771">
        <f t="shared" ref="U7:U14" si="1">H7</f>
        <v>100</v>
      </c>
      <c r="V7" s="770" t="s">
        <v>17</v>
      </c>
      <c r="W7" s="771">
        <f t="shared" ref="W7:W14" si="2">J7</f>
        <v>100</v>
      </c>
      <c r="X7" s="772"/>
      <c r="Y7" s="3331" t="s">
        <v>2542</v>
      </c>
      <c r="Z7" s="3332"/>
      <c r="AA7" s="773">
        <f>D7/F7</f>
        <v>1</v>
      </c>
      <c r="AB7" s="773">
        <f>D7/H7</f>
        <v>1</v>
      </c>
      <c r="AC7" s="773">
        <f>D7/J7</f>
        <v>1</v>
      </c>
    </row>
    <row r="8" spans="1:29" s="117" customFormat="1" ht="15.75" thickBot="1">
      <c r="A8" s="408" t="s">
        <v>2543</v>
      </c>
      <c r="B8" s="409"/>
      <c r="C8" s="414" t="s">
        <v>2645</v>
      </c>
      <c r="D8" s="411">
        <v>100</v>
      </c>
      <c r="E8" s="414" t="s">
        <v>3414</v>
      </c>
      <c r="F8" s="413">
        <f>SUMIF(51:51,E8,52:52)-SUMIF(51:51,C8,52:52)+100</f>
        <v>100</v>
      </c>
      <c r="G8" s="414" t="s">
        <v>3414</v>
      </c>
      <c r="H8" s="411">
        <f>SUMIF(51:51,G8,52:52)-SUMIF(51:51,C8,52:52)+100</f>
        <v>100</v>
      </c>
      <c r="I8" s="414" t="s">
        <v>3414</v>
      </c>
      <c r="J8" s="411">
        <f>SUMIF(51:51,I8,52:52)-SUMIF(51:51,C8,52:52)+100</f>
        <v>100</v>
      </c>
      <c r="K8" s="611"/>
      <c r="L8" s="1135"/>
      <c r="M8" s="1136"/>
      <c r="N8" s="1136"/>
      <c r="O8" s="1136"/>
      <c r="P8" s="3331" t="s">
        <v>2545</v>
      </c>
      <c r="Q8" s="3332"/>
      <c r="R8" s="770" t="s">
        <v>17</v>
      </c>
      <c r="S8" s="771">
        <f t="shared" si="0"/>
        <v>100</v>
      </c>
      <c r="T8" s="770" t="s">
        <v>17</v>
      </c>
      <c r="U8" s="771">
        <f t="shared" si="1"/>
        <v>100</v>
      </c>
      <c r="V8" s="770" t="s">
        <v>17</v>
      </c>
      <c r="W8" s="771">
        <f t="shared" si="2"/>
        <v>100</v>
      </c>
      <c r="X8" s="772"/>
      <c r="Y8" s="3331" t="s">
        <v>2545</v>
      </c>
      <c r="Z8" s="3332"/>
      <c r="AA8" s="773">
        <f t="shared" ref="AA8:AA36" si="3">D8/F8</f>
        <v>1</v>
      </c>
      <c r="AB8" s="773">
        <f t="shared" ref="AB8:AB36" si="4">D8/H8</f>
        <v>1</v>
      </c>
      <c r="AC8" s="773">
        <f t="shared" ref="AC8:AC36" si="5">D8/J8</f>
        <v>1</v>
      </c>
    </row>
    <row r="9" spans="1:29" s="117" customFormat="1">
      <c r="A9" s="68" t="s">
        <v>2546</v>
      </c>
      <c r="B9" s="640" t="s">
        <v>2547</v>
      </c>
      <c r="C9" s="3022" t="s">
        <v>3455</v>
      </c>
      <c r="D9" s="135">
        <v>100</v>
      </c>
      <c r="E9" s="419" t="s">
        <v>48</v>
      </c>
      <c r="F9" s="135">
        <f>SUMIF(53:53,E9,54:54)-SUMIF(53:53,C9,54:54)+100</f>
        <v>100</v>
      </c>
      <c r="G9" s="417" t="s">
        <v>48</v>
      </c>
      <c r="H9" s="135">
        <f>SUMIF(53:53,G9,54:54)-SUMIF(53:53,C9,54:54)+100</f>
        <v>100</v>
      </c>
      <c r="I9" s="417" t="s">
        <v>48</v>
      </c>
      <c r="J9" s="135">
        <f>SUMIF(53:53,I9,54:54)-SUMIF(53:53,C9,54:54)+100</f>
        <v>100</v>
      </c>
      <c r="K9" s="611"/>
      <c r="L9" s="1135"/>
      <c r="M9" s="1136"/>
      <c r="N9" s="1136"/>
      <c r="O9" s="1136"/>
      <c r="P9" s="3295" t="s">
        <v>2548</v>
      </c>
      <c r="Q9" s="1797" t="str">
        <f t="shared" ref="Q9:Q14" si="6">B9</f>
        <v>用途</v>
      </c>
      <c r="R9" s="770" t="s">
        <v>17</v>
      </c>
      <c r="S9" s="771">
        <f t="shared" si="0"/>
        <v>100</v>
      </c>
      <c r="T9" s="770" t="s">
        <v>17</v>
      </c>
      <c r="U9" s="771">
        <f t="shared" si="1"/>
        <v>100</v>
      </c>
      <c r="V9" s="770" t="s">
        <v>17</v>
      </c>
      <c r="W9" s="771">
        <f t="shared" si="2"/>
        <v>100</v>
      </c>
      <c r="X9" s="772"/>
      <c r="Y9" s="3101" t="s">
        <v>2549</v>
      </c>
      <c r="Z9" s="55" t="str">
        <f t="shared" ref="Z9:Z14" si="7">Q9</f>
        <v>用途</v>
      </c>
      <c r="AA9" s="773">
        <f t="shared" si="3"/>
        <v>1</v>
      </c>
      <c r="AB9" s="773">
        <f t="shared" si="4"/>
        <v>1</v>
      </c>
      <c r="AC9" s="773">
        <f t="shared" si="5"/>
        <v>1</v>
      </c>
    </row>
    <row r="10" spans="1:29" s="427" customFormat="1" ht="27">
      <c r="A10" s="641"/>
      <c r="B10" s="642" t="s">
        <v>2550</v>
      </c>
      <c r="C10" s="423" t="s">
        <v>3456</v>
      </c>
      <c r="D10" s="136">
        <v>100</v>
      </c>
      <c r="E10" s="423" t="s">
        <v>3456</v>
      </c>
      <c r="F10" s="136">
        <f>SUMIF(55:55,E10,56:56)-SUMIF(55:55,C10,56:56)+100</f>
        <v>100</v>
      </c>
      <c r="G10" s="424" t="s">
        <v>3456</v>
      </c>
      <c r="H10" s="136">
        <f>SUMIF(55:55,G10,56:56)-SUMIF(55:55,C10,56:56)+100</f>
        <v>100</v>
      </c>
      <c r="I10" s="423" t="s">
        <v>3456</v>
      </c>
      <c r="J10" s="136">
        <f>SUMIF(55:55,I10,56:56)-SUMIF(55:55,C10,56:56)+100</f>
        <v>100</v>
      </c>
      <c r="K10" s="612">
        <v>2</v>
      </c>
      <c r="L10" s="1138"/>
      <c r="M10" s="1139"/>
      <c r="N10" s="1139"/>
      <c r="O10" s="1139"/>
      <c r="P10" s="3295"/>
      <c r="Q10" s="1797" t="str">
        <f t="shared" si="6"/>
        <v>土地使用年限（年）</v>
      </c>
      <c r="R10" s="770" t="s">
        <v>17</v>
      </c>
      <c r="S10" s="771">
        <f t="shared" si="0"/>
        <v>100</v>
      </c>
      <c r="T10" s="770" t="s">
        <v>17</v>
      </c>
      <c r="U10" s="771">
        <f t="shared" si="1"/>
        <v>100</v>
      </c>
      <c r="V10" s="770" t="s">
        <v>17</v>
      </c>
      <c r="W10" s="771">
        <f t="shared" si="2"/>
        <v>100</v>
      </c>
      <c r="X10" s="772"/>
      <c r="Y10" s="31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95"/>
      <c r="Q11" s="1797">
        <f t="shared" si="6"/>
        <v>111</v>
      </c>
      <c r="R11" s="770" t="s">
        <v>17</v>
      </c>
      <c r="S11" s="771">
        <f t="shared" si="0"/>
        <v>100</v>
      </c>
      <c r="T11" s="770" t="s">
        <v>17</v>
      </c>
      <c r="U11" s="771">
        <f t="shared" si="1"/>
        <v>100</v>
      </c>
      <c r="V11" s="770" t="s">
        <v>17</v>
      </c>
      <c r="W11" s="771">
        <f t="shared" si="2"/>
        <v>100</v>
      </c>
      <c r="X11" s="772"/>
      <c r="Y11" s="31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95"/>
      <c r="Q12" s="1797">
        <f t="shared" si="6"/>
        <v>111</v>
      </c>
      <c r="R12" s="770" t="s">
        <v>17</v>
      </c>
      <c r="S12" s="771">
        <f t="shared" si="0"/>
        <v>100</v>
      </c>
      <c r="T12" s="770" t="s">
        <v>17</v>
      </c>
      <c r="U12" s="771">
        <f t="shared" si="1"/>
        <v>100</v>
      </c>
      <c r="V12" s="770" t="s">
        <v>17</v>
      </c>
      <c r="W12" s="771">
        <f t="shared" si="2"/>
        <v>100</v>
      </c>
      <c r="X12" s="772"/>
      <c r="Y12" s="31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95"/>
      <c r="Q13" s="1797">
        <f t="shared" si="6"/>
        <v>111</v>
      </c>
      <c r="R13" s="770" t="s">
        <v>17</v>
      </c>
      <c r="S13" s="771">
        <f t="shared" si="0"/>
        <v>100</v>
      </c>
      <c r="T13" s="770" t="s">
        <v>17</v>
      </c>
      <c r="U13" s="771">
        <f t="shared" si="1"/>
        <v>100</v>
      </c>
      <c r="V13" s="770" t="s">
        <v>17</v>
      </c>
      <c r="W13" s="771">
        <f t="shared" si="2"/>
        <v>100</v>
      </c>
      <c r="X13" s="772"/>
      <c r="Y13" s="3101"/>
      <c r="Z13" s="55">
        <f t="shared" si="7"/>
        <v>111</v>
      </c>
      <c r="AA13" s="773">
        <f t="shared" si="3"/>
        <v>1</v>
      </c>
      <c r="AB13" s="773">
        <f t="shared" si="4"/>
        <v>1</v>
      </c>
      <c r="AC13" s="773">
        <f t="shared" si="5"/>
        <v>1</v>
      </c>
    </row>
    <row r="14" spans="1:29" ht="15">
      <c r="A14" s="401" t="s">
        <v>2552</v>
      </c>
      <c r="B14" s="629" t="s">
        <v>2702</v>
      </c>
      <c r="C14" s="2692" t="str">
        <f>IF(B1="工业",估价对象房地状况!G4,估价对象房地状况!C6)</f>
        <v>一般</v>
      </c>
      <c r="D14" s="441">
        <v>100</v>
      </c>
      <c r="E14" s="442"/>
      <c r="F14" s="443">
        <f>SUMIF(63:63,E15,64:64)-SUMIF(63:63,C15,64:64)+100</f>
        <v>100</v>
      </c>
      <c r="G14" s="444"/>
      <c r="H14" s="441">
        <f>SUMIF(63:63,G15,64:64)-SUMIF(63:63,C15,64:64)+100</f>
        <v>97</v>
      </c>
      <c r="I14" s="442"/>
      <c r="J14" s="441">
        <f>SUMIF(63:63,I15,64:64)-SUMIF(63:63,C15,64:64)+100</f>
        <v>100</v>
      </c>
      <c r="K14" s="614">
        <v>3</v>
      </c>
      <c r="L14" s="1143"/>
      <c r="M14" s="1134"/>
      <c r="N14" s="1134"/>
      <c r="O14" s="1134"/>
      <c r="P14" s="3297" t="s">
        <v>2553</v>
      </c>
      <c r="Q14" s="1812" t="str">
        <f t="shared" si="6"/>
        <v>交通便捷度</v>
      </c>
      <c r="R14" s="774" t="s">
        <v>17</v>
      </c>
      <c r="S14" s="775">
        <f t="shared" si="0"/>
        <v>100</v>
      </c>
      <c r="T14" s="774" t="s">
        <v>17</v>
      </c>
      <c r="U14" s="775">
        <f t="shared" si="1"/>
        <v>97</v>
      </c>
      <c r="V14" s="774" t="s">
        <v>17</v>
      </c>
      <c r="W14" s="775">
        <f t="shared" si="2"/>
        <v>100</v>
      </c>
      <c r="X14" s="1815"/>
      <c r="Y14" s="3297" t="s">
        <v>2553</v>
      </c>
      <c r="Z14" s="1816" t="str">
        <f t="shared" si="7"/>
        <v>交通便捷度</v>
      </c>
      <c r="AA14" s="1813">
        <f t="shared" si="3"/>
        <v>1</v>
      </c>
      <c r="AB14" s="1813">
        <f t="shared" si="4"/>
        <v>1.0309278350515463</v>
      </c>
      <c r="AC14" s="1813">
        <f t="shared" si="5"/>
        <v>1</v>
      </c>
    </row>
    <row r="15" spans="1:29" ht="15">
      <c r="A15" s="404"/>
      <c r="B15" s="647"/>
      <c r="C15" s="447" t="s">
        <v>3444</v>
      </c>
      <c r="D15" s="448"/>
      <c r="E15" s="447" t="s">
        <v>3444</v>
      </c>
      <c r="F15" s="449"/>
      <c r="G15" s="447" t="s">
        <v>3446</v>
      </c>
      <c r="H15" s="450"/>
      <c r="I15" s="447" t="s">
        <v>3444</v>
      </c>
      <c r="J15" s="448"/>
      <c r="K15" s="615"/>
      <c r="L15" s="1143"/>
      <c r="M15" s="1134"/>
      <c r="N15" s="1134"/>
      <c r="O15" s="1134"/>
      <c r="P15" s="3298"/>
      <c r="Q15" s="1812"/>
      <c r="R15" s="774"/>
      <c r="S15" s="775"/>
      <c r="T15" s="774"/>
      <c r="U15" s="775"/>
      <c r="V15" s="774"/>
      <c r="W15" s="775"/>
      <c r="X15" s="1815"/>
      <c r="Y15" s="3298"/>
      <c r="Z15" s="1816"/>
      <c r="AA15" s="1813">
        <v>1</v>
      </c>
      <c r="AB15" s="1813">
        <v>1</v>
      </c>
      <c r="AC15" s="1813">
        <v>1</v>
      </c>
    </row>
    <row r="16" spans="1:29" ht="15">
      <c r="A16" s="404"/>
      <c r="B16" s="631" t="s">
        <v>2681</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298"/>
      <c r="Q16" s="1812" t="str">
        <f>B16</f>
        <v>公共配套设施</v>
      </c>
      <c r="R16" s="774" t="s">
        <v>17</v>
      </c>
      <c r="S16" s="775">
        <f>F16</f>
        <v>100</v>
      </c>
      <c r="T16" s="774" t="s">
        <v>17</v>
      </c>
      <c r="U16" s="775">
        <f>H16</f>
        <v>100</v>
      </c>
      <c r="V16" s="774" t="s">
        <v>17</v>
      </c>
      <c r="W16" s="775">
        <f>J16</f>
        <v>100</v>
      </c>
      <c r="X16" s="1815"/>
      <c r="Y16" s="3298"/>
      <c r="Z16" s="1816" t="str">
        <f>Q16</f>
        <v>公共配套设施</v>
      </c>
      <c r="AA16" s="1813">
        <f t="shared" si="3"/>
        <v>1</v>
      </c>
      <c r="AB16" s="1813">
        <f t="shared" si="4"/>
        <v>1</v>
      </c>
      <c r="AC16" s="1813">
        <f t="shared" si="5"/>
        <v>1</v>
      </c>
    </row>
    <row r="17" spans="1:29" ht="15">
      <c r="A17" s="404"/>
      <c r="B17" s="632"/>
      <c r="C17" s="2607" t="s">
        <v>3446</v>
      </c>
      <c r="D17" s="448"/>
      <c r="E17" s="447" t="s">
        <v>3446</v>
      </c>
      <c r="F17" s="449"/>
      <c r="G17" s="447" t="s">
        <v>3446</v>
      </c>
      <c r="H17" s="448"/>
      <c r="I17" s="447" t="s">
        <v>3446</v>
      </c>
      <c r="J17" s="448"/>
      <c r="K17" s="615"/>
      <c r="L17" s="1143"/>
      <c r="M17" s="1134"/>
      <c r="N17" s="1134"/>
      <c r="O17" s="1134"/>
      <c r="P17" s="3298"/>
      <c r="Q17" s="1812"/>
      <c r="R17" s="774"/>
      <c r="S17" s="775"/>
      <c r="T17" s="774"/>
      <c r="U17" s="775"/>
      <c r="V17" s="774"/>
      <c r="W17" s="775"/>
      <c r="X17" s="1815"/>
      <c r="Y17" s="3298"/>
      <c r="Z17" s="1816"/>
      <c r="AA17" s="1813">
        <v>1</v>
      </c>
      <c r="AB17" s="1813">
        <v>1</v>
      </c>
      <c r="AC17" s="1813">
        <v>1</v>
      </c>
    </row>
    <row r="18" spans="1:29" ht="15">
      <c r="A18" s="404"/>
      <c r="B18" s="633" t="s">
        <v>2682</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298"/>
      <c r="Q18" s="1812" t="str">
        <f>B18</f>
        <v>基础设施水平</v>
      </c>
      <c r="R18" s="774" t="s">
        <v>17</v>
      </c>
      <c r="S18" s="775">
        <f>F18</f>
        <v>100</v>
      </c>
      <c r="T18" s="774" t="s">
        <v>17</v>
      </c>
      <c r="U18" s="775">
        <f>H18</f>
        <v>100</v>
      </c>
      <c r="V18" s="774" t="s">
        <v>17</v>
      </c>
      <c r="W18" s="775">
        <f>J18</f>
        <v>100</v>
      </c>
      <c r="X18" s="1815"/>
      <c r="Y18" s="3298"/>
      <c r="Z18" s="1816" t="str">
        <f>Q18</f>
        <v>基础设施水平</v>
      </c>
      <c r="AA18" s="1813">
        <f t="shared" ref="AA18" si="8">D18/F18</f>
        <v>1</v>
      </c>
      <c r="AB18" s="1813">
        <f t="shared" ref="AB18" si="9">D18/H18</f>
        <v>1</v>
      </c>
      <c r="AC18" s="1813">
        <f t="shared" ref="AC18" si="10">D18/J18</f>
        <v>1</v>
      </c>
    </row>
    <row r="19" spans="1:29" ht="15">
      <c r="A19" s="404"/>
      <c r="B19" s="633"/>
      <c r="C19" s="2607" t="s">
        <v>3436</v>
      </c>
      <c r="D19" s="450"/>
      <c r="E19" s="2607" t="s">
        <v>3436</v>
      </c>
      <c r="F19" s="453"/>
      <c r="G19" s="2607" t="s">
        <v>3436</v>
      </c>
      <c r="H19" s="448"/>
      <c r="I19" s="447" t="s">
        <v>3436</v>
      </c>
      <c r="J19" s="448"/>
      <c r="K19" s="1386"/>
      <c r="L19" s="1143"/>
      <c r="M19" s="1134"/>
      <c r="N19" s="1134"/>
      <c r="O19" s="1134"/>
      <c r="P19" s="3298"/>
      <c r="Q19" s="1812"/>
      <c r="R19" s="774"/>
      <c r="S19" s="775"/>
      <c r="T19" s="774"/>
      <c r="U19" s="775"/>
      <c r="V19" s="774"/>
      <c r="W19" s="775"/>
      <c r="X19" s="1815"/>
      <c r="Y19" s="3298"/>
      <c r="Z19" s="1816"/>
      <c r="AA19" s="1813">
        <v>1</v>
      </c>
      <c r="AB19" s="1813">
        <v>1</v>
      </c>
      <c r="AC19" s="1813">
        <v>1</v>
      </c>
    </row>
    <row r="20" spans="1:29" ht="15">
      <c r="A20" s="404"/>
      <c r="B20" s="631" t="s">
        <v>2703</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v>3</v>
      </c>
      <c r="L20" s="1143"/>
      <c r="M20" s="1134"/>
      <c r="N20" s="1134"/>
      <c r="O20" s="1134"/>
      <c r="P20" s="3298"/>
      <c r="Q20" s="1812" t="str">
        <f>B20</f>
        <v>自然及人文环境</v>
      </c>
      <c r="R20" s="774" t="s">
        <v>17</v>
      </c>
      <c r="S20" s="775">
        <f>F20</f>
        <v>100</v>
      </c>
      <c r="T20" s="774" t="s">
        <v>17</v>
      </c>
      <c r="U20" s="775">
        <f>H20</f>
        <v>100</v>
      </c>
      <c r="V20" s="774" t="s">
        <v>17</v>
      </c>
      <c r="W20" s="775">
        <f>J20</f>
        <v>100</v>
      </c>
      <c r="X20" s="1815"/>
      <c r="Y20" s="3298"/>
      <c r="Z20" s="1816" t="str">
        <f>Q20</f>
        <v>自然及人文环境</v>
      </c>
      <c r="AA20" s="1813">
        <f t="shared" si="3"/>
        <v>1</v>
      </c>
      <c r="AB20" s="1813">
        <f t="shared" si="4"/>
        <v>1</v>
      </c>
      <c r="AC20" s="1813">
        <f t="shared" si="5"/>
        <v>1</v>
      </c>
    </row>
    <row r="21" spans="1:29" ht="15">
      <c r="A21" s="404"/>
      <c r="B21" s="632"/>
      <c r="C21" s="447" t="s">
        <v>3444</v>
      </c>
      <c r="D21" s="448"/>
      <c r="E21" s="447" t="s">
        <v>3444</v>
      </c>
      <c r="F21" s="449"/>
      <c r="G21" s="447" t="s">
        <v>3444</v>
      </c>
      <c r="H21" s="448"/>
      <c r="I21" s="447" t="s">
        <v>3444</v>
      </c>
      <c r="J21" s="448"/>
      <c r="K21" s="615"/>
      <c r="L21" s="1143"/>
      <c r="M21" s="1134"/>
      <c r="N21" s="1134"/>
      <c r="O21" s="1134"/>
      <c r="P21" s="3298"/>
      <c r="Q21" s="1812"/>
      <c r="R21" s="774"/>
      <c r="S21" s="775"/>
      <c r="T21" s="774"/>
      <c r="U21" s="775"/>
      <c r="V21" s="774"/>
      <c r="W21" s="775"/>
      <c r="X21" s="1815"/>
      <c r="Y21" s="3298"/>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98"/>
      <c r="Q22" s="1812" t="str">
        <f>B22</f>
        <v>楼层</v>
      </c>
      <c r="R22" s="774" t="s">
        <v>17</v>
      </c>
      <c r="S22" s="775">
        <f>F22</f>
        <v>100</v>
      </c>
      <c r="T22" s="774" t="s">
        <v>17</v>
      </c>
      <c r="U22" s="775">
        <f>H22</f>
        <v>100</v>
      </c>
      <c r="V22" s="774" t="s">
        <v>17</v>
      </c>
      <c r="W22" s="775">
        <f>J22</f>
        <v>100</v>
      </c>
      <c r="X22" s="1815"/>
      <c r="Y22" s="329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98"/>
      <c r="Q23" s="1812">
        <f>B23</f>
        <v>111</v>
      </c>
      <c r="R23" s="774" t="s">
        <v>17</v>
      </c>
      <c r="S23" s="775">
        <f>F23</f>
        <v>100</v>
      </c>
      <c r="T23" s="774" t="s">
        <v>17</v>
      </c>
      <c r="U23" s="775">
        <f>H23</f>
        <v>100</v>
      </c>
      <c r="V23" s="774" t="s">
        <v>17</v>
      </c>
      <c r="W23" s="775">
        <f>J23</f>
        <v>100</v>
      </c>
      <c r="X23" s="1815"/>
      <c r="Y23" s="329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98"/>
      <c r="Q24" s="1812">
        <f t="shared" ref="Q24:Q36" si="11">B24</f>
        <v>111</v>
      </c>
      <c r="R24" s="774" t="s">
        <v>17</v>
      </c>
      <c r="S24" s="775">
        <f>F24</f>
        <v>100</v>
      </c>
      <c r="T24" s="774" t="s">
        <v>17</v>
      </c>
      <c r="U24" s="775">
        <f>H24</f>
        <v>100</v>
      </c>
      <c r="V24" s="774" t="s">
        <v>17</v>
      </c>
      <c r="W24" s="775">
        <f>J24</f>
        <v>100</v>
      </c>
      <c r="X24" s="1815"/>
      <c r="Y24" s="329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98"/>
      <c r="Q25" s="1797">
        <f t="shared" si="11"/>
        <v>111</v>
      </c>
      <c r="R25" s="770" t="s">
        <v>17</v>
      </c>
      <c r="S25" s="771">
        <f>F25</f>
        <v>100</v>
      </c>
      <c r="T25" s="770" t="s">
        <v>17</v>
      </c>
      <c r="U25" s="771">
        <f>H25</f>
        <v>100</v>
      </c>
      <c r="V25" s="770" t="s">
        <v>17</v>
      </c>
      <c r="W25" s="771">
        <f>J25</f>
        <v>100</v>
      </c>
      <c r="X25" s="772"/>
      <c r="Y25" s="3298"/>
      <c r="Z25" s="55">
        <f>Q25</f>
        <v>111</v>
      </c>
      <c r="AA25" s="1813">
        <f>D25/F25</f>
        <v>1</v>
      </c>
      <c r="AB25" s="1813">
        <f>D25/H25</f>
        <v>1</v>
      </c>
      <c r="AC25" s="1813">
        <f>D25/J25</f>
        <v>1</v>
      </c>
    </row>
    <row r="26" spans="1:29" ht="15">
      <c r="A26" s="652" t="s">
        <v>2556</v>
      </c>
      <c r="B26" s="70" t="s">
        <v>2705</v>
      </c>
      <c r="C26" s="2693" t="str">
        <f>B1</f>
        <v>商业</v>
      </c>
      <c r="D26" s="448">
        <v>100</v>
      </c>
      <c r="E26" s="447" t="s">
        <v>3458</v>
      </c>
      <c r="F26" s="449">
        <f>SUMIF(79:79,E26,80:80)-SUMIF(79:79,C26,80:80)+100</f>
        <v>95</v>
      </c>
      <c r="G26" s="447" t="s">
        <v>3458</v>
      </c>
      <c r="H26" s="448">
        <f>SUMIF(79:79,G26,80:80)-SUMIF(79:79,C26,80:80)+100</f>
        <v>95</v>
      </c>
      <c r="I26" s="447" t="s">
        <v>3458</v>
      </c>
      <c r="J26" s="448">
        <f>SUMIF(79:79,I26,80:80)-SUMIF(79:79,C26,80:80)+100</f>
        <v>95</v>
      </c>
      <c r="K26" s="612">
        <v>5</v>
      </c>
      <c r="L26" s="1143"/>
      <c r="M26" s="1134"/>
      <c r="N26" s="1134"/>
      <c r="O26" s="1134"/>
      <c r="P26" s="3353" t="s">
        <v>2558</v>
      </c>
      <c r="Q26" s="1812" t="str">
        <f t="shared" si="11"/>
        <v>配套类型</v>
      </c>
      <c r="R26" s="774" t="s">
        <v>17</v>
      </c>
      <c r="S26" s="775">
        <f t="shared" ref="S26:S36" si="12">F26</f>
        <v>95</v>
      </c>
      <c r="T26" s="774" t="s">
        <v>17</v>
      </c>
      <c r="U26" s="775">
        <f t="shared" ref="U26:U36" si="13">H26</f>
        <v>95</v>
      </c>
      <c r="V26" s="774" t="s">
        <v>17</v>
      </c>
      <c r="W26" s="775">
        <f t="shared" ref="W26:W36" si="14">J26</f>
        <v>95</v>
      </c>
      <c r="X26" s="1815"/>
      <c r="Y26" s="3302" t="s">
        <v>2558</v>
      </c>
      <c r="Z26" s="1816" t="str">
        <f t="shared" ref="Z26:Z36" si="15">Q26</f>
        <v>配套类型</v>
      </c>
      <c r="AA26" s="1813">
        <f t="shared" si="3"/>
        <v>1.0526315789473684</v>
      </c>
      <c r="AB26" s="1813">
        <f t="shared" si="4"/>
        <v>1.0526315789473684</v>
      </c>
      <c r="AC26" s="1813">
        <f t="shared" si="5"/>
        <v>1.0526315789473684</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02"/>
      <c r="Q27" s="776" t="str">
        <f t="shared" si="11"/>
        <v>项目停车位配比</v>
      </c>
      <c r="R27" s="777" t="s">
        <v>17</v>
      </c>
      <c r="S27" s="778">
        <f t="shared" si="12"/>
        <v>100</v>
      </c>
      <c r="T27" s="777" t="s">
        <v>17</v>
      </c>
      <c r="U27" s="778">
        <f t="shared" si="13"/>
        <v>100</v>
      </c>
      <c r="V27" s="777" t="s">
        <v>17</v>
      </c>
      <c r="W27" s="778">
        <f t="shared" si="14"/>
        <v>100</v>
      </c>
      <c r="X27" s="779"/>
      <c r="Y27" s="3302"/>
      <c r="Z27" s="780" t="str">
        <f t="shared" si="15"/>
        <v>项目停车位配比</v>
      </c>
      <c r="AA27" s="1813">
        <f t="shared" si="3"/>
        <v>1</v>
      </c>
      <c r="AB27" s="1813">
        <f t="shared" si="4"/>
        <v>1</v>
      </c>
      <c r="AC27" s="1813">
        <f t="shared" si="5"/>
        <v>1</v>
      </c>
    </row>
    <row r="28" spans="1:29" ht="15">
      <c r="A28" s="656"/>
      <c r="B28" s="654" t="s">
        <v>2707</v>
      </c>
      <c r="C28" s="460" t="s">
        <v>3462</v>
      </c>
      <c r="D28" s="435">
        <v>100</v>
      </c>
      <c r="E28" s="460" t="s">
        <v>3462</v>
      </c>
      <c r="F28" s="461">
        <f>SUMIF(83:83,E28,84:84)-SUMIF(83:83,C28,84:84)+100</f>
        <v>100</v>
      </c>
      <c r="G28" s="460" t="s">
        <v>3462</v>
      </c>
      <c r="H28" s="435">
        <f>SUMIF(83:83,G28,84:84)-SUMIF(83:83,C28,84:84)+100</f>
        <v>100</v>
      </c>
      <c r="I28" s="460" t="s">
        <v>3462</v>
      </c>
      <c r="J28" s="435">
        <f>SUMIF(83:83,I28,84:84)-SUMIF(83:83,C28,84:84)+100</f>
        <v>100</v>
      </c>
      <c r="K28" s="612">
        <v>2</v>
      </c>
      <c r="L28" s="1143"/>
      <c r="M28" s="1134"/>
      <c r="N28" s="1134"/>
      <c r="O28" s="1134"/>
      <c r="P28" s="3302"/>
      <c r="Q28" s="1812" t="str">
        <f t="shared" si="11"/>
        <v>公共部分装修</v>
      </c>
      <c r="R28" s="774" t="s">
        <v>17</v>
      </c>
      <c r="S28" s="775">
        <f t="shared" si="12"/>
        <v>100</v>
      </c>
      <c r="T28" s="774" t="s">
        <v>17</v>
      </c>
      <c r="U28" s="775">
        <f t="shared" si="13"/>
        <v>100</v>
      </c>
      <c r="V28" s="774" t="s">
        <v>17</v>
      </c>
      <c r="W28" s="775">
        <f t="shared" si="14"/>
        <v>100</v>
      </c>
      <c r="X28" s="1815"/>
      <c r="Y28" s="3302"/>
      <c r="Z28" s="1816" t="str">
        <f t="shared" si="15"/>
        <v>公共部分装修</v>
      </c>
      <c r="AA28" s="1813">
        <f t="shared" si="3"/>
        <v>1</v>
      </c>
      <c r="AB28" s="1813">
        <f t="shared" si="4"/>
        <v>1</v>
      </c>
      <c r="AC28" s="1813">
        <f t="shared" si="5"/>
        <v>1</v>
      </c>
    </row>
    <row r="29" spans="1:29" ht="15">
      <c r="A29" s="656"/>
      <c r="B29" s="654" t="s">
        <v>2708</v>
      </c>
      <c r="C29" s="474">
        <v>0.98</v>
      </c>
      <c r="D29" s="435">
        <v>100</v>
      </c>
      <c r="E29" s="474">
        <v>1</v>
      </c>
      <c r="F29" s="461">
        <f>LOOKUP(E29,86:86,87:87)-LOOKUP(C29,86:86,87:87)+100</f>
        <v>100</v>
      </c>
      <c r="G29" s="474">
        <v>1</v>
      </c>
      <c r="H29" s="461">
        <f>LOOKUP(G29,86:86,87:87)-LOOKUP(C29,86:86,87:87)+100</f>
        <v>100</v>
      </c>
      <c r="I29" s="474">
        <v>1</v>
      </c>
      <c r="J29" s="435">
        <f>LOOKUP(I29,86:86,87:87)-LOOKUP(C29,86:86,87:87)+100</f>
        <v>100</v>
      </c>
      <c r="K29" s="612">
        <v>2</v>
      </c>
      <c r="L29" s="1143"/>
      <c r="M29" s="1134"/>
      <c r="N29" s="1134"/>
      <c r="O29" s="1134"/>
      <c r="P29" s="3302"/>
      <c r="Q29" s="1812" t="str">
        <f t="shared" si="11"/>
        <v>成新率</v>
      </c>
      <c r="R29" s="774" t="s">
        <v>17</v>
      </c>
      <c r="S29" s="775">
        <f t="shared" si="12"/>
        <v>100</v>
      </c>
      <c r="T29" s="774" t="s">
        <v>17</v>
      </c>
      <c r="U29" s="775">
        <f t="shared" si="13"/>
        <v>100</v>
      </c>
      <c r="V29" s="774" t="s">
        <v>17</v>
      </c>
      <c r="W29" s="775">
        <f t="shared" si="14"/>
        <v>100</v>
      </c>
      <c r="X29" s="1815"/>
      <c r="Y29" s="3302"/>
      <c r="Z29" s="1816" t="str">
        <f t="shared" si="15"/>
        <v>成新率</v>
      </c>
      <c r="AA29" s="1813">
        <f t="shared" si="3"/>
        <v>1</v>
      </c>
      <c r="AB29" s="1813">
        <f t="shared" si="4"/>
        <v>1</v>
      </c>
      <c r="AC29" s="1813">
        <f t="shared" si="5"/>
        <v>1</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302"/>
      <c r="Q30" s="1812" t="str">
        <f t="shared" si="11"/>
        <v>物业等级</v>
      </c>
      <c r="R30" s="774" t="s">
        <v>17</v>
      </c>
      <c r="S30" s="775">
        <f t="shared" si="12"/>
        <v>100</v>
      </c>
      <c r="T30" s="774" t="s">
        <v>17</v>
      </c>
      <c r="U30" s="775">
        <f t="shared" si="13"/>
        <v>100</v>
      </c>
      <c r="V30" s="774" t="s">
        <v>17</v>
      </c>
      <c r="W30" s="775">
        <f t="shared" si="14"/>
        <v>100</v>
      </c>
      <c r="X30" s="1815"/>
      <c r="Y30" s="3302"/>
      <c r="Z30" s="1816" t="str">
        <f t="shared" si="15"/>
        <v>物业等级</v>
      </c>
      <c r="AA30" s="1813">
        <f t="shared" si="3"/>
        <v>1</v>
      </c>
      <c r="AB30" s="1813">
        <f t="shared" si="4"/>
        <v>1</v>
      </c>
      <c r="AC30" s="1813">
        <f t="shared" si="5"/>
        <v>1</v>
      </c>
    </row>
    <row r="31" spans="1:29" s="117" customFormat="1" ht="15">
      <c r="A31" s="658"/>
      <c r="B31" s="654" t="s">
        <v>2710</v>
      </c>
      <c r="C31" s="469">
        <v>13</v>
      </c>
      <c r="D31" s="136">
        <v>100</v>
      </c>
      <c r="E31" s="469">
        <v>13</v>
      </c>
      <c r="F31" s="461">
        <f>LOOKUP(E31,91:91,92:92)-LOOKUP(C31,91:91,92:92)+100</f>
        <v>100</v>
      </c>
      <c r="G31" s="469">
        <v>13</v>
      </c>
      <c r="H31" s="435">
        <f>LOOKUP(G31,91:91,92:92)-LOOKUP(C31,91:91,92:92)+100</f>
        <v>100</v>
      </c>
      <c r="I31" s="469">
        <v>13</v>
      </c>
      <c r="J31" s="435">
        <f>LOOKUP(I31,91:91,92:92)-LOOKUP(C31,91:91,92:92)+100</f>
        <v>100</v>
      </c>
      <c r="K31" s="612">
        <v>2</v>
      </c>
      <c r="L31" s="1135"/>
      <c r="M31" s="1136"/>
      <c r="N31" s="1136"/>
      <c r="O31" s="1136"/>
      <c r="P31" s="3302"/>
      <c r="Q31" s="1797" t="str">
        <f t="shared" si="11"/>
        <v>停车位面积</v>
      </c>
      <c r="R31" s="770" t="s">
        <v>17</v>
      </c>
      <c r="S31" s="771">
        <f t="shared" si="12"/>
        <v>100</v>
      </c>
      <c r="T31" s="770" t="s">
        <v>17</v>
      </c>
      <c r="U31" s="771">
        <f t="shared" si="13"/>
        <v>100</v>
      </c>
      <c r="V31" s="770" t="s">
        <v>17</v>
      </c>
      <c r="W31" s="771">
        <f t="shared" si="14"/>
        <v>100</v>
      </c>
      <c r="X31" s="772"/>
      <c r="Y31" s="3302"/>
      <c r="Z31" s="55" t="str">
        <f t="shared" si="15"/>
        <v>停车位面积</v>
      </c>
      <c r="AA31" s="773">
        <f t="shared" si="3"/>
        <v>1</v>
      </c>
      <c r="AB31" s="773">
        <f t="shared" si="4"/>
        <v>1</v>
      </c>
      <c r="AC31" s="773">
        <f t="shared" si="5"/>
        <v>1</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302" t="s">
        <v>2558</v>
      </c>
      <c r="Q32" s="1812" t="str">
        <f t="shared" si="11"/>
        <v>车位类型</v>
      </c>
      <c r="R32" s="774" t="s">
        <v>17</v>
      </c>
      <c r="S32" s="775">
        <f t="shared" si="12"/>
        <v>100</v>
      </c>
      <c r="T32" s="774" t="s">
        <v>17</v>
      </c>
      <c r="U32" s="775">
        <f t="shared" si="13"/>
        <v>100</v>
      </c>
      <c r="V32" s="774" t="s">
        <v>17</v>
      </c>
      <c r="W32" s="775">
        <f t="shared" si="14"/>
        <v>100</v>
      </c>
      <c r="X32" s="1815"/>
      <c r="Y32" s="3302" t="s">
        <v>2558</v>
      </c>
      <c r="Z32" s="1816" t="str">
        <f t="shared" si="15"/>
        <v>车位类型</v>
      </c>
      <c r="AA32" s="1813">
        <f t="shared" si="3"/>
        <v>1</v>
      </c>
      <c r="AB32" s="1813">
        <f t="shared" si="4"/>
        <v>1</v>
      </c>
      <c r="AC32" s="1813">
        <f t="shared" si="5"/>
        <v>1</v>
      </c>
    </row>
    <row r="33" spans="1:29" ht="15">
      <c r="A33" s="656"/>
      <c r="B33" s="654" t="s">
        <v>2712</v>
      </c>
      <c r="C33" s="460" t="s">
        <v>3340</v>
      </c>
      <c r="D33" s="435">
        <v>100</v>
      </c>
      <c r="E33" s="460" t="s">
        <v>3340</v>
      </c>
      <c r="F33" s="461">
        <f>SUMIF(95:95,E33,96:96)-SUMIF(95:95,C33,96:96)+100</f>
        <v>100</v>
      </c>
      <c r="G33" s="460" t="s">
        <v>3340</v>
      </c>
      <c r="H33" s="435">
        <f>SUMIF(95:95,G33,96:96)-SUMIF(95:95,C33,96:96)+100</f>
        <v>100</v>
      </c>
      <c r="I33" s="460" t="s">
        <v>3340</v>
      </c>
      <c r="J33" s="435">
        <f>SUMIF(95:95,I33,96:96)-SUMIF(95:95,C33,96:96)+100</f>
        <v>100</v>
      </c>
      <c r="K33" s="612">
        <v>2</v>
      </c>
      <c r="L33" s="1143"/>
      <c r="M33" s="1134"/>
      <c r="N33" s="1134"/>
      <c r="O33" s="1134"/>
      <c r="P33" s="3302"/>
      <c r="Q33" s="1812" t="str">
        <f t="shared" si="11"/>
        <v>是否直接入户</v>
      </c>
      <c r="R33" s="774" t="s">
        <v>17</v>
      </c>
      <c r="S33" s="775">
        <f t="shared" si="12"/>
        <v>100</v>
      </c>
      <c r="T33" s="774" t="s">
        <v>17</v>
      </c>
      <c r="U33" s="775">
        <f t="shared" si="13"/>
        <v>100</v>
      </c>
      <c r="V33" s="774" t="s">
        <v>17</v>
      </c>
      <c r="W33" s="775">
        <f t="shared" si="14"/>
        <v>100</v>
      </c>
      <c r="X33" s="1815"/>
      <c r="Y33" s="330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02"/>
      <c r="Q34" s="1812">
        <f t="shared" si="11"/>
        <v>111</v>
      </c>
      <c r="R34" s="774" t="s">
        <v>17</v>
      </c>
      <c r="S34" s="775">
        <f t="shared" si="12"/>
        <v>100</v>
      </c>
      <c r="T34" s="774" t="s">
        <v>17</v>
      </c>
      <c r="U34" s="775">
        <f t="shared" si="13"/>
        <v>100</v>
      </c>
      <c r="V34" s="774" t="s">
        <v>17</v>
      </c>
      <c r="W34" s="775">
        <f t="shared" si="14"/>
        <v>100</v>
      </c>
      <c r="X34" s="1815"/>
      <c r="Y34" s="330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02"/>
      <c r="Q35" s="776">
        <f t="shared" si="11"/>
        <v>111</v>
      </c>
      <c r="R35" s="777" t="s">
        <v>17</v>
      </c>
      <c r="S35" s="778">
        <f t="shared" si="12"/>
        <v>100</v>
      </c>
      <c r="T35" s="777" t="s">
        <v>17</v>
      </c>
      <c r="U35" s="778">
        <f t="shared" si="13"/>
        <v>100</v>
      </c>
      <c r="V35" s="777" t="s">
        <v>17</v>
      </c>
      <c r="W35" s="778">
        <f t="shared" si="14"/>
        <v>100</v>
      </c>
      <c r="X35" s="779"/>
      <c r="Y35" s="330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02"/>
      <c r="Q36" s="1812">
        <f t="shared" si="11"/>
        <v>111</v>
      </c>
      <c r="R36" s="774" t="s">
        <v>17</v>
      </c>
      <c r="S36" s="775">
        <f t="shared" si="12"/>
        <v>100</v>
      </c>
      <c r="T36" s="774" t="s">
        <v>17</v>
      </c>
      <c r="U36" s="775">
        <f t="shared" si="13"/>
        <v>100</v>
      </c>
      <c r="V36" s="774" t="s">
        <v>17</v>
      </c>
      <c r="W36" s="775">
        <f t="shared" si="14"/>
        <v>100</v>
      </c>
      <c r="X36" s="1815"/>
      <c r="Y36" s="3302"/>
      <c r="Z36" s="1816">
        <f t="shared" si="15"/>
        <v>111</v>
      </c>
      <c r="AA36" s="1813">
        <f t="shared" si="3"/>
        <v>1</v>
      </c>
      <c r="AB36" s="1813">
        <f t="shared" si="4"/>
        <v>1</v>
      </c>
      <c r="AC36" s="1813">
        <f t="shared" si="5"/>
        <v>1</v>
      </c>
    </row>
    <row r="37" spans="1:29" ht="15">
      <c r="A37" s="479" t="s">
        <v>2713</v>
      </c>
      <c r="B37" s="2694" t="s">
        <v>3469</v>
      </c>
      <c r="C37" s="1410" t="s">
        <v>1</v>
      </c>
      <c r="D37" s="1411"/>
      <c r="E37" s="1412">
        <v>110000</v>
      </c>
      <c r="F37" s="1413"/>
      <c r="G37" s="1414">
        <v>90000</v>
      </c>
      <c r="H37" s="1415"/>
      <c r="I37" s="1412">
        <v>110000</v>
      </c>
      <c r="J37" s="1415"/>
      <c r="K37" s="619"/>
      <c r="L37" s="1146"/>
      <c r="M37" s="1147"/>
      <c r="N37" s="1134"/>
      <c r="O37" s="1147"/>
      <c r="P37" s="3295" t="str">
        <f>A37</f>
        <v>成交单价</v>
      </c>
      <c r="Q37" s="3295"/>
      <c r="R37" s="3296">
        <f>E37</f>
        <v>110000</v>
      </c>
      <c r="S37" s="3296"/>
      <c r="T37" s="3296">
        <f>G37</f>
        <v>90000</v>
      </c>
      <c r="U37" s="3296"/>
      <c r="V37" s="3296">
        <f>I37</f>
        <v>110000</v>
      </c>
      <c r="W37" s="3296"/>
      <c r="X37" s="759"/>
      <c r="Y37" s="781"/>
      <c r="Z37" s="759"/>
      <c r="AA37" s="759"/>
      <c r="AB37" s="759"/>
      <c r="AC37" s="759"/>
    </row>
    <row r="38" spans="1:29" ht="15.75" thickBot="1">
      <c r="A38" s="486" t="s">
        <v>2714</v>
      </c>
      <c r="B38" s="487" t="str">
        <f>B37</f>
        <v>元/车位</v>
      </c>
      <c r="C38" s="1416">
        <f>R39</f>
        <v>109748</v>
      </c>
      <c r="D38" s="1417"/>
      <c r="E38" s="1418">
        <f>R38</f>
        <v>115789</v>
      </c>
      <c r="F38" s="1418"/>
      <c r="G38" s="1416">
        <f>T38</f>
        <v>97667</v>
      </c>
      <c r="H38" s="1417"/>
      <c r="I38" s="1418">
        <f>V38</f>
        <v>115789</v>
      </c>
      <c r="J38" s="1417"/>
      <c r="K38" s="620"/>
      <c r="L38" s="1146"/>
      <c r="M38" s="1147"/>
      <c r="N38" s="1147"/>
      <c r="O38" s="1147"/>
      <c r="P38" s="3295" t="str">
        <f>A38</f>
        <v>比较价值（元/平方米）</v>
      </c>
      <c r="Q38" s="3295"/>
      <c r="R38" s="3296">
        <f>IF(F1="售价",ROUND(PRODUCT(R37,AA7:AA36),0),ROUND(PRODUCT(R37,AA7:AA36),1))</f>
        <v>115789</v>
      </c>
      <c r="S38" s="3296"/>
      <c r="T38" s="3296">
        <f>IF(F1="售价",ROUND(PRODUCT(T37,AB7:AB36),0),ROUND(PRODUCT(T37,AB7:AB36),1))</f>
        <v>97667</v>
      </c>
      <c r="U38" s="3296"/>
      <c r="V38" s="3296">
        <f>IF(F1="售价",ROUND(PRODUCT(V37,AC7:AC36),0),ROUND(PRODUCT(V37,AC7:AC36),1))</f>
        <v>115789</v>
      </c>
      <c r="W38" s="3296"/>
      <c r="X38" s="759"/>
      <c r="Y38" s="759"/>
      <c r="Z38" s="759"/>
      <c r="AA38" s="759"/>
      <c r="AB38" s="759"/>
      <c r="AC38" s="759"/>
    </row>
    <row r="39" spans="1:29" ht="15.75" thickBot="1">
      <c r="A39" s="492" t="s">
        <v>3472</v>
      </c>
      <c r="B39" s="493"/>
      <c r="C39" s="1420">
        <f>R39</f>
        <v>109748</v>
      </c>
      <c r="D39" s="1420"/>
      <c r="E39" s="1420"/>
      <c r="F39" s="1420"/>
      <c r="G39" s="1420"/>
      <c r="H39" s="1420"/>
      <c r="I39" s="1420"/>
      <c r="J39" s="1420"/>
      <c r="K39" s="621"/>
      <c r="L39" s="1146"/>
      <c r="M39" s="1147"/>
      <c r="N39" s="1147"/>
      <c r="O39" s="1147"/>
      <c r="P39" s="3292" t="str">
        <f>A39</f>
        <v>估价对象地下车库用房的比较价值（楼面单价，元/平方米）</v>
      </c>
      <c r="Q39" s="3293"/>
      <c r="R39" s="3294">
        <f>IF(F1="售价",ROUND(AVERAGE(R38:V38),0),ROUND(AVERAGE(R38:V38),1))</f>
        <v>109748</v>
      </c>
      <c r="S39" s="3294"/>
      <c r="T39" s="3294"/>
      <c r="U39" s="3294"/>
      <c r="V39" s="3294"/>
      <c r="W39" s="329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f>IF(E37&lt;E38,E38/E37-1,E37/E38-1)</f>
        <v>5.2627272727272745E-2</v>
      </c>
      <c r="F42" s="500" t="str">
        <f>IF(OR(E42&gt;=0.3,E42&lt;=-0.3),"超过30%","")</f>
        <v/>
      </c>
      <c r="G42" s="499">
        <f>IF(G37&lt;G38,G38/G37-1,G37/G38-1)</f>
        <v>8.5188888888888981E-2</v>
      </c>
      <c r="H42" s="500" t="str">
        <f>IF(OR(G42&gt;=0.3,G42&lt;=-0.3),"超过30%","")</f>
        <v/>
      </c>
      <c r="I42" s="499">
        <f>IF(I37&lt;I38,I38/I37-1,I37/I38-1)</f>
        <v>5.2627272727272745E-2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f>IF(E38&lt;G38,G38/E38-1,E38/G38-1)</f>
        <v>0.18554885478206562</v>
      </c>
      <c r="F43" s="500" t="str">
        <f>IF(OR(E43&gt;=0.2,E43&lt;=-0.2),"超过20%","")</f>
        <v/>
      </c>
      <c r="G43" s="499">
        <f>IF(G38&lt;I38,I38/G38-1,G38/I38-1)</f>
        <v>0.18554885478206562</v>
      </c>
      <c r="H43" s="500" t="str">
        <f>IF(OR(G43&gt;=0.2,G43&lt;=-0.2),"超过20%","")</f>
        <v/>
      </c>
      <c r="I43" s="499">
        <f>IF(I38&lt;E38,E38/I38-1,I38/E38-1)</f>
        <v>0</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f>IF(E37&lt;G37,G37/E37-1,E37/G37-1)</f>
        <v>0.22222222222222232</v>
      </c>
      <c r="F44" s="500" t="str">
        <f>IF(OR(E44&gt;=0.3,E44&lt;=-0.3),"超过30%","")</f>
        <v/>
      </c>
      <c r="G44" s="499">
        <f>IF(G37&lt;I37,I37/G37-1,G37/I37-1)</f>
        <v>0.22222222222222232</v>
      </c>
      <c r="H44" s="500" t="str">
        <f>IF(OR(G44&gt;=0.3,G44&lt;=-0.3),"超过30%","")</f>
        <v/>
      </c>
      <c r="I44" s="499">
        <f>IF(I37&lt;E37,E37/I37-1,I37/E37-1)</f>
        <v>0</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t="str">
        <f>C9</f>
        <v>地下车库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hidden="1"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hidden="1"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hidden="1"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hidden="1"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hidden="1"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hidden="1"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97</v>
      </c>
      <c r="E64" s="544">
        <f>D64-$K14</f>
        <v>94</v>
      </c>
      <c r="F64" s="544">
        <f>E64-$K14</f>
        <v>91</v>
      </c>
      <c r="G64" s="544">
        <f>F64-$K14</f>
        <v>88</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97</v>
      </c>
      <c r="E70" s="544">
        <f>D70-$K20</f>
        <v>94</v>
      </c>
      <c r="F70" s="544">
        <f>E70-$K20</f>
        <v>91</v>
      </c>
      <c r="G70" s="544">
        <f>F70-$K20</f>
        <v>88</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2721</v>
      </c>
      <c r="C79" s="529" t="str">
        <f>C26</f>
        <v>商业</v>
      </c>
      <c r="D79" s="3017" t="s">
        <v>3459</v>
      </c>
      <c r="E79" s="3017" t="s">
        <v>3457</v>
      </c>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3019" t="s">
        <v>3460</v>
      </c>
      <c r="D83" s="3019" t="s">
        <v>3461</v>
      </c>
      <c r="E83" s="3020" t="s">
        <v>3463</v>
      </c>
      <c r="F83" s="3020" t="s">
        <v>3464</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0(含)-20</v>
      </c>
      <c r="D90" s="578" t="str">
        <f t="shared" ref="D90:L90" si="21">D91&amp;"(含)"&amp;"-"&amp;E91</f>
        <v>20(含)-30</v>
      </c>
      <c r="E90" s="578" t="str">
        <f t="shared" si="21"/>
        <v>30(含)-40</v>
      </c>
      <c r="F90" s="578" t="str">
        <f t="shared" si="21"/>
        <v>40(含)-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30</v>
      </c>
      <c r="F91" s="595">
        <v>40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3019" t="s">
        <v>3466</v>
      </c>
      <c r="D93" s="3019" t="s">
        <v>3465</v>
      </c>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3017" t="s">
        <v>3467</v>
      </c>
      <c r="D95" s="3017" t="s">
        <v>3468</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3" priority="14" stopIfTrue="1" operator="containsText" text="超过">
      <formula>NOT(ISERROR(SEARCH("超过",F42)))</formula>
    </cfRule>
  </conditionalFormatting>
  <conditionalFormatting sqref="J44">
    <cfRule type="containsText" dxfId="22" priority="13" stopIfTrue="1" operator="containsText" text="超过">
      <formula>NOT(ISERROR(SEARCH("超过",J44)))</formula>
    </cfRule>
  </conditionalFormatting>
  <conditionalFormatting sqref="H44">
    <cfRule type="containsText" dxfId="21" priority="12" stopIfTrue="1" operator="containsText" text="超过">
      <formula>NOT(ISERROR(SEARCH("超过",H44)))</formula>
    </cfRule>
  </conditionalFormatting>
  <conditionalFormatting sqref="F44">
    <cfRule type="containsText" dxfId="20" priority="11" stopIfTrue="1" operator="containsText" text="超过">
      <formula>NOT(ISERROR(SEARCH("超过",F44)))</formula>
    </cfRule>
  </conditionalFormatting>
  <conditionalFormatting sqref="F43 H43 J43">
    <cfRule type="containsText" dxfId="19" priority="10" stopIfTrue="1" operator="containsText" text="超过">
      <formula>NOT(ISERROR(SEARCH("超过",F43)))</formula>
    </cfRule>
  </conditionalFormatting>
  <conditionalFormatting sqref="E42">
    <cfRule type="expression" dxfId="18" priority="9" stopIfTrue="1">
      <formula>$F$42="超过30%"</formula>
    </cfRule>
  </conditionalFormatting>
  <conditionalFormatting sqref="G44">
    <cfRule type="expression" dxfId="17" priority="8" stopIfTrue="1">
      <formula>$H$54+$H$44="超过30%"</formula>
    </cfRule>
  </conditionalFormatting>
  <conditionalFormatting sqref="E43">
    <cfRule type="expression" dxfId="16" priority="7" stopIfTrue="1">
      <formula>$F$43="超过20%"</formula>
    </cfRule>
  </conditionalFormatting>
  <conditionalFormatting sqref="E44">
    <cfRule type="expression" dxfId="15" priority="6" stopIfTrue="1">
      <formula>$F$44="超过30%"</formula>
    </cfRule>
  </conditionalFormatting>
  <conditionalFormatting sqref="G42">
    <cfRule type="expression" dxfId="14" priority="5" stopIfTrue="1">
      <formula>$H$52+$H$42="超过30%"</formula>
    </cfRule>
  </conditionalFormatting>
  <conditionalFormatting sqref="G43">
    <cfRule type="expression" dxfId="13" priority="4" stopIfTrue="1">
      <formula>$H$43="超过20%"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8" sqref="C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35.11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1639</v>
      </c>
      <c r="C2" s="1847" t="s">
        <v>1591</v>
      </c>
      <c r="D2" s="1940">
        <f ca="1">C40+J29+L46</f>
        <v>16391212</v>
      </c>
      <c r="E2" s="1848" t="s">
        <v>1592</v>
      </c>
      <c r="F2" s="1849"/>
      <c r="G2" s="1850"/>
      <c r="H2" s="1842"/>
      <c r="I2" s="1842"/>
      <c r="J2" s="1842"/>
      <c r="K2" s="1843"/>
      <c r="L2" s="1842"/>
      <c r="M2" s="1842"/>
    </row>
    <row r="3" spans="1:37" ht="18" customHeight="1" thickBot="1">
      <c r="A3" s="1851" t="s">
        <v>1593</v>
      </c>
      <c r="B3" s="1852">
        <f ca="1">IF(ISERROR(D2/F43),0,ROUND(D2/F43,0))</f>
        <v>6027</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1096200</v>
      </c>
      <c r="D5" s="1824" t="s">
        <v>1601</v>
      </c>
      <c r="E5" s="1296"/>
      <c r="F5" s="1297"/>
      <c r="G5" s="1853"/>
      <c r="H5" s="344">
        <v>1</v>
      </c>
      <c r="I5" s="345" t="s">
        <v>1600</v>
      </c>
      <c r="J5" s="1295">
        <f ca="1">J6+J10+J12</f>
        <v>0</v>
      </c>
      <c r="K5" s="1824" t="s">
        <v>1601</v>
      </c>
      <c r="L5" s="1296"/>
      <c r="M5" s="1297"/>
    </row>
    <row r="6" spans="1:37" ht="18" customHeight="1">
      <c r="A6" s="1294" t="s">
        <v>1035</v>
      </c>
      <c r="B6" s="3368" t="s">
        <v>1403</v>
      </c>
      <c r="C6" s="1299">
        <f ca="1">ROUND(F6*F8*F7*(1-F9),0)</f>
        <v>1096200</v>
      </c>
      <c r="D6" s="164" t="s">
        <v>3018</v>
      </c>
      <c r="E6" s="347" t="s">
        <v>1405</v>
      </c>
      <c r="F6" s="348">
        <f ca="1">INDIRECT("'数据-取费表'!u"&amp;$G$1)</f>
        <v>500</v>
      </c>
      <c r="G6" s="1853"/>
      <c r="H6" s="1294" t="s">
        <v>1035</v>
      </c>
      <c r="I6" s="3368" t="s">
        <v>1403</v>
      </c>
      <c r="J6" s="346">
        <f ca="1">ROUND(M6*M8*M7*(1-M9),0)</f>
        <v>0</v>
      </c>
      <c r="K6" s="1836" t="s">
        <v>3019</v>
      </c>
      <c r="L6" s="347" t="s">
        <v>1405</v>
      </c>
      <c r="M6" s="348">
        <f ca="1">INDIRECT("'数据-取费表'!z"&amp;$G$1)</f>
        <v>0</v>
      </c>
    </row>
    <row r="7" spans="1:37" ht="18" customHeight="1">
      <c r="A7" s="1298"/>
      <c r="B7" s="3369"/>
      <c r="C7" s="1300"/>
      <c r="D7" s="352"/>
      <c r="E7" s="1301" t="s">
        <v>1406</v>
      </c>
      <c r="F7" s="348">
        <f ca="1">IF(INDIRECT("'数据-取费表'!ah"&amp;$G$1)="",INDIRECT("'数据-取费表'!k"&amp;$G$1),INDIRECT("'数据-取费表'!ah"&amp;$G$1))</f>
        <v>203</v>
      </c>
      <c r="G7" s="1853"/>
      <c r="H7" s="349"/>
      <c r="I7" s="3369"/>
      <c r="J7" s="351"/>
      <c r="K7" s="352"/>
      <c r="L7" s="347" t="s">
        <v>1406</v>
      </c>
      <c r="M7" s="348">
        <f ca="1">F7</f>
        <v>203</v>
      </c>
    </row>
    <row r="8" spans="1:37" ht="18" customHeight="1">
      <c r="A8" s="349"/>
      <c r="B8" s="3369"/>
      <c r="C8" s="351"/>
      <c r="D8" s="352"/>
      <c r="E8" s="347" t="s">
        <v>1407</v>
      </c>
      <c r="F8" s="348">
        <f ca="1">INDIRECT("'数据-取费表'!ai"&amp;$G$1)</f>
        <v>12</v>
      </c>
      <c r="G8" s="1853"/>
      <c r="H8" s="349"/>
      <c r="I8" s="3369"/>
      <c r="J8" s="351"/>
      <c r="K8" s="352"/>
      <c r="L8" s="347" t="s">
        <v>1407</v>
      </c>
      <c r="M8" s="348">
        <f ca="1">INDIRECT("'数据-取费表'!ai"&amp;$G$1)</f>
        <v>12</v>
      </c>
    </row>
    <row r="9" spans="1:37" ht="18" customHeight="1">
      <c r="A9" s="349"/>
      <c r="B9" s="3370"/>
      <c r="C9" s="351"/>
      <c r="D9" s="352"/>
      <c r="E9" s="347" t="s">
        <v>1408</v>
      </c>
      <c r="F9" s="357">
        <f ca="1">INDIRECT("'数据-取费表'!w"&amp;$G$1)</f>
        <v>0.1</v>
      </c>
      <c r="G9" s="1853"/>
      <c r="H9" s="349"/>
      <c r="I9" s="337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3029</v>
      </c>
      <c r="E10" s="358" t="s">
        <v>1410</v>
      </c>
      <c r="F10" s="1369" t="s">
        <v>3364</v>
      </c>
      <c r="G10" s="1853"/>
      <c r="H10" s="1294" t="s">
        <v>1039</v>
      </c>
      <c r="I10" s="1825" t="s">
        <v>1409</v>
      </c>
      <c r="J10" s="346">
        <f ca="1">ROUND(IF(M10="押一",J6/12*M11,IF(M10="押二",J6/12*2*M11,IF(M10="押三",J6/12*3*M11,J11*M11))),0)</f>
        <v>0</v>
      </c>
      <c r="K10" s="1837" t="s">
        <v>3031</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7902984</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5439280</v>
      </c>
      <c r="D14" s="1802" t="s">
        <v>1418</v>
      </c>
      <c r="E14" s="1796"/>
      <c r="F14" s="364"/>
      <c r="G14" s="1853"/>
      <c r="H14" s="1204" t="s">
        <v>1035</v>
      </c>
      <c r="I14" s="347" t="s">
        <v>1419</v>
      </c>
      <c r="J14" s="24">
        <f ca="1">C29</f>
        <v>8064269</v>
      </c>
      <c r="K14" s="15"/>
      <c r="L14" s="982"/>
      <c r="M14" s="983"/>
    </row>
    <row r="15" spans="1:37" s="1860" customFormat="1" ht="18" customHeight="1" thickBot="1">
      <c r="A15" s="1204" t="s">
        <v>1036</v>
      </c>
      <c r="B15" s="347" t="s">
        <v>1420</v>
      </c>
      <c r="C15" s="24">
        <f ca="1">ROUND(C14*F15,0)</f>
        <v>163178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242369</v>
      </c>
      <c r="K16" s="1340" t="s">
        <v>1425</v>
      </c>
      <c r="L16" s="1341"/>
      <c r="M16" s="1297"/>
    </row>
    <row r="17" spans="1:37" s="1860" customFormat="1" ht="18" customHeight="1">
      <c r="A17" s="1204" t="s">
        <v>1390</v>
      </c>
      <c r="B17" s="347" t="s">
        <v>1426</v>
      </c>
      <c r="C17" s="24">
        <f ca="1">ROUND(F17*(F43+INDIRECT("'数据-取费表'!S"&amp;$G$1)),0)</f>
        <v>543928</v>
      </c>
      <c r="D17" s="347" t="s">
        <v>1427</v>
      </c>
      <c r="E17" s="347" t="s">
        <v>1428</v>
      </c>
      <c r="F17" s="26">
        <f>'数据-取费表'!B35</f>
        <v>200</v>
      </c>
      <c r="G17" s="1856"/>
      <c r="H17" s="1204" t="s">
        <v>1035</v>
      </c>
      <c r="I17" s="347" t="s">
        <v>1429</v>
      </c>
      <c r="J17" s="24">
        <f ca="1">ROUND(IF(项目基本情况!B11="自然人",J5*M17,J18+J19+J20),0)</f>
        <v>121405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81589</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6227975</v>
      </c>
      <c r="D19" s="140" t="s">
        <v>1436</v>
      </c>
      <c r="E19" s="1820"/>
      <c r="F19" s="26"/>
      <c r="G19" s="1853"/>
      <c r="H19" s="1204" t="s">
        <v>1036</v>
      </c>
      <c r="I19" s="347" t="s">
        <v>1437</v>
      </c>
      <c r="J19" s="24">
        <f ca="1">IF(K19="按租金收入计税",ROUND(J5*M19,0),ROUND(C29*M19*0.7,0))</f>
        <v>67740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124560</v>
      </c>
      <c r="D20" s="369" t="s">
        <v>1440</v>
      </c>
      <c r="E20" s="347" t="s">
        <v>1422</v>
      </c>
      <c r="F20" s="367">
        <f>'数据-取费表'!B37</f>
        <v>0.02</v>
      </c>
      <c r="G20" s="1856"/>
      <c r="H20" s="1204" t="s">
        <v>1389</v>
      </c>
      <c r="I20" s="164" t="s">
        <v>1441</v>
      </c>
      <c r="J20" s="25">
        <f ca="1">ROUND(M20*M21,0)</f>
        <v>53665</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5366.47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120964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457951</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-242369</v>
      </c>
      <c r="K25" s="1348" t="s">
        <v>1464</v>
      </c>
      <c r="L25" s="1349"/>
      <c r="M25" s="1350"/>
    </row>
    <row r="26" spans="1:37" ht="18" customHeight="1">
      <c r="A26" s="1204" t="s">
        <v>1034</v>
      </c>
      <c r="B26" s="347" t="s">
        <v>1465</v>
      </c>
      <c r="C26" s="24">
        <f ca="1">ROUND((C19+C20)*F26,0)</f>
        <v>635254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8064269</v>
      </c>
      <c r="D29" s="1345"/>
      <c r="E29" s="1343"/>
      <c r="F29" s="1346"/>
      <c r="G29" s="1856"/>
      <c r="H29" s="380" t="s">
        <v>1033</v>
      </c>
      <c r="I29" s="381" t="s">
        <v>1479</v>
      </c>
      <c r="J29" s="382">
        <f ca="1">ROUND(J26/(1+F40)^F41,0)</f>
        <v>0</v>
      </c>
      <c r="K29" s="383" t="s">
        <v>1480</v>
      </c>
      <c r="L29" s="384"/>
      <c r="M29" s="385">
        <f ca="1">INDIRECT("'数据-取费表'!k"&amp;$G$1)</f>
        <v>2719.64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387453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243673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58464</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131544</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53665</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5366.47</v>
      </c>
      <c r="G35" s="1853"/>
      <c r="H35" s="745"/>
      <c r="I35" s="1862"/>
      <c r="J35" s="1863"/>
      <c r="K35" s="1864"/>
      <c r="L35" s="1861"/>
      <c r="M35" s="1861"/>
    </row>
    <row r="36" spans="1:18" ht="18" customHeight="1">
      <c r="A36" s="1355" t="s">
        <v>1039</v>
      </c>
      <c r="B36" s="347" t="s">
        <v>1449</v>
      </c>
      <c r="C36" s="24">
        <f ca="1">ROUND(C29*F36,0)</f>
        <v>120964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11854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10962</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708747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16234688</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ROUND(C40/F43,0)</f>
        <v>5969</v>
      </c>
      <c r="D43" s="383" t="s">
        <v>1488</v>
      </c>
      <c r="E43" s="384" t="s">
        <v>1489</v>
      </c>
      <c r="F43" s="385">
        <f ca="1">INDIRECT("'数据-取费表'!k"&amp;$G$1)</f>
        <v>2719.64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-36022927</v>
      </c>
      <c r="D45" s="1942" t="s">
        <v>1604</v>
      </c>
      <c r="E45" s="1868"/>
      <c r="F45" s="1868"/>
      <c r="O45" s="1871" t="s">
        <v>1519</v>
      </c>
      <c r="P45" s="1841"/>
      <c r="Q45" s="1841"/>
      <c r="R45" s="1841"/>
    </row>
    <row r="46" spans="1:18" s="1844" customFormat="1" ht="13.5" thickBot="1">
      <c r="A46" s="1872" t="s">
        <v>1520</v>
      </c>
      <c r="C46" s="1873">
        <f ca="1">ROUND(C45/10000,0)</f>
        <v>-3602</v>
      </c>
      <c r="D46" s="1874" t="str">
        <f>C2</f>
        <v>万元</v>
      </c>
      <c r="I46" s="1875" t="s">
        <v>1521</v>
      </c>
      <c r="J46" s="1876"/>
      <c r="K46" s="1877"/>
      <c r="L46" s="1878">
        <f ca="1">IF(M47="住宅",0,IF(L48&gt;J51,L60,J60))</f>
        <v>156524</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16234688</v>
      </c>
      <c r="R47" s="1888" t="s">
        <v>1529</v>
      </c>
    </row>
    <row r="48" spans="1:18" s="1844" customFormat="1" ht="28.5" thickBot="1">
      <c r="A48" s="1363" t="s">
        <v>1135</v>
      </c>
      <c r="B48" s="345" t="s">
        <v>1401</v>
      </c>
      <c r="C48" s="1819">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156524</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2017</v>
      </c>
      <c r="K49" s="1891" t="s">
        <v>1535</v>
      </c>
      <c r="L49" s="1895"/>
      <c r="O49" s="1896" t="s">
        <v>1042</v>
      </c>
      <c r="P49" s="1887" t="s">
        <v>1536</v>
      </c>
      <c r="Q49" s="1888">
        <f ca="1">C29</f>
        <v>8064269</v>
      </c>
      <c r="R49" s="1888" t="s">
        <v>1529</v>
      </c>
    </row>
    <row r="50" spans="1:18" s="1844" customFormat="1" ht="13.5" thickBot="1">
      <c r="A50" s="1198"/>
      <c r="B50" s="1201"/>
      <c r="C50" s="1202"/>
      <c r="D50" s="1175"/>
      <c r="E50" s="1280" t="s">
        <v>1406</v>
      </c>
      <c r="F50" s="1281">
        <f ca="1">F7</f>
        <v>203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12</v>
      </c>
      <c r="I51" s="1900" t="s">
        <v>1540</v>
      </c>
      <c r="J51" s="1901">
        <f>IF(J49="",J50,J49+J50-YEAR('数据-取费表'!B2))</f>
        <v>59</v>
      </c>
      <c r="K51" s="1902" t="s">
        <v>1541</v>
      </c>
      <c r="L51" s="1903">
        <f ca="1">ROUND(-PV(INDIRECT("'数据-取费表'!h"&amp;$G$1),L48,(C39-C13*C76),0),0)</f>
        <v>691476</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30.75" customHeight="1" thickBot="1">
      <c r="A53" s="1364" t="s">
        <v>1137</v>
      </c>
      <c r="B53" s="369" t="s">
        <v>1409</v>
      </c>
      <c r="C53" s="361">
        <f ca="1">ROUND(IF(F53="押一",C49/12*F11,IF(F53="押二",C49/12*2*F11,IF(F53="押三",C49/12*3*F11,C54*F11))),0)</f>
        <v>0</v>
      </c>
      <c r="D53" s="1826" t="s">
        <v>3032</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66" t="s">
        <v>1548</v>
      </c>
      <c r="L53" s="3367"/>
      <c r="O53" s="1886" t="s">
        <v>1046</v>
      </c>
      <c r="P53" s="1887" t="s">
        <v>1549</v>
      </c>
      <c r="Q53" s="1888">
        <f ca="1">Q47+Q48</f>
        <v>16391212</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0.39800000000000002</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7902984</v>
      </c>
      <c r="D56" s="1916"/>
      <c r="E56" s="1917"/>
      <c r="F56" s="1909"/>
      <c r="I56" s="1918" t="s">
        <v>1554</v>
      </c>
      <c r="J56" s="1919" t="s">
        <v>3340</v>
      </c>
      <c r="K56" s="1889" t="s">
        <v>1555</v>
      </c>
      <c r="L56" s="1892" t="str">
        <f ca="1">IF(L48&lt;J51,"——",L48-J51)</f>
        <v>——</v>
      </c>
      <c r="O56" s="1886" t="s">
        <v>1040</v>
      </c>
      <c r="P56" s="1887" t="s">
        <v>1528</v>
      </c>
      <c r="Q56" s="1888">
        <f ca="1">C40+J29</f>
        <v>16234688</v>
      </c>
      <c r="R56" s="1888" t="s">
        <v>1529</v>
      </c>
    </row>
    <row r="57" spans="1:18" s="1844" customFormat="1" ht="24.75" thickBot="1">
      <c r="A57" s="1920"/>
      <c r="B57" s="1172" t="s">
        <v>1478</v>
      </c>
      <c r="C57" s="282">
        <f ca="1">C29</f>
        <v>8064269</v>
      </c>
      <c r="D57" s="1921"/>
      <c r="E57" s="1922"/>
      <c r="F57" s="1923"/>
      <c r="I57" s="1924" t="s">
        <v>1556</v>
      </c>
      <c r="J57" s="1925">
        <f ca="1">IF(OR(M47="住宅",J51&lt;L48,J56="是"),"——",J51-L48)</f>
        <v>23.89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863882</v>
      </c>
      <c r="D58" s="1182" t="s">
        <v>1425</v>
      </c>
      <c r="E58" s="1183"/>
      <c r="F58" s="1184"/>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731064</v>
      </c>
      <c r="D59" s="1185" t="s">
        <v>1430</v>
      </c>
      <c r="E59" s="1186" t="s">
        <v>1431</v>
      </c>
      <c r="F59" s="368" t="str">
        <f ca="1">IF(项目基本情况!B11="企业","",IF(INDIRECT("'数据-取费表'!c"&amp;$G$1)="住宅",5%,IF(F49*F50*F51/12/(1+'数据-取费表'!C42)&gt;20000,12%,7%)))</f>
        <v/>
      </c>
      <c r="I59" s="1924" t="s">
        <v>1563</v>
      </c>
      <c r="J59" s="1925">
        <f ca="1">IF(OR(M47="住宅",J51&lt;L48,J56="是"),"——",ROUND(C29*J58,0))</f>
        <v>3225708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f ca="1">IF(OR(M47="住宅",J51&lt;L48,J56="是"),"0",ROUND(J59/(1+J52)^J53,0))</f>
        <v>156524</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677399</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53665</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16234688</v>
      </c>
      <c r="R62" s="1888" t="s">
        <v>1047</v>
      </c>
    </row>
    <row r="63" spans="1:18" s="1844" customFormat="1" ht="13.5" thickBot="1">
      <c r="A63" s="372"/>
      <c r="B63" s="1178"/>
      <c r="C63" s="29"/>
      <c r="D63" s="1188"/>
      <c r="E63" s="1172" t="s">
        <v>1499</v>
      </c>
      <c r="F63" s="348">
        <f t="shared" ca="1" si="0"/>
        <v>5366.47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120964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11854</v>
      </c>
      <c r="D65" s="1186" t="s">
        <v>1454</v>
      </c>
      <c r="E65" s="1172" t="s">
        <v>1455</v>
      </c>
      <c r="F65" s="376">
        <f t="shared" ca="1" si="0"/>
        <v>1.5E-3</v>
      </c>
      <c r="I65" s="1931" t="s">
        <v>1579</v>
      </c>
      <c r="J65" s="1932">
        <v>40</v>
      </c>
      <c r="K65" s="1932">
        <v>30</v>
      </c>
      <c r="L65" s="1932">
        <v>50</v>
      </c>
      <c r="M65" s="1934">
        <v>0.02</v>
      </c>
      <c r="O65" s="1886" t="s">
        <v>1040</v>
      </c>
      <c r="P65" s="1887" t="s">
        <v>1580</v>
      </c>
      <c r="Q65" s="1888">
        <f ca="1">C40+J29</f>
        <v>16234688</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-863882</v>
      </c>
      <c r="D67" s="1185" t="s">
        <v>1464</v>
      </c>
      <c r="E67" s="1190"/>
      <c r="F67" s="1191"/>
      <c r="O67" s="1896" t="s">
        <v>1042</v>
      </c>
      <c r="P67" s="1887" t="s">
        <v>1562</v>
      </c>
      <c r="Q67" s="1935">
        <f ca="1">L51</f>
        <v>691476</v>
      </c>
      <c r="R67" s="1888" t="s">
        <v>1582</v>
      </c>
    </row>
    <row r="68" spans="1:18" s="1844" customFormat="1" ht="16.5" thickBot="1">
      <c r="A68" s="1169" t="s">
        <v>1032</v>
      </c>
      <c r="B68" s="1170" t="s">
        <v>1485</v>
      </c>
      <c r="C68" s="346">
        <f ca="1">ROUND(C67*(1-((1+F70)/(1+F68))^F69)/(F68-F70),0)</f>
        <v>-19788239</v>
      </c>
      <c r="D68" s="1187" t="s">
        <v>1469</v>
      </c>
      <c r="E68" s="1172" t="s">
        <v>1470</v>
      </c>
      <c r="F68" s="357">
        <f ca="1">F40</f>
        <v>4.4999999999999998E-2</v>
      </c>
      <c r="O68" s="1896" t="s">
        <v>1043</v>
      </c>
      <c r="P68" s="1936" t="s">
        <v>1583</v>
      </c>
      <c r="Q68" s="1888">
        <f ca="1">ROUND(Q69-Q70*Q71,0)</f>
        <v>36993</v>
      </c>
      <c r="R68" s="1888" t="s">
        <v>1051</v>
      </c>
    </row>
    <row r="69" spans="1:18" s="1844" customFormat="1" ht="13.5" thickBot="1">
      <c r="A69" s="1173"/>
      <c r="B69" s="1174"/>
      <c r="C69" s="351"/>
      <c r="D69" s="1192" t="s">
        <v>1473</v>
      </c>
      <c r="E69" s="1172" t="s">
        <v>1474</v>
      </c>
      <c r="F69" s="379">
        <f ca="1">F41</f>
        <v>35.11</v>
      </c>
      <c r="O69" s="1896" t="s">
        <v>1048</v>
      </c>
      <c r="P69" s="1936" t="s">
        <v>1584</v>
      </c>
      <c r="Q69" s="1888">
        <f ca="1">C39</f>
        <v>708747</v>
      </c>
      <c r="R69" s="1888" t="s">
        <v>1529</v>
      </c>
    </row>
    <row r="70" spans="1:18" s="1844" customFormat="1" ht="13.5" thickBot="1">
      <c r="A70" s="1176"/>
      <c r="B70" s="1177"/>
      <c r="C70" s="355"/>
      <c r="D70" s="1188"/>
      <c r="E70" s="1172" t="s">
        <v>1477</v>
      </c>
      <c r="F70" s="1278">
        <f ca="1">F42</f>
        <v>0.02</v>
      </c>
      <c r="O70" s="1896" t="s">
        <v>1049</v>
      </c>
      <c r="P70" s="1936" t="s">
        <v>1585</v>
      </c>
      <c r="Q70" s="1888">
        <f ca="1">C13</f>
        <v>7902984</v>
      </c>
      <c r="R70" s="1888" t="s">
        <v>1529</v>
      </c>
    </row>
    <row r="71" spans="1:18" s="1844" customFormat="1" ht="13.5" thickBot="1">
      <c r="A71" s="1193" t="s">
        <v>1033</v>
      </c>
      <c r="B71" s="1194" t="s">
        <v>1487</v>
      </c>
      <c r="C71" s="382">
        <f ca="1">ROUND(C68/F71,0)</f>
        <v>-7276</v>
      </c>
      <c r="D71" s="1195" t="s">
        <v>1488</v>
      </c>
      <c r="E71" s="1196" t="s">
        <v>1489</v>
      </c>
      <c r="F71" s="385">
        <f ca="1">F43</f>
        <v>2719.64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671754</v>
      </c>
      <c r="D75" s="1844"/>
      <c r="E75" s="1844"/>
      <c r="F75" s="1844"/>
      <c r="K75" s="1870"/>
      <c r="L75" s="1844"/>
      <c r="O75" s="1886" t="s">
        <v>1046</v>
      </c>
      <c r="P75" s="1887" t="s">
        <v>1549</v>
      </c>
      <c r="Q75" s="1888">
        <f ca="1">Q65+Q66</f>
        <v>16234688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5.2000000000000046E-2</v>
      </c>
    </row>
    <row r="80" spans="1:18">
      <c r="B80" s="386" t="s">
        <v>1511</v>
      </c>
      <c r="C80" s="318">
        <f ca="1">ROUND(C75/C39,3)</f>
        <v>0.94799999999999995</v>
      </c>
    </row>
    <row r="81" spans="2:3">
      <c r="B81" s="314" t="s">
        <v>1512</v>
      </c>
      <c r="C81" s="282"/>
    </row>
    <row r="82" spans="2:3">
      <c r="B82" s="317" t="s">
        <v>1513</v>
      </c>
      <c r="C82" s="319">
        <f ca="1">1-C83</f>
        <v>0.51300000000000001</v>
      </c>
    </row>
    <row r="83" spans="2:3">
      <c r="B83" s="317" t="s">
        <v>1514</v>
      </c>
      <c r="C83" s="318">
        <f ca="1">ROUND(C13/C40,3)</f>
        <v>0.48699999999999999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35.11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1642</v>
      </c>
      <c r="C2" s="1847" t="s">
        <v>1516</v>
      </c>
      <c r="D2" s="1847"/>
      <c r="E2" s="1848"/>
      <c r="F2" s="1849"/>
      <c r="G2" s="1850"/>
      <c r="H2" s="1842"/>
      <c r="I2" s="1842"/>
      <c r="J2" s="1842"/>
      <c r="K2" s="1843"/>
      <c r="L2" s="1842"/>
      <c r="M2" s="1842"/>
    </row>
    <row r="3" spans="1:37" ht="18" customHeight="1" thickBot="1">
      <c r="A3" s="1851" t="s">
        <v>1517</v>
      </c>
      <c r="B3" s="1852">
        <f ca="1">IF(ISERROR(B2*10000/F43),0,ROUND(B2*10000/F43,0))</f>
        <v>6038</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110</v>
      </c>
      <c r="D5" s="1824" t="s">
        <v>1402</v>
      </c>
      <c r="E5" s="1296"/>
      <c r="F5" s="1297"/>
      <c r="G5" s="1853"/>
      <c r="H5" s="344">
        <v>1</v>
      </c>
      <c r="I5" s="345" t="s">
        <v>1401</v>
      </c>
      <c r="J5" s="1295">
        <f ca="1">J6+J10+J12</f>
        <v>0</v>
      </c>
      <c r="K5" s="1824" t="s">
        <v>1402</v>
      </c>
      <c r="L5" s="1296"/>
      <c r="M5" s="1297"/>
    </row>
    <row r="6" spans="1:37" ht="18" customHeight="1">
      <c r="A6" s="1294" t="s">
        <v>1035</v>
      </c>
      <c r="B6" s="3368" t="s">
        <v>1403</v>
      </c>
      <c r="C6" s="1299">
        <f ca="1">ROUND(F6*F8*F7*(1-F9)/10000,0)</f>
        <v>110</v>
      </c>
      <c r="D6" s="164" t="s">
        <v>3021</v>
      </c>
      <c r="E6" s="347" t="s">
        <v>1405</v>
      </c>
      <c r="F6" s="348">
        <f ca="1">INDIRECT("'数据-取费表'!u"&amp;$G$1)</f>
        <v>500</v>
      </c>
      <c r="G6" s="1853"/>
      <c r="H6" s="1294" t="s">
        <v>1035</v>
      </c>
      <c r="I6" s="3368" t="s">
        <v>1403</v>
      </c>
      <c r="J6" s="346">
        <f ca="1">ROUND(M6*M8*M7*(1-M9)/10000,0)</f>
        <v>0</v>
      </c>
      <c r="K6" s="164" t="s">
        <v>3020</v>
      </c>
      <c r="L6" s="347" t="s">
        <v>1405</v>
      </c>
      <c r="M6" s="348">
        <f ca="1">INDIRECT("'数据-取费表'!z"&amp;$G$1)</f>
        <v>0</v>
      </c>
    </row>
    <row r="7" spans="1:37" ht="18" customHeight="1">
      <c r="A7" s="1298"/>
      <c r="B7" s="3369"/>
      <c r="C7" s="1300"/>
      <c r="D7" s="352"/>
      <c r="E7" s="2948" t="s">
        <v>1406</v>
      </c>
      <c r="F7" s="348">
        <f ca="1">IF(INDIRECT("'数据-取费表'!ah"&amp;$G$1)="",INDIRECT("'数据-取费表'!k"&amp;$G$1),INDIRECT("'数据-取费表'!ah"&amp;$G$1))</f>
        <v>203</v>
      </c>
      <c r="G7" s="1853"/>
      <c r="H7" s="349"/>
      <c r="I7" s="3369"/>
      <c r="J7" s="351"/>
      <c r="K7" s="352"/>
      <c r="L7" s="347" t="s">
        <v>1406</v>
      </c>
      <c r="M7" s="348">
        <f ca="1">F7</f>
        <v>203</v>
      </c>
    </row>
    <row r="8" spans="1:37" ht="18" customHeight="1">
      <c r="A8" s="349"/>
      <c r="B8" s="3369"/>
      <c r="C8" s="351"/>
      <c r="D8" s="352"/>
      <c r="E8" s="347" t="s">
        <v>1407</v>
      </c>
      <c r="F8" s="348">
        <f ca="1">INDIRECT("'数据-取费表'!ai"&amp;$G$1)</f>
        <v>12</v>
      </c>
      <c r="G8" s="1853"/>
      <c r="H8" s="349"/>
      <c r="I8" s="3369"/>
      <c r="J8" s="351"/>
      <c r="K8" s="352"/>
      <c r="L8" s="347" t="s">
        <v>1407</v>
      </c>
      <c r="M8" s="348">
        <f ca="1">INDIRECT("'数据-取费表'!ai"&amp;$G$1)</f>
        <v>12</v>
      </c>
    </row>
    <row r="9" spans="1:37" ht="18" customHeight="1">
      <c r="A9" s="349"/>
      <c r="B9" s="3370"/>
      <c r="C9" s="351"/>
      <c r="D9" s="352"/>
      <c r="E9" s="347" t="s">
        <v>1408</v>
      </c>
      <c r="F9" s="357">
        <f ca="1">INDIRECT("'数据-取费表'!w"&amp;$G$1)</f>
        <v>0.1</v>
      </c>
      <c r="G9" s="1853"/>
      <c r="H9" s="349"/>
      <c r="I9" s="337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3030</v>
      </c>
      <c r="E10" s="358" t="s">
        <v>1410</v>
      </c>
      <c r="F10" s="1369" t="s">
        <v>3364</v>
      </c>
      <c r="G10" s="1853"/>
      <c r="H10" s="1294" t="s">
        <v>1039</v>
      </c>
      <c r="I10" s="1825" t="s">
        <v>1409</v>
      </c>
      <c r="J10" s="346">
        <f ca="1">ROUND(IF(M10="押一",J6/12*M11,IF(M10="押二",J6/12*2*M11,IF(M10="押三",J6/12*3*M11,J11*M11))),0)</f>
        <v>0</v>
      </c>
      <c r="K10" s="1826" t="s">
        <v>3029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789</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544</v>
      </c>
      <c r="D14" s="2957" t="s">
        <v>1418</v>
      </c>
      <c r="E14" s="2956"/>
      <c r="F14" s="364"/>
      <c r="G14" s="1853"/>
      <c r="H14" s="1204" t="s">
        <v>1035</v>
      </c>
      <c r="I14" s="347" t="s">
        <v>1419</v>
      </c>
      <c r="J14" s="24">
        <f ca="1">C29</f>
        <v>805</v>
      </c>
      <c r="K14" s="2947"/>
      <c r="L14" s="982"/>
      <c r="M14" s="983"/>
    </row>
    <row r="15" spans="1:37" s="1860" customFormat="1" ht="18" customHeight="1" thickBot="1">
      <c r="A15" s="1204" t="s">
        <v>1036</v>
      </c>
      <c r="B15" s="347" t="s">
        <v>1420</v>
      </c>
      <c r="C15" s="24">
        <f ca="1">ROUND(C14*F15,0)</f>
        <v>16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24</v>
      </c>
      <c r="K16" s="1340" t="s">
        <v>1425</v>
      </c>
      <c r="L16" s="2960"/>
      <c r="M16" s="1297"/>
    </row>
    <row r="17" spans="1:37" s="1860" customFormat="1" ht="18" customHeight="1">
      <c r="A17" s="1204" t="s">
        <v>1390</v>
      </c>
      <c r="B17" s="347" t="s">
        <v>1426</v>
      </c>
      <c r="C17" s="24">
        <f ca="1">ROUND(F17*(F43+INDIRECT("'数据-取费表'!S"&amp;$G$1))/10000,0)</f>
        <v>54</v>
      </c>
      <c r="D17" s="347" t="s">
        <v>1427</v>
      </c>
      <c r="E17" s="347" t="s">
        <v>1428</v>
      </c>
      <c r="F17" s="26">
        <f>'数据-取费表'!B35</f>
        <v>200</v>
      </c>
      <c r="G17" s="1856"/>
      <c r="H17" s="1204" t="s">
        <v>1035</v>
      </c>
      <c r="I17" s="347" t="s">
        <v>1429</v>
      </c>
      <c r="J17" s="24">
        <f ca="1">ROUND(IF(项目基本情况!B11="自然人",J5*M17,J18+J19+J20),1)</f>
        <v>12.1</v>
      </c>
      <c r="K17" s="2957" t="s">
        <v>1430</v>
      </c>
      <c r="L17" s="2959"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8</v>
      </c>
      <c r="D18" s="347" t="s">
        <v>1421</v>
      </c>
      <c r="E18" s="347" t="s">
        <v>1422</v>
      </c>
      <c r="F18" s="367">
        <f>'数据-取费表'!B36</f>
        <v>1.4999999999999999E-2</v>
      </c>
      <c r="G18" s="1856"/>
      <c r="H18" s="1204" t="s">
        <v>1034</v>
      </c>
      <c r="I18" s="347" t="s">
        <v>1433</v>
      </c>
      <c r="J18" s="24">
        <f ca="1">ROUND(J5*M18/(1+'数据-取费表'!C42),2)</f>
        <v>0</v>
      </c>
      <c r="K18" s="2959"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622</v>
      </c>
      <c r="D19" s="140" t="s">
        <v>1436</v>
      </c>
      <c r="E19" s="2945"/>
      <c r="F19" s="26"/>
      <c r="G19" s="1853"/>
      <c r="H19" s="1204" t="s">
        <v>1036</v>
      </c>
      <c r="I19" s="347" t="s">
        <v>1437</v>
      </c>
      <c r="J19" s="24">
        <f ca="1">IF(K19="按租金收入计税",ROUND(J5*M19,2),ROUND(C29*M19*0.7,2))</f>
        <v>6.76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12</v>
      </c>
      <c r="D20" s="369" t="s">
        <v>1440</v>
      </c>
      <c r="E20" s="347" t="s">
        <v>1422</v>
      </c>
      <c r="F20" s="367">
        <f>'数据-取费表'!B37</f>
        <v>0.02</v>
      </c>
      <c r="G20" s="1856"/>
      <c r="H20" s="1204" t="s">
        <v>1389</v>
      </c>
      <c r="I20" s="164" t="s">
        <v>1441</v>
      </c>
      <c r="J20" s="25">
        <f ca="1">ROUND(M20*M21/10000,2)</f>
        <v>5.37</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5366.47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5"/>
      <c r="F22" s="26"/>
      <c r="G22" s="1853"/>
      <c r="H22" s="1204" t="s">
        <v>1039</v>
      </c>
      <c r="I22" s="347" t="s">
        <v>1449</v>
      </c>
      <c r="J22" s="24">
        <f ca="1">ROUND(J14*M22,1)</f>
        <v>12.1</v>
      </c>
      <c r="K22" s="2959"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46</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2959"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5"/>
      <c r="F25" s="26"/>
      <c r="G25" s="1853"/>
      <c r="H25" s="1332" t="s">
        <v>1031</v>
      </c>
      <c r="I25" s="1347" t="s">
        <v>1463</v>
      </c>
      <c r="J25" s="355">
        <f ca="1">J5-J16</f>
        <v>-24</v>
      </c>
      <c r="K25" s="1348" t="s">
        <v>1464</v>
      </c>
      <c r="L25" s="1349"/>
      <c r="M25" s="1350"/>
    </row>
    <row r="26" spans="1:37">
      <c r="A26" s="1204" t="s">
        <v>1034</v>
      </c>
      <c r="B26" s="347" t="s">
        <v>1465</v>
      </c>
      <c r="C26" s="24">
        <f ca="1">ROUND((C19+C20)*F26,0)</f>
        <v>63</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805</v>
      </c>
      <c r="D29" s="1345"/>
      <c r="E29" s="1343"/>
      <c r="F29" s="1346"/>
      <c r="G29" s="1856"/>
      <c r="H29" s="380" t="s">
        <v>1033</v>
      </c>
      <c r="I29" s="381" t="s">
        <v>1479</v>
      </c>
      <c r="J29" s="382">
        <f ca="1">ROUND(J26/(1+F40)^F41,0)</f>
        <v>0</v>
      </c>
      <c r="K29" s="383" t="s">
        <v>1480</v>
      </c>
      <c r="L29" s="384"/>
      <c r="M29" s="385">
        <f ca="1">INDIRECT("'数据-取费表'!k"&amp;$G$1)</f>
        <v>2719.64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39</v>
      </c>
      <c r="D30" s="1340" t="s">
        <v>1425</v>
      </c>
      <c r="E30" s="2960"/>
      <c r="F30" s="1297"/>
      <c r="G30" s="1853"/>
      <c r="H30" s="745"/>
      <c r="I30" s="746"/>
      <c r="J30" s="747"/>
      <c r="K30" s="748"/>
      <c r="L30" s="749"/>
      <c r="M30" s="750"/>
    </row>
    <row r="31" spans="1:37" ht="18" customHeight="1">
      <c r="A31" s="1204" t="s">
        <v>1035</v>
      </c>
      <c r="B31" s="347" t="s">
        <v>1429</v>
      </c>
      <c r="C31" s="24">
        <f ca="1">ROUND(IF(项目基本情况!B11="自然人",C5*F31,C32+C33+C34),1)</f>
        <v>24.4</v>
      </c>
      <c r="D31" s="2957" t="s">
        <v>1430</v>
      </c>
      <c r="E31" s="2959"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5.87</v>
      </c>
      <c r="D32" s="2959"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13.2</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5.37</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5366.47</v>
      </c>
      <c r="G35" s="1853"/>
      <c r="H35" s="745"/>
      <c r="I35" s="1862"/>
      <c r="J35" s="1863"/>
      <c r="K35" s="1864"/>
      <c r="L35" s="1861"/>
      <c r="M35" s="1861"/>
    </row>
    <row r="36" spans="1:18" ht="18" customHeight="1">
      <c r="A36" s="1355" t="s">
        <v>1039</v>
      </c>
      <c r="B36" s="347" t="s">
        <v>1449</v>
      </c>
      <c r="C36" s="24">
        <f ca="1">ROUND(C29*F36,1)</f>
        <v>12.1</v>
      </c>
      <c r="D36" s="2959"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1.2</v>
      </c>
      <c r="D37" s="2959"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1.1000000000000001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71</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1626</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5979</v>
      </c>
      <c r="D43" s="383" t="s">
        <v>1488</v>
      </c>
      <c r="E43" s="384" t="s">
        <v>1489</v>
      </c>
      <c r="F43" s="385">
        <f ca="1">INDIRECT("'数据-取费表'!k"&amp;$G$1)</f>
        <v>2719.64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-3130</v>
      </c>
      <c r="D46" s="1874" t="str">
        <f>C2</f>
        <v>万元</v>
      </c>
      <c r="E46" s="1868"/>
      <c r="F46" s="1868"/>
      <c r="I46" s="1875" t="s">
        <v>1521</v>
      </c>
      <c r="J46" s="1876"/>
      <c r="K46" s="1877"/>
      <c r="L46" s="1878">
        <f ca="1">IF(M47="住宅",0,IF(L48&gt;J51,L60,J60))</f>
        <v>16</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1626</v>
      </c>
      <c r="R47" s="1888" t="s">
        <v>1529</v>
      </c>
    </row>
    <row r="48" spans="1:18" s="1844" customFormat="1" ht="28.5" thickBot="1">
      <c r="A48" s="1363" t="s">
        <v>1135</v>
      </c>
      <c r="B48" s="345" t="s">
        <v>1401</v>
      </c>
      <c r="C48" s="2944">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16</v>
      </c>
      <c r="R48" s="1888" t="s">
        <v>1533</v>
      </c>
    </row>
    <row r="49" spans="1:18" s="1844" customFormat="1" ht="13.5" thickBot="1">
      <c r="A49" s="1197" t="s">
        <v>1136</v>
      </c>
      <c r="B49" s="1831" t="s">
        <v>1490</v>
      </c>
      <c r="C49" s="1367">
        <f ca="1">ROUND(F49*F51*F50*(1-F52)/10000,0)</f>
        <v>0</v>
      </c>
      <c r="D49" s="1279" t="s">
        <v>3022</v>
      </c>
      <c r="E49" s="1832" t="s">
        <v>1491</v>
      </c>
      <c r="F49" s="1284"/>
      <c r="G49" s="1893"/>
      <c r="H49" s="793"/>
      <c r="I49" s="1889" t="s">
        <v>1534</v>
      </c>
      <c r="J49" s="1894">
        <v>2017</v>
      </c>
      <c r="K49" s="1891" t="s">
        <v>1535</v>
      </c>
      <c r="L49" s="1895"/>
      <c r="O49" s="1896" t="s">
        <v>1042</v>
      </c>
      <c r="P49" s="1887" t="s">
        <v>1536</v>
      </c>
      <c r="Q49" s="1888">
        <f ca="1">C29</f>
        <v>805</v>
      </c>
      <c r="R49" s="1888" t="s">
        <v>1529</v>
      </c>
    </row>
    <row r="50" spans="1:18" s="1844" customFormat="1" ht="13.5" thickBot="1">
      <c r="A50" s="1198"/>
      <c r="B50" s="1201"/>
      <c r="C50" s="1371"/>
      <c r="D50" s="1175"/>
      <c r="E50" s="1280" t="s">
        <v>1406</v>
      </c>
      <c r="F50" s="1281">
        <f ca="1">F7</f>
        <v>203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12</v>
      </c>
      <c r="I51" s="1900" t="s">
        <v>1540</v>
      </c>
      <c r="J51" s="1901">
        <f>IF(J49="",J50,J49+J50-YEAR('数据-取费表'!B2))</f>
        <v>59</v>
      </c>
      <c r="K51" s="1902" t="s">
        <v>1541</v>
      </c>
      <c r="L51" s="1903">
        <f ca="1">ROUND(-PV(INDIRECT("'数据-取费表'!h"&amp;$G$1),L48,(C39-C13*C76),0),0)</f>
        <v>74</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24.75" thickBot="1">
      <c r="A53" s="1408" t="s">
        <v>1137</v>
      </c>
      <c r="B53" s="1833" t="s">
        <v>1409</v>
      </c>
      <c r="C53" s="361">
        <f ca="1">ROUND(IF(F53="押一",C49/12*F11,IF(F53="押二",C49/12*2*F11,IF(F53="押三",C49/12*3*F11,C54*F11))),0)</f>
        <v>0</v>
      </c>
      <c r="D53" s="1826" t="s">
        <v>3029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66" t="s">
        <v>1548</v>
      </c>
      <c r="L53" s="3367"/>
      <c r="O53" s="1886" t="s">
        <v>1046</v>
      </c>
      <c r="P53" s="1887" t="s">
        <v>1549</v>
      </c>
      <c r="Q53" s="1888">
        <f ca="1">Q47+Q48</f>
        <v>1642</v>
      </c>
      <c r="R53" s="1888" t="s">
        <v>1047</v>
      </c>
    </row>
    <row r="54" spans="1:18" s="1844" customFormat="1" ht="13.5" thickBot="1">
      <c r="A54" s="1409"/>
      <c r="B54" s="1827" t="s">
        <v>1388</v>
      </c>
      <c r="C54" s="1181"/>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9"/>
      <c r="F55" s="1909"/>
      <c r="I55" s="1912" t="s">
        <v>1551</v>
      </c>
      <c r="J55" s="1913">
        <f ca="1">ROUND(IF(J47="钢混",J57/J50,1-(1-2%)*(J50-J57)/J50),3)</f>
        <v>0.39800000000000002</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789</v>
      </c>
      <c r="D56" s="1916"/>
      <c r="E56" s="1917"/>
      <c r="F56" s="1909"/>
      <c r="I56" s="1918" t="s">
        <v>1554</v>
      </c>
      <c r="J56" s="1919" t="s">
        <v>3340</v>
      </c>
      <c r="K56" s="1889" t="s">
        <v>1555</v>
      </c>
      <c r="L56" s="1892" t="str">
        <f ca="1">IF(L48&lt;J51,"——",L48-J53)</f>
        <v>——</v>
      </c>
      <c r="O56" s="1886" t="s">
        <v>1040</v>
      </c>
      <c r="P56" s="1887" t="s">
        <v>1528</v>
      </c>
      <c r="Q56" s="1888">
        <f ca="1">C40+J29</f>
        <v>1626</v>
      </c>
      <c r="R56" s="1888" t="s">
        <v>1529</v>
      </c>
    </row>
    <row r="57" spans="1:18" s="1844" customFormat="1" ht="24.75" thickBot="1">
      <c r="A57" s="1920"/>
      <c r="B57" s="1172" t="s">
        <v>1478</v>
      </c>
      <c r="C57" s="282">
        <f ca="1">C29</f>
        <v>805</v>
      </c>
      <c r="D57" s="1921"/>
      <c r="E57" s="1922"/>
      <c r="F57" s="1923"/>
      <c r="I57" s="1924" t="s">
        <v>1556</v>
      </c>
      <c r="J57" s="1925">
        <f ca="1">IF(OR(M47="住宅",J51&lt;L48,J56="是"),"——",J51-L48)</f>
        <v>23.89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86</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73</v>
      </c>
      <c r="D59" s="1185" t="s">
        <v>1430</v>
      </c>
      <c r="E59" s="1186" t="s">
        <v>1431</v>
      </c>
      <c r="F59" s="368" t="str">
        <f ca="1">IF(项目基本情况!B11="企业","",IF(INDIRECT("'数据-取费表'!c"&amp;$G$1)="住宅",5%,IF(F49*F50*F51/12/(1+'数据-取费表'!C42)&gt;20000,12%,7%)))</f>
        <v/>
      </c>
      <c r="I59" s="1924" t="s">
        <v>1563</v>
      </c>
      <c r="J59" s="1925">
        <f ca="1">IF(OR(M47="住宅",J51&lt;L48,J56="是"),"——",ROUND(C29*J58,0))</f>
        <v>322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16</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67.62</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5.37</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1626</v>
      </c>
      <c r="R62" s="1888" t="s">
        <v>1047</v>
      </c>
    </row>
    <row r="63" spans="1:18" s="1844" customFormat="1" ht="13.5" thickBot="1">
      <c r="A63" s="372"/>
      <c r="B63" s="1178"/>
      <c r="C63" s="29"/>
      <c r="D63" s="1188"/>
      <c r="E63" s="1172" t="s">
        <v>1499</v>
      </c>
      <c r="F63" s="348">
        <f t="shared" ca="1" si="0"/>
        <v>5366.47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12.1</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1.2</v>
      </c>
      <c r="D65" s="1186" t="s">
        <v>1454</v>
      </c>
      <c r="E65" s="1172" t="s">
        <v>1455</v>
      </c>
      <c r="F65" s="376">
        <f t="shared" ca="1" si="0"/>
        <v>1.5E-3</v>
      </c>
      <c r="I65" s="1931" t="s">
        <v>1579</v>
      </c>
      <c r="J65" s="1932">
        <v>40</v>
      </c>
      <c r="K65" s="1932">
        <v>30</v>
      </c>
      <c r="L65" s="1932">
        <v>50</v>
      </c>
      <c r="M65" s="1934">
        <v>0.02</v>
      </c>
      <c r="O65" s="1886" t="s">
        <v>1040</v>
      </c>
      <c r="P65" s="1887" t="s">
        <v>1580</v>
      </c>
      <c r="Q65" s="1888">
        <f ca="1">C40+J29</f>
        <v>1626</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-86</v>
      </c>
      <c r="D67" s="1185" t="s">
        <v>1464</v>
      </c>
      <c r="E67" s="1190"/>
      <c r="F67" s="1191"/>
      <c r="O67" s="1896" t="s">
        <v>1042</v>
      </c>
      <c r="P67" s="1887" t="s">
        <v>1562</v>
      </c>
      <c r="Q67" s="1935">
        <f ca="1">L51</f>
        <v>74</v>
      </c>
      <c r="R67" s="1888" t="s">
        <v>1582</v>
      </c>
    </row>
    <row r="68" spans="1:18" s="1844" customFormat="1" ht="16.5" thickBot="1">
      <c r="A68" s="1169" t="s">
        <v>1032</v>
      </c>
      <c r="B68" s="1170" t="s">
        <v>1485</v>
      </c>
      <c r="C68" s="346">
        <f ca="1">ROUND(C67*(1-((1+F70)/(1+F68))^F69)/(F68-F70),0)</f>
        <v>-1504</v>
      </c>
      <c r="D68" s="1187" t="s">
        <v>1469</v>
      </c>
      <c r="E68" s="1172" t="s">
        <v>1470</v>
      </c>
      <c r="F68" s="357">
        <f ca="1">F40</f>
        <v>4.4999999999999998E-2</v>
      </c>
      <c r="O68" s="1896" t="s">
        <v>1043</v>
      </c>
      <c r="P68" s="1936" t="s">
        <v>1583</v>
      </c>
      <c r="Q68" s="1888">
        <f ca="1">ROUND(Q69-Q70*Q71,0)</f>
        <v>4</v>
      </c>
      <c r="R68" s="1888" t="s">
        <v>1051</v>
      </c>
    </row>
    <row r="69" spans="1:18" s="1844" customFormat="1" ht="13.5" thickBot="1">
      <c r="A69" s="1173"/>
      <c r="B69" s="1174"/>
      <c r="C69" s="351"/>
      <c r="D69" s="1192" t="s">
        <v>1473</v>
      </c>
      <c r="E69" s="1172" t="s">
        <v>1474</v>
      </c>
      <c r="F69" s="379">
        <f ca="1">F41</f>
        <v>35.11</v>
      </c>
      <c r="O69" s="1896" t="s">
        <v>1048</v>
      </c>
      <c r="P69" s="1936" t="s">
        <v>1584</v>
      </c>
      <c r="Q69" s="1888">
        <f ca="1">C39</f>
        <v>71</v>
      </c>
      <c r="R69" s="1888" t="s">
        <v>1529</v>
      </c>
    </row>
    <row r="70" spans="1:18" s="1844" customFormat="1" ht="13.5" thickBot="1">
      <c r="A70" s="1176"/>
      <c r="B70" s="1177"/>
      <c r="C70" s="355"/>
      <c r="D70" s="1188"/>
      <c r="E70" s="1172" t="s">
        <v>1477</v>
      </c>
      <c r="F70" s="1278"/>
      <c r="O70" s="1896" t="s">
        <v>1049</v>
      </c>
      <c r="P70" s="1936" t="s">
        <v>1585</v>
      </c>
      <c r="Q70" s="1888">
        <f ca="1">C13</f>
        <v>789</v>
      </c>
      <c r="R70" s="1888" t="s">
        <v>1529</v>
      </c>
    </row>
    <row r="71" spans="1:18" s="1844" customFormat="1" ht="13.5" thickBot="1">
      <c r="A71" s="1193" t="s">
        <v>1033</v>
      </c>
      <c r="B71" s="1194" t="s">
        <v>1487</v>
      </c>
      <c r="C71" s="382">
        <f ca="1">ROUND(C68*10000/F71,0)</f>
        <v>-5530</v>
      </c>
      <c r="D71" s="1195" t="s">
        <v>1488</v>
      </c>
      <c r="E71" s="1196" t="s">
        <v>1489</v>
      </c>
      <c r="F71" s="385">
        <f ca="1">F43</f>
        <v>2719.64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67</v>
      </c>
      <c r="D75" s="1844"/>
      <c r="E75" s="1844"/>
      <c r="F75" s="1844"/>
      <c r="K75" s="1870"/>
      <c r="L75" s="1844"/>
      <c r="O75" s="1886" t="s">
        <v>1046</v>
      </c>
      <c r="P75" s="1887" t="s">
        <v>1549</v>
      </c>
      <c r="Q75" s="1888">
        <f ca="1">Q65+Q66</f>
        <v>1626</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5.600000000000005E-2</v>
      </c>
    </row>
    <row r="80" spans="1:18">
      <c r="B80" s="386" t="s">
        <v>1511</v>
      </c>
      <c r="C80" s="318">
        <f ca="1">ROUND(C75/C39,3)</f>
        <v>0.94399999999999995</v>
      </c>
    </row>
    <row r="81" spans="2:3">
      <c r="B81" s="314" t="s">
        <v>1512</v>
      </c>
      <c r="C81" s="282"/>
    </row>
    <row r="82" spans="2:3">
      <c r="B82" s="317" t="s">
        <v>1513</v>
      </c>
      <c r="C82" s="319">
        <f ca="1">1-C83</f>
        <v>0.51500000000000001</v>
      </c>
    </row>
    <row r="83" spans="2:3">
      <c r="B83" s="317" t="s">
        <v>1514</v>
      </c>
      <c r="C83" s="318">
        <f ca="1">ROUND(C13/C40,3)</f>
        <v>0.48499999999999999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405" t="s">
        <v>2995</v>
      </c>
      <c r="D1" s="3406"/>
      <c r="E1" s="3406"/>
      <c r="F1" s="3406"/>
      <c r="G1" s="3406"/>
      <c r="H1" s="3406"/>
      <c r="I1" s="3406"/>
      <c r="J1" s="3406"/>
      <c r="K1" s="3406"/>
      <c r="L1" s="3406"/>
      <c r="M1" s="3406"/>
      <c r="N1" s="3406"/>
      <c r="O1" s="3406"/>
      <c r="P1" s="3406"/>
      <c r="Q1" s="3406"/>
      <c r="R1" s="3406"/>
      <c r="S1" s="3407"/>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2998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2999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4"/>
      <c r="F19" s="1794"/>
      <c r="G19" s="1794"/>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5"/>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262" t="s">
        <v>33</v>
      </c>
      <c r="D22" s="3263"/>
      <c r="E22" s="3263"/>
      <c r="F22" s="3263"/>
      <c r="G22" s="3263"/>
      <c r="H22" s="3263"/>
      <c r="I22" s="3263"/>
      <c r="J22" s="3263"/>
      <c r="K22" s="3263"/>
      <c r="L22" s="3263"/>
      <c r="M22" s="3263"/>
      <c r="N22" s="3263"/>
      <c r="O22" s="3263"/>
      <c r="P22" s="3263"/>
      <c r="Q22" s="3404"/>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44781</v>
      </c>
      <c r="C2" s="2" t="s">
        <v>133</v>
      </c>
      <c r="D2" s="243"/>
      <c r="E2" s="243"/>
      <c r="F2" s="243"/>
      <c r="G2" s="243"/>
    </row>
    <row r="3" spans="1:7" s="244" customFormat="1" ht="18" customHeight="1" thickBot="1">
      <c r="A3" s="247" t="s">
        <v>85</v>
      </c>
      <c r="B3" s="248">
        <f ca="1">ROUND(B2*10000/'数据-汇总表'!E3,0)</f>
        <v>14543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431</v>
      </c>
      <c r="D10" s="1035">
        <f>'数据-汇总表'!E6</f>
        <v>30792.58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616</v>
      </c>
      <c r="D19" s="1039">
        <f>'数据-汇总表'!E3</f>
        <v>30792.58</v>
      </c>
      <c r="E19" s="255">
        <f>'数据-取费表'!B31</f>
        <v>200</v>
      </c>
      <c r="F19" s="275"/>
      <c r="G19" s="1" t="s">
        <v>1074</v>
      </c>
    </row>
    <row r="20" spans="1:7" s="258" customFormat="1" ht="13.5" customHeight="1">
      <c r="A20" s="951" t="s">
        <v>1057</v>
      </c>
      <c r="B20" s="254" t="s">
        <v>104</v>
      </c>
      <c r="C20" s="276">
        <f>ROUND((C5+C19)*F20,0)</f>
        <v>425</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3202</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92</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5196</v>
      </c>
      <c r="D27" s="279">
        <f>C29</f>
        <v>4.7999999999999996E-3</v>
      </c>
      <c r="E27" s="280" t="s">
        <v>126</v>
      </c>
      <c r="F27" s="290">
        <f>'数据-取费表'!Q16</f>
        <v>0.24</v>
      </c>
      <c r="G27" s="291" t="s">
        <v>1069</v>
      </c>
    </row>
    <row r="28" spans="1:7" s="258" customFormat="1" ht="13.5" customHeight="1">
      <c r="A28" s="954" t="s">
        <v>794</v>
      </c>
      <c r="B28" s="292" t="s">
        <v>1062</v>
      </c>
      <c r="C28" s="293">
        <f>ROUND((C5+C19+C20)*F27*'数据-取费表'!B21/'数据-取费表'!B20,0)</f>
        <v>5196</v>
      </c>
      <c r="D28" s="279"/>
      <c r="E28" s="280"/>
      <c r="F28" s="290"/>
      <c r="G28" s="291"/>
    </row>
    <row r="29" spans="1:7" s="258" customFormat="1" ht="13.5" customHeight="1">
      <c r="A29" s="954" t="s">
        <v>792</v>
      </c>
      <c r="B29" s="292" t="s">
        <v>1063</v>
      </c>
      <c r="C29" s="282">
        <f>ROUND(C21*F27*'数据-取费表'!B21/'数据-取费表'!B20,4)</f>
        <v>4.7999999999999996E-3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32645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8518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7562</v>
      </c>
      <c r="D34" s="261"/>
      <c r="E34" s="264"/>
      <c r="F34" s="301">
        <f>IF('数据-取费表'!B24=0,1,'数据-取费表'!N16)</f>
        <v>1</v>
      </c>
      <c r="G34" s="263" t="s">
        <v>116</v>
      </c>
    </row>
    <row r="35" spans="1:7" ht="13.5" customHeight="1">
      <c r="A35" s="954" t="s">
        <v>796</v>
      </c>
      <c r="B35" s="259" t="s">
        <v>60</v>
      </c>
      <c r="C35" s="264">
        <f>ROUND(C34*F35,0)</f>
        <v>227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616</v>
      </c>
      <c r="D37" s="261">
        <f>'数据-汇总表'!E3</f>
        <v>30792.58</v>
      </c>
      <c r="E37" s="293">
        <f>'数据-取费表'!B35</f>
        <v>200</v>
      </c>
      <c r="F37" s="303"/>
      <c r="G37" s="305" t="s">
        <v>119</v>
      </c>
    </row>
    <row r="38" spans="1:7" ht="13.5" customHeight="1">
      <c r="A38" s="954" t="s">
        <v>799</v>
      </c>
      <c r="B38" s="259" t="s">
        <v>63</v>
      </c>
      <c r="C38" s="264">
        <f>ROUND(C34*F38,0)</f>
        <v>113</v>
      </c>
      <c r="D38" s="264"/>
      <c r="E38" s="264"/>
      <c r="F38" s="303">
        <f>'数据-取费表'!B36</f>
        <v>1.4999999999999999E-2</v>
      </c>
      <c r="G38" s="263" t="s">
        <v>117</v>
      </c>
    </row>
    <row r="39" spans="1:7" s="258" customFormat="1" ht="13.5" customHeight="1">
      <c r="A39" s="951" t="s">
        <v>783</v>
      </c>
      <c r="B39" s="254" t="s">
        <v>104</v>
      </c>
      <c r="C39" s="276">
        <f>ROUND(C33*F20,0)</f>
        <v>170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626</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614</v>
      </c>
      <c r="D42" s="282"/>
      <c r="E42" s="282"/>
      <c r="F42" s="283"/>
      <c r="G42" s="3267" t="s">
        <v>121</v>
      </c>
    </row>
    <row r="43" spans="1:7" ht="13.5" customHeight="1">
      <c r="A43" s="954" t="s">
        <v>792</v>
      </c>
      <c r="B43" s="259" t="s">
        <v>1064</v>
      </c>
      <c r="C43" s="282">
        <f ca="1">ROUND(IF('数据-取费表'!B22&lt;=1,C39*F22*'数据-取费表'!B21/2,C39*(POWER((1+F22),'数据-取费表'!B21/2)-1)),0)</f>
        <v>12</v>
      </c>
      <c r="D43" s="282"/>
      <c r="E43" s="282"/>
      <c r="F43" s="283"/>
      <c r="G43" s="3268"/>
    </row>
    <row r="44" spans="1:7" ht="13.5" customHeight="1">
      <c r="A44" s="954" t="s">
        <v>793</v>
      </c>
      <c r="B44" s="259" t="s">
        <v>1066</v>
      </c>
      <c r="C44" s="282">
        <f ca="1">ROUND(IF('数据-取费表'!B22&lt;=1,C40*F22*'数据-取费表'!B21/2,C40*(POWER((1+F22),'数据-取费表'!B21/2)-1)),4)</f>
        <v>1.4E-3</v>
      </c>
      <c r="D44" s="282"/>
      <c r="E44" s="282"/>
      <c r="F44" s="283"/>
      <c r="G44" s="3269"/>
    </row>
    <row r="45" spans="1:7" s="258" customFormat="1" ht="13.5" customHeight="1">
      <c r="A45" s="951" t="s">
        <v>786</v>
      </c>
      <c r="B45" s="288" t="s">
        <v>112</v>
      </c>
      <c r="C45" s="289">
        <f>C46</f>
        <v>2085</v>
      </c>
      <c r="D45" s="279">
        <f>C47</f>
        <v>4.7999999999999996E-3</v>
      </c>
      <c r="E45" s="280" t="s">
        <v>129</v>
      </c>
      <c r="F45" s="290"/>
      <c r="G45" s="291" t="s">
        <v>1072</v>
      </c>
    </row>
    <row r="46" spans="1:7" s="258" customFormat="1" ht="13.5" customHeight="1">
      <c r="A46" s="954" t="s">
        <v>794</v>
      </c>
      <c r="B46" s="292" t="s">
        <v>1065</v>
      </c>
      <c r="C46" s="293">
        <f>ROUND((C33+C39)*F27,0)</f>
        <v>2085</v>
      </c>
      <c r="D46" s="307"/>
      <c r="E46" s="280"/>
      <c r="F46" s="290"/>
      <c r="G46" s="291"/>
    </row>
    <row r="47" spans="1:7" s="258" customFormat="1" ht="13.5" customHeight="1">
      <c r="A47" s="954" t="s">
        <v>792</v>
      </c>
      <c r="B47" s="292" t="s">
        <v>1067</v>
      </c>
      <c r="C47" s="282">
        <f>ROUND(C40*F27,4)</f>
        <v>4.7999999999999996E-3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12384</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12136</v>
      </c>
      <c r="D51" s="276"/>
      <c r="E51" s="276"/>
      <c r="F51" s="308"/>
      <c r="G51" s="278" t="s">
        <v>64</v>
      </c>
    </row>
    <row r="52" spans="1:7" s="252" customFormat="1" ht="16.5" thickBot="1">
      <c r="A52" s="309" t="s">
        <v>65</v>
      </c>
      <c r="B52" s="310"/>
      <c r="C52" s="311">
        <f ca="1">C31+C51</f>
        <v>44781</v>
      </c>
      <c r="D52" s="310"/>
      <c r="E52" s="310"/>
      <c r="F52" s="310"/>
      <c r="G52" s="312"/>
    </row>
    <row r="55" spans="1:7" ht="15">
      <c r="B55" s="314" t="s">
        <v>66</v>
      </c>
      <c r="C55" s="315"/>
    </row>
    <row r="56" spans="1:7">
      <c r="B56" s="317" t="s">
        <v>67</v>
      </c>
      <c r="C56" s="318">
        <f ca="1">ROUND(C51/C52,3)</f>
        <v>0.27100000000000002</v>
      </c>
    </row>
    <row r="57" spans="1:7">
      <c r="B57" s="317" t="s">
        <v>68</v>
      </c>
      <c r="C57" s="319">
        <f ca="1">1-C56</f>
        <v>0.72899999999999998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1641</v>
      </c>
      <c r="B2" s="3078" t="s">
        <v>1642</v>
      </c>
      <c r="C2" s="3078" t="s">
        <v>1643</v>
      </c>
      <c r="D2" s="3078" t="str">
        <f>'结果表（公寓）'!D116</f>
        <v>出让国有建设用地使用权价值</v>
      </c>
      <c r="E2" s="3078"/>
      <c r="F2" s="3078" t="str">
        <f>'结果表（公寓）'!F116</f>
        <v>在建建筑物价值</v>
      </c>
      <c r="G2" s="3078"/>
      <c r="H2" s="3078" t="str">
        <f>IF(项目基本情况!B9="房地产市场价值","房地产市场价值","房地产价值")</f>
        <v>房地产价值</v>
      </c>
      <c r="I2" s="3078"/>
    </row>
    <row r="3" spans="1:9" ht="15">
      <c r="A3" s="3072"/>
      <c r="B3" s="3072"/>
      <c r="C3" s="3072"/>
      <c r="D3" s="1047" t="s">
        <v>1638</v>
      </c>
      <c r="E3" s="1047" t="s">
        <v>1644</v>
      </c>
      <c r="F3" s="1047" t="s">
        <v>1638</v>
      </c>
      <c r="G3" s="1047" t="s">
        <v>1639</v>
      </c>
      <c r="H3" s="1047" t="s">
        <v>1638</v>
      </c>
      <c r="I3" s="1047" t="s">
        <v>1639</v>
      </c>
    </row>
    <row r="4" spans="1:9" ht="45">
      <c r="A4" s="1975" t="str">
        <f>项目基本情况!S2</f>
        <v>浙江省宁波市春晓镇183地块3、6、7号楼产权式公寓用房及地下车库用房房地产</v>
      </c>
      <c r="B4" s="1047">
        <f>项目基本情况!C17</f>
        <v>30792.58</v>
      </c>
      <c r="C4" s="1047">
        <f>项目基本情况!C18</f>
        <v>60760.83</v>
      </c>
      <c r="D4" s="1047">
        <f ca="1">'结果表（公寓）'!D118</f>
        <v>14587</v>
      </c>
      <c r="E4" s="1047">
        <f ca="1">'结果表（公寓）'!E118</f>
        <v>5196</v>
      </c>
      <c r="F4" s="1047">
        <f ca="1">'结果表（公寓）'!F118</f>
        <v>11508</v>
      </c>
      <c r="G4" s="1047">
        <f ca="1">'结果表（公寓）'!G118</f>
        <v>4099</v>
      </c>
      <c r="H4" s="1047">
        <f ca="1">'结果表（公寓）'!H118</f>
        <v>26095</v>
      </c>
      <c r="I4" s="1047">
        <f ca="1">'结果表（公寓）'!I118</f>
        <v>9295</v>
      </c>
    </row>
    <row r="5" spans="1:9" ht="30" customHeight="1">
      <c r="A5" s="3072" t="s">
        <v>1640</v>
      </c>
      <c r="B5" s="3072"/>
      <c r="C5" s="3072"/>
      <c r="D5" s="3073" t="str">
        <f ca="1">'结果表（公寓）'!D119</f>
        <v>壹亿肆仟伍佰捌拾柒万元整</v>
      </c>
      <c r="E5" s="3073"/>
      <c r="F5" s="3073" t="str">
        <f ca="1">'结果表（公寓）'!F119</f>
        <v>壹亿壹仟伍佰零捌万元整</v>
      </c>
      <c r="G5" s="3073"/>
      <c r="H5" s="3073" t="str">
        <f ca="1">'结果表（公寓）'!H119</f>
        <v>贰亿陆仟零玖拾伍万元整</v>
      </c>
      <c r="I5" s="3073"/>
    </row>
    <row r="6" spans="1:9" ht="15.75">
      <c r="A6" s="3071" t="str">
        <f>'结果表（公寓）'!A120</f>
        <v>估价师知悉的法定优先受偿款</v>
      </c>
      <c r="B6" s="3071"/>
      <c r="C6" s="3071"/>
      <c r="D6" s="3071">
        <f>'结果表（公寓）'!D120</f>
        <v>0</v>
      </c>
      <c r="E6" s="3071"/>
      <c r="F6" s="3071"/>
      <c r="G6" s="3071"/>
      <c r="H6" s="3071"/>
      <c r="I6" s="3071"/>
    </row>
    <row r="7" spans="1:9" ht="15">
      <c r="A7" s="3072" t="s">
        <v>1640</v>
      </c>
      <c r="B7" s="3072"/>
      <c r="C7" s="3072"/>
      <c r="D7" s="3074" t="str">
        <f>'结果表（公寓）'!D121</f>
        <v>零元整</v>
      </c>
      <c r="E7" s="3075"/>
      <c r="F7" s="3075"/>
      <c r="G7" s="3075"/>
      <c r="H7" s="3075"/>
      <c r="I7" s="3076"/>
    </row>
    <row r="8" spans="1:9" ht="15.75">
      <c r="A8" s="3071" t="str">
        <f>'结果表（公寓）'!A122</f>
        <v>房地产抵押价值</v>
      </c>
      <c r="B8" s="3071"/>
      <c r="C8" s="3071"/>
      <c r="D8" s="3071">
        <f ca="1">'结果表（公寓）'!D122</f>
        <v>26095</v>
      </c>
      <c r="E8" s="3071"/>
      <c r="F8" s="3071"/>
      <c r="G8" s="3071"/>
      <c r="H8" s="3071"/>
      <c r="I8" s="3071"/>
    </row>
    <row r="9" spans="1:9" ht="15">
      <c r="A9" s="3072" t="s">
        <v>1640</v>
      </c>
      <c r="B9" s="3072"/>
      <c r="C9" s="3072"/>
      <c r="D9" s="3073" t="str">
        <f ca="1">'结果表（公寓）'!D123</f>
        <v>贰亿陆仟零玖拾伍万元整</v>
      </c>
      <c r="E9" s="3073"/>
      <c r="F9" s="3073"/>
      <c r="G9" s="3073"/>
      <c r="H9" s="3073"/>
      <c r="I9" s="3073"/>
    </row>
    <row r="10" spans="1:9" ht="15.75">
      <c r="A10" s="3071" t="str">
        <f>'结果表（公寓）'!A124</f>
        <v/>
      </c>
      <c r="B10" s="3071"/>
      <c r="C10" s="3071"/>
      <c r="D10" s="3071" t="str">
        <f>'结果表（公寓）'!D124</f>
        <v>——</v>
      </c>
      <c r="E10" s="3071"/>
      <c r="F10" s="3071"/>
      <c r="G10" s="3071"/>
      <c r="H10" s="3071"/>
      <c r="I10" s="3071"/>
    </row>
    <row r="11" spans="1:9" ht="15">
      <c r="A11" s="3072" t="s">
        <v>1640</v>
      </c>
      <c r="B11" s="3072"/>
      <c r="C11" s="3072"/>
      <c r="D11" s="3073" t="e">
        <f>'结果表（公寓）'!D125</f>
        <v>#VALUE!</v>
      </c>
      <c r="E11" s="3073"/>
      <c r="F11" s="3073"/>
      <c r="G11" s="3073"/>
      <c r="H11" s="3073"/>
      <c r="I11" s="3073"/>
    </row>
    <row r="12" spans="1:9" ht="15.75">
      <c r="A12" s="3071" t="str">
        <f>'结果表（公寓）'!A126</f>
        <v/>
      </c>
      <c r="B12" s="3071"/>
      <c r="C12" s="3071"/>
      <c r="D12" s="3071" t="str">
        <f>'结果表（公寓）'!D126</f>
        <v>——</v>
      </c>
      <c r="E12" s="3071"/>
      <c r="F12" s="3071"/>
      <c r="G12" s="3071"/>
      <c r="H12" s="3071"/>
      <c r="I12" s="3071"/>
    </row>
    <row r="13" spans="1:9" ht="15.75" thickBot="1">
      <c r="A13" s="3068" t="s">
        <v>1640</v>
      </c>
      <c r="B13" s="3068"/>
      <c r="C13" s="3068"/>
      <c r="D13" s="3069" t="e">
        <f>'结果表（公寓）'!D127</f>
        <v>#VALUE!</v>
      </c>
      <c r="E13" s="3069"/>
      <c r="F13" s="3069"/>
      <c r="G13" s="3069"/>
      <c r="H13" s="3069"/>
      <c r="I13" s="3069"/>
    </row>
    <row r="14" spans="1:9" ht="15" thickTop="1">
      <c r="A14" s="3070" t="s">
        <v>1645</v>
      </c>
      <c r="B14" s="3070"/>
      <c r="C14" s="3070"/>
      <c r="D14" s="3070"/>
      <c r="E14" s="3070"/>
      <c r="F14" s="3070"/>
      <c r="G14" s="3070"/>
      <c r="H14" s="3070"/>
      <c r="I14" s="307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8" t="s">
        <v>156</v>
      </c>
      <c r="B1" s="3408"/>
      <c r="C1" s="3408"/>
      <c r="D1" s="3408"/>
      <c r="E1" s="3408"/>
      <c r="F1" s="340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9" t="s">
        <v>169</v>
      </c>
      <c r="B2" s="3409"/>
      <c r="C2" s="3409"/>
      <c r="D2" s="3409"/>
      <c r="E2" s="3409"/>
      <c r="F2" s="340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8" t="s">
        <v>871</v>
      </c>
      <c r="B1" s="340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43339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85" t="s">
        <v>1662</v>
      </c>
      <c r="B1" s="3085"/>
      <c r="C1" s="3085"/>
      <c r="D1" s="3085"/>
    </row>
    <row r="2" spans="1:4" ht="18">
      <c r="A2" s="3086" t="s">
        <v>1646</v>
      </c>
      <c r="B2" s="3086"/>
      <c r="C2" s="3086"/>
      <c r="D2" s="3086"/>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3086" t="s">
        <v>1652</v>
      </c>
      <c r="B6" s="3086"/>
      <c r="C6" s="3086"/>
      <c r="D6" s="3086"/>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87" t="s">
        <v>1655</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v>
      </c>
      <c r="B15" s="3079"/>
      <c r="C15" s="3079"/>
      <c r="D15" s="3079"/>
    </row>
    <row r="16" spans="1:4" ht="30" customHeight="1">
      <c r="A16" s="3081" t="s">
        <v>1656</v>
      </c>
      <c r="B16" s="3081"/>
      <c r="C16" s="3081"/>
      <c r="D16" s="3081"/>
    </row>
    <row r="17" spans="1:4" ht="144" customHeight="1">
      <c r="A17" s="3081" t="s">
        <v>1657</v>
      </c>
      <c r="B17" s="3081"/>
      <c r="C17" s="3081"/>
      <c r="D17" s="3081"/>
    </row>
    <row r="18" spans="1:4" ht="15.75" customHeight="1">
      <c r="A18" s="3079" t="str">
        <f>IF(项目基本情况!B8="抵押",'结果表（公寓）'!K120,"——")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9"/>
      <c r="C20" s="3079"/>
      <c r="D20" s="3079"/>
    </row>
    <row r="21" spans="1:4" ht="57.75" customHeight="1">
      <c r="A21" s="3082"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2"/>
      <c r="C21" s="3082"/>
      <c r="D21" s="3082"/>
    </row>
    <row r="22" spans="1:4" ht="18.75" customHeight="1">
      <c r="A22" s="3083" t="s">
        <v>1658</v>
      </c>
      <c r="B22" s="3083"/>
      <c r="C22" s="3083"/>
      <c r="D22" s="308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93" t="s">
        <v>1669</v>
      </c>
      <c r="B15" s="3088" t="s">
        <v>136</v>
      </c>
      <c r="C15" s="3089"/>
    </row>
    <row r="16" spans="1:7" ht="13.5">
      <c r="A16" s="3094"/>
      <c r="B16" s="3088" t="s">
        <v>69</v>
      </c>
      <c r="C16" s="3089"/>
    </row>
    <row r="17" spans="1:3" ht="13.5">
      <c r="A17" s="3094"/>
      <c r="B17" s="3091" t="s">
        <v>1670</v>
      </c>
      <c r="C17" s="2002" t="s">
        <v>1669</v>
      </c>
    </row>
    <row r="18" spans="1:3" ht="13.5">
      <c r="A18" s="3094"/>
      <c r="B18" s="3091"/>
      <c r="C18" s="2002" t="s">
        <v>1671</v>
      </c>
    </row>
    <row r="19" spans="1:3" ht="13.5">
      <c r="A19" s="3094"/>
      <c r="B19" s="3091"/>
      <c r="C19" s="2002" t="s">
        <v>1672</v>
      </c>
    </row>
    <row r="20" spans="1:3" ht="13.5">
      <c r="A20" s="3095"/>
      <c r="B20" s="3090" t="s">
        <v>1673</v>
      </c>
      <c r="C20" s="3089"/>
    </row>
    <row r="21" spans="1:3" ht="13.5">
      <c r="A21" s="2003" t="s">
        <v>1674</v>
      </c>
      <c r="B21" s="2004"/>
      <c r="C21" s="2005"/>
    </row>
    <row r="22" spans="1:3" ht="13.5">
      <c r="A22" s="3092" t="s">
        <v>1675</v>
      </c>
      <c r="B22" s="3090" t="s">
        <v>1676</v>
      </c>
      <c r="C22" s="3089"/>
    </row>
    <row r="23" spans="1:3" ht="13.5">
      <c r="A23" s="3092"/>
      <c r="B23" s="3090" t="s">
        <v>1677</v>
      </c>
      <c r="C23" s="3089"/>
    </row>
    <row r="24" spans="1:3" ht="13.5">
      <c r="A24" s="3092"/>
      <c r="B24" s="3090" t="s">
        <v>1678</v>
      </c>
      <c r="C24" s="3089"/>
    </row>
    <row r="25" spans="1:3" ht="13.5">
      <c r="A25" s="3092"/>
      <c r="B25" s="3091" t="s">
        <v>1679</v>
      </c>
      <c r="C25" s="2002" t="s">
        <v>1680</v>
      </c>
    </row>
    <row r="26" spans="1:3" ht="13.5">
      <c r="A26" s="3092"/>
      <c r="B26" s="3091"/>
      <c r="C26" s="2002" t="s">
        <v>1681</v>
      </c>
    </row>
    <row r="27" spans="1:3" ht="13.5">
      <c r="A27" s="3092"/>
      <c r="B27" s="3091"/>
      <c r="C27" s="2002" t="s">
        <v>1682</v>
      </c>
    </row>
    <row r="28" spans="1:3" ht="13.5">
      <c r="A28" s="3092"/>
      <c r="B28" s="3091"/>
      <c r="C28" s="2002" t="s">
        <v>1683</v>
      </c>
    </row>
    <row r="29" spans="1:3" ht="13.5">
      <c r="A29" s="3092"/>
      <c r="B29" s="3091"/>
      <c r="C29" s="2002" t="s">
        <v>1684</v>
      </c>
    </row>
    <row r="30" spans="1:3" ht="13.5">
      <c r="A30" s="3092"/>
      <c r="B30" s="3091"/>
      <c r="C30" s="2002" t="s">
        <v>1685</v>
      </c>
    </row>
    <row r="31" spans="1:3" ht="13.5">
      <c r="A31" s="3092"/>
      <c r="B31" s="3091"/>
      <c r="C31" s="2002" t="s">
        <v>1686</v>
      </c>
    </row>
    <row r="32" spans="1:3" ht="13.5">
      <c r="A32" s="3092"/>
      <c r="B32" s="3091"/>
      <c r="C32" s="2002" t="s">
        <v>1687</v>
      </c>
    </row>
    <row r="33" spans="1:3" ht="13.5">
      <c r="A33" s="3092"/>
      <c r="B33" s="3091"/>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43348</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3033</v>
      </c>
      <c r="B12" s="1025">
        <v>1120110054</v>
      </c>
      <c r="C12" s="2939">
        <v>43937</v>
      </c>
      <c r="D12" s="1704" t="s">
        <v>3033</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39">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096" t="s">
        <v>846</v>
      </c>
      <c r="B25" s="3096"/>
      <c r="C25" s="3096"/>
      <c r="D25" s="3096"/>
      <c r="E25" s="3096"/>
      <c r="F25" s="3096"/>
      <c r="G25" s="3096"/>
    </row>
    <row r="26" spans="1:7" s="1028" customFormat="1" ht="24" customHeight="1">
      <c r="A26" s="3097" t="s">
        <v>847</v>
      </c>
      <c r="B26" s="3097"/>
      <c r="C26" s="3098"/>
      <c r="D26" s="3099" t="s">
        <v>848</v>
      </c>
      <c r="E26" s="3097"/>
      <c r="F26" s="3097"/>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3号楼</vt:lpstr>
      <vt:lpstr>6号楼</vt:lpstr>
      <vt:lpstr>7号楼</vt:lpstr>
      <vt:lpstr>地下车位</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比较法-仓储</vt:lpstr>
      <vt:lpstr>土地比较法-住宅、综合</vt:lpstr>
      <vt:lpstr>土地案例</vt:lpstr>
      <vt:lpstr>收益法</vt:lpstr>
      <vt:lpstr>结果表 (车位)</vt:lpstr>
      <vt:lpstr>土地比较法-工业</vt:lpstr>
      <vt:lpstr>基准地价修正</vt:lpstr>
      <vt:lpstr>修正</vt:lpstr>
      <vt:lpstr>容积率修正</vt:lpstr>
      <vt:lpstr>基准地价（汇总）</vt:lpstr>
      <vt:lpstr>地价</vt:lpstr>
      <vt:lpstr>比较法-车位</vt:lpstr>
      <vt:lpstr>收益法 (车位)</vt:lpstr>
      <vt:lpstr>收益法11 </vt:lpstr>
      <vt:lpstr>典型户型修正</vt:lpstr>
      <vt:lpstr>Sheet2</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收益法!Print_Area</vt:lpstr>
      <vt:lpstr>'收益法 (车位)'!Print_Area</vt:lpstr>
      <vt:lpstr>'收益法11 '!Print_Area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2018-09-05T03:06:32Z</dcterms:modified>
</cp:coreProperties>
</file>