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5"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叠拼)" sheetId="69" r:id="rId32"/>
    <sheet name="不动产比较法-住宅" sheetId="21" r:id="rId33"/>
    <sheet name="不动产收益法" sheetId="15" r:id="rId34"/>
    <sheet name="不动产收益法 (高层仓促)" sheetId="70" r:id="rId35"/>
    <sheet name="不动产收益法 (车库)" sheetId="71"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2" sheetId="73"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2" hidden="1">'不动产比较法-住宅'!$A$1:$L$49</definedName>
    <definedName name="_xlnm._FilterDatabase" localSheetId="31" hidden="1">'不动产比较法-住宅 (叠拼)'!$A$1:$L$49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'不动产比较法-住宅 (叠拼)'!$B$88:$M$88</definedName>
    <definedName name="住宅朝向">'不动产比较法-住宅'!$B$88:$M$88</definedName>
    <definedName name="住宅房型" localSheetId="31">'不动产比较法-住宅 (叠拼)'!$B$118:$M$118</definedName>
    <definedName name="住宅房型">'不动产比较法-住宅'!$B$118:$M$118</definedName>
    <definedName name="住宅公共部分装修" localSheetId="31">'不动产比较法-住宅 (叠拼)'!$B$109:$M$109</definedName>
    <definedName name="住宅公共部分装修">'不动产比较法-住宅'!$B$109:$M$109</definedName>
    <definedName name="住宅基础设施水平" localSheetId="31">'不动产比较法-住宅 (叠拼)'!$B$116:$M$116</definedName>
    <definedName name="住宅基础设施水平">'不动产比较法-住宅'!$B$116:$M$116</definedName>
    <definedName name="住宅建筑结构" localSheetId="31">'不动产比较法-住宅 (叠拼)'!$B$105:$M$105</definedName>
    <definedName name="住宅建筑结构">'不动产比较法-住宅'!$B$105:$M$105</definedName>
    <definedName name="住宅建筑类型" localSheetId="31">'不动产比较法-住宅 (叠拼)'!$B$100:$M$100</definedName>
    <definedName name="住宅建筑类型">'不动产比较法-住宅'!$B$100:$M$100</definedName>
    <definedName name="住宅建筑品质" localSheetId="31">'不动产比较法-住宅 (叠拼)'!$B$107:$M$107</definedName>
    <definedName name="住宅建筑品质">'不动产比较法-住宅'!$B$107:$M$107</definedName>
    <definedName name="住宅交易情况" localSheetId="31">'不动产比较法-住宅 (叠拼)'!$A$61:$M$61</definedName>
    <definedName name="住宅交易情况">'不动产比较法-住宅'!$A$61:$M$61</definedName>
    <definedName name="住宅楼层" localSheetId="31">'不动产比较法-住宅 (叠拼)'!$B$86:$M$86</definedName>
    <definedName name="住宅楼层">'不动产比较法-住宅'!$B$86:$M$86</definedName>
    <definedName name="住宅内部装修" localSheetId="31">'不动产比较法-住宅 (叠拼)'!$B$122:$M$122</definedName>
    <definedName name="住宅内部装修">'不动产比较法-住宅'!$B$122:$M$122</definedName>
    <definedName name="住宅物业管理" localSheetId="31">'不动产比较法-住宅 (叠拼)'!$B$114:$M$114</definedName>
    <definedName name="住宅物业管理">'不动产比较法-住宅'!$B$114:$M$114</definedName>
    <definedName name="住宅用途" localSheetId="31">'不动产比较法-住宅 (叠拼)'!$B$63:$M$63</definedName>
    <definedName name="住宅用途">'不动产比较法-住宅'!$B$63:$M$63</definedName>
    <definedName name="住宅主力户型面积" localSheetId="31">'不动产比较法-住宅 (叠拼)'!$B$120:$M$120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40" i="39" l="1"/>
  <c r="C13" i="39"/>
  <c r="C11" i="21"/>
  <c r="C11" i="69"/>
  <c r="E73" i="39"/>
  <c r="F73" i="39" s="1"/>
  <c r="G73" i="39" s="1"/>
  <c r="H73" i="39" s="1"/>
  <c r="I73" i="39" s="1"/>
  <c r="J73" i="39" s="1"/>
  <c r="K73" i="39" s="1"/>
  <c r="L73" i="39" s="1"/>
  <c r="M73" i="39" s="1"/>
  <c r="N73" i="39" s="1"/>
  <c r="D73" i="39"/>
  <c r="F40" i="6"/>
  <c r="G24" i="6"/>
  <c r="Q17" i="3"/>
  <c r="I47" i="21" l="1"/>
  <c r="I47" i="69"/>
  <c r="B15" i="66" l="1"/>
  <c r="C15" i="66"/>
  <c r="D82" i="39"/>
  <c r="E82" i="39" s="1"/>
  <c r="F82" i="39" s="1"/>
  <c r="G82" i="39" s="1"/>
  <c r="H82" i="39" s="1"/>
  <c r="I82" i="39" s="1"/>
  <c r="J82" i="39" s="1"/>
  <c r="AR13" i="3" l="1"/>
  <c r="AL13" i="3"/>
  <c r="O3" i="72" l="1"/>
  <c r="O4" i="72"/>
  <c r="O5" i="72"/>
  <c r="O6" i="72"/>
  <c r="O7" i="72"/>
  <c r="O8" i="72"/>
  <c r="O9" i="72"/>
  <c r="O10" i="72"/>
  <c r="O11" i="72"/>
  <c r="O12" i="72"/>
  <c r="O13" i="72"/>
  <c r="O14" i="72"/>
  <c r="O15" i="72"/>
  <c r="O16" i="72"/>
  <c r="O17" i="72"/>
  <c r="O18" i="72"/>
  <c r="O19" i="72"/>
  <c r="O20" i="72"/>
  <c r="O21" i="72"/>
  <c r="O22" i="72"/>
  <c r="O23" i="72"/>
  <c r="O24" i="72"/>
  <c r="O25" i="72"/>
  <c r="O26" i="72"/>
  <c r="O27" i="72"/>
  <c r="O28" i="72"/>
  <c r="O29" i="72"/>
  <c r="O30" i="72"/>
  <c r="O31" i="72"/>
  <c r="O32" i="72"/>
  <c r="O33" i="72"/>
  <c r="O34" i="72"/>
  <c r="O35" i="72"/>
  <c r="O36" i="72"/>
  <c r="O37" i="72"/>
  <c r="O38" i="72"/>
  <c r="O39" i="72"/>
  <c r="O40" i="72"/>
  <c r="O41" i="72"/>
  <c r="O42" i="72"/>
  <c r="O43" i="72"/>
  <c r="O44" i="72"/>
  <c r="O45" i="72"/>
  <c r="O46" i="72"/>
  <c r="O47" i="72"/>
  <c r="O48" i="72"/>
  <c r="O2" i="72"/>
  <c r="G47" i="21" l="1"/>
  <c r="E47" i="21"/>
  <c r="I7" i="21"/>
  <c r="G7" i="21"/>
  <c r="E7" i="21"/>
  <c r="G47" i="69"/>
  <c r="E47" i="69"/>
  <c r="R47" i="69" s="1"/>
  <c r="I7" i="69"/>
  <c r="J7" i="69" s="1"/>
  <c r="W7" i="69" s="1"/>
  <c r="G7" i="69"/>
  <c r="E7" i="69"/>
  <c r="I40" i="39"/>
  <c r="G40" i="39"/>
  <c r="E40" i="39"/>
  <c r="I9" i="39"/>
  <c r="G9" i="39"/>
  <c r="E9" i="39"/>
  <c r="I7" i="39"/>
  <c r="G7" i="39"/>
  <c r="E7" i="39"/>
  <c r="C77" i="39"/>
  <c r="Q73" i="71"/>
  <c r="Q60" i="71"/>
  <c r="D60" i="71"/>
  <c r="Q59" i="71"/>
  <c r="K59" i="71"/>
  <c r="P75" i="71" s="1"/>
  <c r="Q52" i="71"/>
  <c r="J50" i="71"/>
  <c r="M47" i="71"/>
  <c r="F34" i="71"/>
  <c r="F61" i="71" s="1"/>
  <c r="F33" i="71"/>
  <c r="F60" i="71" s="1"/>
  <c r="F32" i="71"/>
  <c r="F59" i="71" s="1"/>
  <c r="F28" i="71"/>
  <c r="C28" i="71"/>
  <c r="F23" i="71"/>
  <c r="D24" i="71" s="1"/>
  <c r="D22" i="71"/>
  <c r="F21" i="71"/>
  <c r="M20" i="71"/>
  <c r="F20" i="71"/>
  <c r="M19" i="71"/>
  <c r="M18" i="71"/>
  <c r="F18" i="71"/>
  <c r="F17" i="71"/>
  <c r="F15" i="71"/>
  <c r="G1" i="71"/>
  <c r="Q73" i="70"/>
  <c r="Q60" i="70"/>
  <c r="D60" i="70"/>
  <c r="Q59" i="70"/>
  <c r="K59" i="70"/>
  <c r="P75" i="70" s="1"/>
  <c r="Q52" i="70"/>
  <c r="J50" i="70"/>
  <c r="M47" i="70"/>
  <c r="F34" i="70"/>
  <c r="F61" i="70" s="1"/>
  <c r="F33" i="70"/>
  <c r="F60" i="70" s="1"/>
  <c r="F32" i="70"/>
  <c r="F59" i="70" s="1"/>
  <c r="F28" i="70"/>
  <c r="C28" i="70"/>
  <c r="F23" i="70"/>
  <c r="D24" i="70" s="1"/>
  <c r="D22" i="70"/>
  <c r="F21" i="70"/>
  <c r="M20" i="70"/>
  <c r="F20" i="70"/>
  <c r="M19" i="70"/>
  <c r="M18" i="70"/>
  <c r="F18" i="70"/>
  <c r="F17" i="70"/>
  <c r="F15" i="70"/>
  <c r="G1" i="70"/>
  <c r="C145" i="69"/>
  <c r="J142" i="69"/>
  <c r="J140" i="69"/>
  <c r="K145" i="69" s="1"/>
  <c r="K139" i="69"/>
  <c r="B130" i="69"/>
  <c r="J46" i="69" s="1"/>
  <c r="AC46" i="69" s="1"/>
  <c r="B128" i="69"/>
  <c r="B126" i="69"/>
  <c r="J44" i="69" s="1"/>
  <c r="AC44" i="69" s="1"/>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D108" i="69"/>
  <c r="E108" i="69" s="1"/>
  <c r="F108" i="69" s="1"/>
  <c r="G108" i="69" s="1"/>
  <c r="H108" i="69" s="1"/>
  <c r="I108" i="69" s="1"/>
  <c r="J108" i="69" s="1"/>
  <c r="K108" i="69" s="1"/>
  <c r="L108" i="69" s="1"/>
  <c r="M108" i="69" s="1"/>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J31" i="69" s="1"/>
  <c r="AC31" i="69" s="1"/>
  <c r="B96" i="69"/>
  <c r="B94" i="69"/>
  <c r="J29" i="69" s="1"/>
  <c r="AC29" i="69" s="1"/>
  <c r="B92" i="69"/>
  <c r="B90" i="69"/>
  <c r="J27" i="69" s="1"/>
  <c r="AC27" i="69" s="1"/>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D79" i="69"/>
  <c r="E79" i="69" s="1"/>
  <c r="D77" i="69"/>
  <c r="E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I54" i="69"/>
  <c r="J54" i="69" s="1"/>
  <c r="G54" i="69"/>
  <c r="H54" i="69" s="1"/>
  <c r="P49" i="69"/>
  <c r="P48" i="69"/>
  <c r="V47" i="69"/>
  <c r="P47" i="69"/>
  <c r="Q46" i="69"/>
  <c r="Z46" i="69" s="1"/>
  <c r="H46" i="69"/>
  <c r="AB46" i="69" s="1"/>
  <c r="Q45" i="69"/>
  <c r="Z45" i="69" s="1"/>
  <c r="J45" i="69"/>
  <c r="AC45" i="69" s="1"/>
  <c r="H45" i="69"/>
  <c r="AB45" i="69" s="1"/>
  <c r="F45" i="69"/>
  <c r="AA45" i="69" s="1"/>
  <c r="Q44" i="69"/>
  <c r="Z44" i="69" s="1"/>
  <c r="Q43" i="69"/>
  <c r="Z43" i="69" s="1"/>
  <c r="J43" i="69"/>
  <c r="W43" i="69" s="1"/>
  <c r="H43" i="69"/>
  <c r="AB43" i="69" s="1"/>
  <c r="F43" i="69"/>
  <c r="AA43" i="69" s="1"/>
  <c r="Q42" i="69"/>
  <c r="Z42" i="69" s="1"/>
  <c r="H42" i="69"/>
  <c r="AB42" i="69" s="1"/>
  <c r="Q41" i="69"/>
  <c r="Z41" i="69" s="1"/>
  <c r="J41" i="69"/>
  <c r="AC41" i="69" s="1"/>
  <c r="H41" i="69"/>
  <c r="AB41" i="69" s="1"/>
  <c r="F41" i="69"/>
  <c r="AA41" i="69" s="1"/>
  <c r="Q40" i="69"/>
  <c r="Z40" i="69" s="1"/>
  <c r="J40" i="69"/>
  <c r="AC40" i="69" s="1"/>
  <c r="H40" i="69"/>
  <c r="AB40" i="69" s="1"/>
  <c r="F40" i="69"/>
  <c r="AA40" i="69" s="1"/>
  <c r="Q39" i="69"/>
  <c r="Z39" i="69" s="1"/>
  <c r="H39" i="69"/>
  <c r="AB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F32" i="69"/>
  <c r="AA32" i="69" s="1"/>
  <c r="Q31" i="69"/>
  <c r="Z31" i="69" s="1"/>
  <c r="H31" i="69"/>
  <c r="AB31" i="69" s="1"/>
  <c r="Q30" i="69"/>
  <c r="Z30" i="69" s="1"/>
  <c r="J30" i="69"/>
  <c r="AC30" i="69" s="1"/>
  <c r="H30" i="69"/>
  <c r="AB30" i="69" s="1"/>
  <c r="F30" i="69"/>
  <c r="AA30" i="69" s="1"/>
  <c r="Q29" i="69"/>
  <c r="Z29" i="69" s="1"/>
  <c r="H29" i="69"/>
  <c r="AB29" i="69" s="1"/>
  <c r="Q28" i="69"/>
  <c r="Z28" i="69" s="1"/>
  <c r="J28" i="69"/>
  <c r="AC28" i="69" s="1"/>
  <c r="H28" i="69"/>
  <c r="AB28" i="69" s="1"/>
  <c r="F28" i="69"/>
  <c r="AA28" i="69" s="1"/>
  <c r="Q27" i="69"/>
  <c r="Z27" i="69" s="1"/>
  <c r="H27" i="69"/>
  <c r="AB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C19" i="69"/>
  <c r="Q17" i="69"/>
  <c r="Z17" i="69" s="1"/>
  <c r="C17" i="69"/>
  <c r="Q15" i="69"/>
  <c r="Z15" i="69" s="1"/>
  <c r="C15" i="69"/>
  <c r="Q14" i="69"/>
  <c r="Z14" i="69" s="1"/>
  <c r="J14" i="69"/>
  <c r="AC14" i="69" s="1"/>
  <c r="H14" i="69"/>
  <c r="F14" i="69"/>
  <c r="AA14" i="69" s="1"/>
  <c r="Q13" i="69"/>
  <c r="Z13" i="69" s="1"/>
  <c r="J13" i="69"/>
  <c r="AC13" i="69" s="1"/>
  <c r="H13" i="69"/>
  <c r="AB13" i="69" s="1"/>
  <c r="F13" i="69"/>
  <c r="AA13" i="69" s="1"/>
  <c r="Q12" i="69"/>
  <c r="Z12" i="69" s="1"/>
  <c r="J12" i="69"/>
  <c r="AC12" i="69" s="1"/>
  <c r="H12" i="69"/>
  <c r="AB12" i="69" s="1"/>
  <c r="F12" i="69"/>
  <c r="AA12" i="69" s="1"/>
  <c r="Q11" i="69"/>
  <c r="Z11" i="69" s="1"/>
  <c r="Q10" i="69"/>
  <c r="Z10" i="69" s="1"/>
  <c r="J10" i="69"/>
  <c r="AC10" i="69" s="1"/>
  <c r="H10" i="69"/>
  <c r="AB10" i="69" s="1"/>
  <c r="F10" i="69"/>
  <c r="AA10" i="69" s="1"/>
  <c r="Q9" i="69"/>
  <c r="Z9" i="69" s="1"/>
  <c r="J9" i="69"/>
  <c r="AC9" i="69" s="1"/>
  <c r="H9" i="69"/>
  <c r="AB9" i="69" s="1"/>
  <c r="F9" i="69"/>
  <c r="AA9" i="69" s="1"/>
  <c r="J8" i="69"/>
  <c r="AC8" i="69" s="1"/>
  <c r="H8" i="69"/>
  <c r="AB8" i="69" s="1"/>
  <c r="F8" i="69"/>
  <c r="AA8" i="69" s="1"/>
  <c r="F7" i="69"/>
  <c r="S7" i="69" s="1"/>
  <c r="C7" i="69"/>
  <c r="C58" i="69" s="1"/>
  <c r="D58" i="69" s="1"/>
  <c r="E58" i="69" s="1"/>
  <c r="F58" i="69" s="1"/>
  <c r="G58" i="69" s="1"/>
  <c r="H58" i="69" s="1"/>
  <c r="I58" i="69" s="1"/>
  <c r="J58" i="69" s="1"/>
  <c r="K58" i="69" s="1"/>
  <c r="L58" i="69" s="1"/>
  <c r="M58" i="69" s="1"/>
  <c r="N58" i="69" s="1"/>
  <c r="O58" i="69" s="1"/>
  <c r="G23" i="6"/>
  <c r="G22" i="6"/>
  <c r="F21" i="6"/>
  <c r="F20" i="6"/>
  <c r="F19" i="6"/>
  <c r="S18" i="3"/>
  <c r="O16" i="3"/>
  <c r="M15" i="3"/>
  <c r="K14" i="3"/>
  <c r="I13" i="3"/>
  <c r="D35" i="68"/>
  <c r="D29" i="68"/>
  <c r="D26" i="68"/>
  <c r="D22" i="68"/>
  <c r="D10" i="68"/>
  <c r="D6" i="68"/>
  <c r="D5" i="68"/>
  <c r="D4" i="68" s="1"/>
  <c r="F9" i="70"/>
  <c r="F42" i="71"/>
  <c r="F8" i="70"/>
  <c r="M28" i="71"/>
  <c r="F36" i="71"/>
  <c r="F9" i="71"/>
  <c r="M24" i="71"/>
  <c r="M22" i="70"/>
  <c r="F8" i="71"/>
  <c r="M22" i="71"/>
  <c r="H32" i="69" l="1"/>
  <c r="AB32" i="69" s="1"/>
  <c r="J32" i="69"/>
  <c r="AC32" i="69" s="1"/>
  <c r="D23" i="71"/>
  <c r="H44" i="69"/>
  <c r="AB44" i="69" s="1"/>
  <c r="F44" i="69"/>
  <c r="AA44" i="69" s="1"/>
  <c r="F46" i="69"/>
  <c r="AA46" i="69" s="1"/>
  <c r="E54" i="69"/>
  <c r="F54" i="69" s="1"/>
  <c r="W14" i="69"/>
  <c r="D23" i="70"/>
  <c r="F39" i="69"/>
  <c r="AA39" i="69" s="1"/>
  <c r="J39" i="69"/>
  <c r="AC39" i="69" s="1"/>
  <c r="F42" i="69"/>
  <c r="AA42" i="69" s="1"/>
  <c r="J42" i="69"/>
  <c r="AC42" i="69" s="1"/>
  <c r="F27" i="69"/>
  <c r="AA27" i="69" s="1"/>
  <c r="F29" i="69"/>
  <c r="AA29" i="69" s="1"/>
  <c r="F31" i="69"/>
  <c r="AA31" i="69" s="1"/>
  <c r="P62" i="71"/>
  <c r="T47" i="69"/>
  <c r="F81" i="69"/>
  <c r="G81" i="69" s="1"/>
  <c r="J19" i="69"/>
  <c r="AC19" i="69" s="1"/>
  <c r="H19" i="69"/>
  <c r="AB19" i="69" s="1"/>
  <c r="F19" i="69"/>
  <c r="AA19" i="69" s="1"/>
  <c r="F79" i="69"/>
  <c r="G79" i="69" s="1"/>
  <c r="J17" i="69"/>
  <c r="AC17" i="69" s="1"/>
  <c r="F17" i="69"/>
  <c r="AA17" i="69" s="1"/>
  <c r="H17" i="69"/>
  <c r="AB17" i="69" s="1"/>
  <c r="F77" i="69"/>
  <c r="G77" i="69" s="1"/>
  <c r="H15" i="69"/>
  <c r="AB15" i="69" s="1"/>
  <c r="F15" i="69"/>
  <c r="AA15" i="69" s="1"/>
  <c r="W8" i="69"/>
  <c r="S8" i="69"/>
  <c r="F50" i="71"/>
  <c r="F63" i="71"/>
  <c r="J51" i="71"/>
  <c r="F50" i="70"/>
  <c r="J51" i="70"/>
  <c r="P62" i="70"/>
  <c r="AA7" i="69"/>
  <c r="AC7" i="69"/>
  <c r="H7" i="69"/>
  <c r="U8" i="69"/>
  <c r="U9" i="69"/>
  <c r="S10" i="69"/>
  <c r="W10" i="69"/>
  <c r="S12" i="69"/>
  <c r="W12" i="69"/>
  <c r="U13" i="69"/>
  <c r="S14" i="69"/>
  <c r="S9" i="69"/>
  <c r="W9" i="69"/>
  <c r="U10" i="69"/>
  <c r="U12" i="69"/>
  <c r="S13" i="69"/>
  <c r="W13" i="69"/>
  <c r="AB14" i="69"/>
  <c r="U14" i="69"/>
  <c r="W17" i="69"/>
  <c r="S21" i="69"/>
  <c r="W21" i="69"/>
  <c r="S23" i="69"/>
  <c r="W23" i="69"/>
  <c r="U25" i="69"/>
  <c r="S26" i="69"/>
  <c r="W26" i="69"/>
  <c r="U27" i="69"/>
  <c r="S28" i="69"/>
  <c r="W28" i="69"/>
  <c r="U29" i="69"/>
  <c r="S30" i="69"/>
  <c r="W30" i="69"/>
  <c r="U31" i="69"/>
  <c r="S32" i="69"/>
  <c r="S34" i="69"/>
  <c r="W34" i="69"/>
  <c r="U35" i="69"/>
  <c r="S36" i="69"/>
  <c r="W36" i="69"/>
  <c r="U37" i="69"/>
  <c r="S38" i="69"/>
  <c r="W38" i="69"/>
  <c r="U39" i="69"/>
  <c r="S40" i="69"/>
  <c r="W40" i="69"/>
  <c r="U41" i="69"/>
  <c r="U43" i="69"/>
  <c r="AC43" i="69"/>
  <c r="U17" i="69"/>
  <c r="U19" i="69"/>
  <c r="U21" i="69"/>
  <c r="U23" i="69"/>
  <c r="S25" i="69"/>
  <c r="W25" i="69"/>
  <c r="U26" i="69"/>
  <c r="W27" i="69"/>
  <c r="U28" i="69"/>
  <c r="S29" i="69"/>
  <c r="W29" i="69"/>
  <c r="U30" i="69"/>
  <c r="W31" i="69"/>
  <c r="U34" i="69"/>
  <c r="S35" i="69"/>
  <c r="W35" i="69"/>
  <c r="U36" i="69"/>
  <c r="S37" i="69"/>
  <c r="W37" i="69"/>
  <c r="U38" i="69"/>
  <c r="U40" i="69"/>
  <c r="S41" i="69"/>
  <c r="W41" i="69"/>
  <c r="U42" i="69"/>
  <c r="S43" i="69"/>
  <c r="W44" i="69"/>
  <c r="U45" i="69"/>
  <c r="W46" i="69"/>
  <c r="K141" i="69"/>
  <c r="K143" i="69"/>
  <c r="S45" i="69"/>
  <c r="W45" i="69"/>
  <c r="U46" i="69"/>
  <c r="K144" i="69"/>
  <c r="M27" i="71"/>
  <c r="F13" i="70"/>
  <c r="L47" i="70"/>
  <c r="F26" i="71"/>
  <c r="J15" i="70"/>
  <c r="M6" i="71"/>
  <c r="M24" i="70"/>
  <c r="F6" i="70"/>
  <c r="F38" i="71"/>
  <c r="J15" i="71"/>
  <c r="F36" i="70"/>
  <c r="M6" i="70"/>
  <c r="F13" i="71"/>
  <c r="M8" i="71"/>
  <c r="M26" i="71"/>
  <c r="M9" i="71"/>
  <c r="F40" i="71"/>
  <c r="F16" i="70"/>
  <c r="F40" i="70"/>
  <c r="F42" i="70"/>
  <c r="M28" i="70"/>
  <c r="F16" i="71"/>
  <c r="F26" i="70"/>
  <c r="F37" i="70"/>
  <c r="L47" i="71"/>
  <c r="M26" i="70"/>
  <c r="M23" i="70"/>
  <c r="M27" i="70"/>
  <c r="J36" i="70"/>
  <c r="M23" i="71"/>
  <c r="F6" i="71"/>
  <c r="F38" i="70"/>
  <c r="M9" i="70"/>
  <c r="J36" i="71"/>
  <c r="M8" i="70"/>
  <c r="F37" i="71"/>
  <c r="U32" i="69" l="1"/>
  <c r="W32" i="69"/>
  <c r="S17" i="69"/>
  <c r="U15" i="69"/>
  <c r="J15" i="69"/>
  <c r="AC15" i="69" s="1"/>
  <c r="S19" i="69"/>
  <c r="S15" i="69"/>
  <c r="S46" i="69"/>
  <c r="W19" i="69"/>
  <c r="W15" i="69"/>
  <c r="S44" i="69"/>
  <c r="U44" i="69"/>
  <c r="W39" i="69"/>
  <c r="W42" i="69"/>
  <c r="S42" i="69"/>
  <c r="S39" i="69"/>
  <c r="S31" i="69"/>
  <c r="S27" i="69"/>
  <c r="F67" i="71"/>
  <c r="F64" i="71"/>
  <c r="L59" i="71"/>
  <c r="F65" i="71"/>
  <c r="Q72" i="71"/>
  <c r="C27" i="71"/>
  <c r="F65" i="70"/>
  <c r="Q72" i="70"/>
  <c r="C27" i="70"/>
  <c r="L59" i="70"/>
  <c r="F63" i="70"/>
  <c r="F67" i="70"/>
  <c r="F64" i="70"/>
  <c r="AB7" i="69"/>
  <c r="U7" i="69"/>
  <c r="Q75" i="71" l="1"/>
  <c r="Q62" i="71"/>
  <c r="Q75" i="70"/>
  <c r="Q62" i="70"/>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s="1"/>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s="1"/>
  <c r="P75" i="15"/>
  <c r="Q74" i="44"/>
  <c r="Q61" i="44"/>
  <c r="Q60" i="44"/>
  <c r="Q53" i="44"/>
  <c r="J51" i="44"/>
  <c r="J52" i="44"/>
  <c r="M48" i="44"/>
  <c r="A16" i="55"/>
  <c r="A15" i="55"/>
  <c r="B66" i="63"/>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c r="G17" i="11"/>
  <c r="D23" i="15"/>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F10" i="1" s="1"/>
  <c r="G19" i="4"/>
  <c r="F9" i="1" s="1"/>
  <c r="G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s="1"/>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s="1"/>
  <c r="J39" i="21"/>
  <c r="AC39" i="21" s="1"/>
  <c r="Q39" i="21"/>
  <c r="Z39" i="2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c r="H8" i="21"/>
  <c r="AB8" i="21" s="1"/>
  <c r="H9" i="21"/>
  <c r="AB9" i="21"/>
  <c r="H10" i="21"/>
  <c r="U10" i="21" s="1"/>
  <c r="H39" i="21"/>
  <c r="AB39" i="21" s="1"/>
  <c r="J34" i="21"/>
  <c r="W34" i="21" s="1"/>
  <c r="H36" i="21"/>
  <c r="U36" i="21" s="1"/>
  <c r="F35" i="21"/>
  <c r="AA35" i="21" s="1"/>
  <c r="J10" i="21"/>
  <c r="AC10" i="21" s="1"/>
  <c r="H26" i="2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s="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AC30" i="21"/>
  <c r="W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W9" i="21"/>
  <c r="J32" i="21"/>
  <c r="AC32" i="21" s="1"/>
  <c r="G13" i="3"/>
  <c r="G5" i="3" s="1"/>
  <c r="B3" i="3"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S28" i="33"/>
  <c r="S14" i="21"/>
  <c r="AA44" i="34"/>
  <c r="AB29" i="35"/>
  <c r="U29" i="35"/>
  <c r="AC19" i="33"/>
  <c r="W19" i="33"/>
  <c r="U43" i="34"/>
  <c r="AB43" i="34"/>
  <c r="AC34" i="37"/>
  <c r="S35" i="37"/>
  <c r="AA35" i="37"/>
  <c r="AB10" i="35"/>
  <c r="S32"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W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U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U27" i="39"/>
  <c r="H23" i="39"/>
  <c r="AB23" i="39" s="1"/>
  <c r="J23" i="39"/>
  <c r="AC23" i="39" s="1"/>
  <c r="F97" i="39"/>
  <c r="G97" i="39"/>
  <c r="S15" i="34"/>
  <c r="AA15" i="34"/>
  <c r="AA41" i="33"/>
  <c r="AA34" i="33"/>
  <c r="F106" i="33"/>
  <c r="G106" i="33"/>
  <c r="H106" i="33"/>
  <c r="I106" i="33"/>
  <c r="J106" i="33"/>
  <c r="K106" i="33"/>
  <c r="L106" i="33"/>
  <c r="M106" i="33"/>
  <c r="J34" i="33"/>
  <c r="AC34" i="33"/>
  <c r="U30" i="40"/>
  <c r="AA37" i="39"/>
  <c r="W29" i="35"/>
  <c r="AC39" i="39"/>
  <c r="AA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B11" i="1"/>
  <c r="E11" i="1" s="1"/>
  <c r="K11" i="1"/>
  <c r="M11" i="1" s="1"/>
  <c r="O11" i="1" s="1"/>
  <c r="P11" i="1" s="1"/>
  <c r="B9" i="1"/>
  <c r="E9" i="1"/>
  <c r="K9" i="1"/>
  <c r="B7" i="1"/>
  <c r="E7" i="1" s="1"/>
  <c r="K7" i="1"/>
  <c r="M7" i="1" s="1"/>
  <c r="C20" i="43"/>
  <c r="F6" i="1"/>
  <c r="AP6" i="1" s="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28" i="21"/>
  <c r="AC46" i="21"/>
  <c r="AC26" i="21"/>
  <c r="J23" i="21"/>
  <c r="W23" i="21" s="1"/>
  <c r="F23" i="21"/>
  <c r="S23" i="21" s="1"/>
  <c r="H23" i="21"/>
  <c r="U23" i="21" s="1"/>
  <c r="W13" i="21"/>
  <c r="AC2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W29" i="39"/>
  <c r="S29" i="39"/>
  <c r="AB15" i="39"/>
  <c r="U11" i="39"/>
  <c r="AB38" i="39"/>
  <c r="U31" i="39"/>
  <c r="AB31" i="39"/>
  <c r="S38" i="39"/>
  <c r="S22" i="31"/>
  <c r="M20" i="15"/>
  <c r="D96" i="9"/>
  <c r="F28" i="15"/>
  <c r="M18" i="15"/>
  <c r="A18" i="64"/>
  <c r="B74" i="63"/>
  <c r="C53" i="10"/>
  <c r="A25" i="64"/>
  <c r="A18" i="51"/>
  <c r="B14" i="63"/>
  <c r="BA16" i="3"/>
  <c r="BA17" i="3"/>
  <c r="AZ17" i="3" s="1"/>
  <c r="F3" i="35"/>
  <c r="K1" i="43"/>
  <c r="K1" i="12"/>
  <c r="G1" i="44"/>
  <c r="I4" i="6"/>
  <c r="G3" i="46"/>
  <c r="F101" i="46" s="1"/>
  <c r="F106" i="46" s="1"/>
  <c r="AZ15" i="3"/>
  <c r="BK5" i="3"/>
  <c r="BO5" i="3"/>
  <c r="BP5" i="3"/>
  <c r="BN5" i="3"/>
  <c r="BL18" i="3"/>
  <c r="AZ18" i="3" s="1"/>
  <c r="BC5" i="3"/>
  <c r="BD5" i="3"/>
  <c r="BR5" i="3"/>
  <c r="BS5" i="3"/>
  <c r="BL16" i="3"/>
  <c r="AZ16" i="3" s="1"/>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L5" i="54"/>
  <c r="B39" i="63"/>
  <c r="K5" i="54"/>
  <c r="B38" i="63"/>
  <c r="T41" i="4"/>
  <c r="A17" i="64"/>
  <c r="B46" i="50"/>
  <c r="B4" i="63"/>
  <c r="C46" i="36"/>
  <c r="C48" i="35"/>
  <c r="D48" i="35"/>
  <c r="C52" i="37"/>
  <c r="D52" i="37"/>
  <c r="O19" i="46"/>
  <c r="H86" i="46"/>
  <c r="H82" i="46"/>
  <c r="H10" i="48"/>
  <c r="H87" i="46"/>
  <c r="H85" i="46"/>
  <c r="H83" i="46"/>
  <c r="K10" i="1"/>
  <c r="S13" i="1"/>
  <c r="R13" i="1"/>
  <c r="B6" i="1"/>
  <c r="E6" i="1"/>
  <c r="B10" i="1"/>
  <c r="E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AC46" i="39"/>
  <c r="W42" i="39"/>
  <c r="W36" i="39"/>
  <c r="AC37" i="39"/>
  <c r="W16" i="39"/>
  <c r="W25" i="39"/>
  <c r="W45" i="39"/>
  <c r="AA46" i="39"/>
  <c r="W10"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E460" i="3"/>
  <c r="J6" i="3"/>
  <c r="E111" i="3"/>
  <c r="AT6" i="3"/>
  <c r="E402" i="3"/>
  <c r="E145" i="3"/>
  <c r="E58" i="3"/>
  <c r="E419" i="3"/>
  <c r="E386" i="3"/>
  <c r="E188" i="3"/>
  <c r="E180" i="3"/>
  <c r="E246" i="3"/>
  <c r="E236" i="3"/>
  <c r="E474" i="3"/>
  <c r="E171" i="3"/>
  <c r="E354" i="3"/>
  <c r="E531" i="3"/>
  <c r="E495" i="3"/>
  <c r="E344" i="3"/>
  <c r="E335" i="3"/>
  <c r="E366" i="3"/>
  <c r="E330" i="3"/>
  <c r="E350" i="3"/>
  <c r="E496" i="3"/>
  <c r="E352" i="3"/>
  <c r="E138" i="3"/>
  <c r="E519" i="3"/>
  <c r="E252" i="3"/>
  <c r="E544" i="3"/>
  <c r="E523" i="3"/>
  <c r="E13" i="3"/>
  <c r="BA5" i="3"/>
  <c r="G29" i="6"/>
  <c r="A9" i="64"/>
  <c r="A9" i="51"/>
  <c r="B9" i="63"/>
  <c r="A3" i="55"/>
  <c r="B56" i="63"/>
  <c r="E4" i="4"/>
  <c r="B21" i="55" s="1"/>
  <c r="B72" i="63" s="1"/>
  <c r="C4" i="4"/>
  <c r="G66" i="36"/>
  <c r="J18" i="36"/>
  <c r="AE7" i="1"/>
  <c r="AE6" i="1"/>
  <c r="W18" i="36"/>
  <c r="AC18" i="36"/>
  <c r="AG6" i="1"/>
  <c r="L20" i="6"/>
  <c r="B20" i="55"/>
  <c r="B70" i="63"/>
  <c r="C45" i="9"/>
  <c r="H14" i="66"/>
  <c r="B7" i="66" s="1"/>
  <c r="O40" i="9"/>
  <c r="K31" i="9"/>
  <c r="K32" i="9" s="1"/>
  <c r="R7" i="54"/>
  <c r="B52" i="63" s="1"/>
  <c r="N76" i="9"/>
  <c r="C46" i="9"/>
  <c r="K33" i="9"/>
  <c r="K34" i="9" s="1"/>
  <c r="O41" i="9"/>
  <c r="I14" i="66"/>
  <c r="B8" i="66" s="1"/>
  <c r="R8" i="54"/>
  <c r="B54" i="63"/>
  <c r="A25" i="51"/>
  <c r="B18" i="63" s="1"/>
  <c r="D58" i="21"/>
  <c r="D70" i="39"/>
  <c r="C72" i="39"/>
  <c r="C67" i="40"/>
  <c r="D65" i="40"/>
  <c r="D67" i="40"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92" i="3"/>
  <c r="E348" i="3"/>
  <c r="E394" i="3"/>
  <c r="E282" i="3"/>
  <c r="E375" i="3"/>
  <c r="E83" i="3"/>
  <c r="E222" i="3"/>
  <c r="E430" i="3"/>
  <c r="E77" i="3"/>
  <c r="E552" i="3"/>
  <c r="C30" i="44"/>
  <c r="C25" i="12"/>
  <c r="C27" i="43"/>
  <c r="C31" i="43"/>
  <c r="C28" i="15"/>
  <c r="H1" i="65"/>
  <c r="H51" i="46"/>
  <c r="X7" i="46"/>
  <c r="E17" i="46"/>
  <c r="N17" i="46"/>
  <c r="O17" i="46"/>
  <c r="M17" i="46"/>
  <c r="L17" i="46"/>
  <c r="AP7" i="1"/>
  <c r="E52" i="37"/>
  <c r="D46" i="36"/>
  <c r="E48" i="35"/>
  <c r="D59" i="34"/>
  <c r="H70" i="46"/>
  <c r="H73" i="46"/>
  <c r="H50" i="46"/>
  <c r="H48" i="46"/>
  <c r="F35" i="46"/>
  <c r="I17" i="46"/>
  <c r="G17" i="46" s="1"/>
  <c r="C16" i="46" s="1"/>
  <c r="H63" i="46"/>
  <c r="M101" i="46"/>
  <c r="M107" i="46" s="1"/>
  <c r="H64" i="46"/>
  <c r="H66" i="46"/>
  <c r="D100" i="46"/>
  <c r="H62" i="46"/>
  <c r="AF12" i="46"/>
  <c r="K100" i="46"/>
  <c r="AB12" i="46"/>
  <c r="AJ12" i="46"/>
  <c r="AG11" i="46"/>
  <c r="AG13" i="46" s="1"/>
  <c r="AF11" i="46"/>
  <c r="AF13" i="46" s="1"/>
  <c r="H60" i="46"/>
  <c r="H59" i="46"/>
  <c r="H74" i="46"/>
  <c r="H65"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s="1"/>
  <c r="P24" i="46"/>
  <c r="B68" i="40" s="1"/>
  <c r="E65" i="40"/>
  <c r="E67" i="40" s="1"/>
  <c r="E70" i="39"/>
  <c r="D72" i="39"/>
  <c r="F6" i="59"/>
  <c r="F5" i="59"/>
  <c r="V7" i="59"/>
  <c r="B6" i="59"/>
  <c r="B5" i="59"/>
  <c r="D7" i="59"/>
  <c r="C6" i="59"/>
  <c r="F48" i="35"/>
  <c r="E46" i="36"/>
  <c r="E59" i="34"/>
  <c r="F59" i="34" s="1"/>
  <c r="G59" i="34" s="1"/>
  <c r="H59" i="34" s="1"/>
  <c r="I59" i="34" s="1"/>
  <c r="J59" i="34" s="1"/>
  <c r="K59" i="34" s="1"/>
  <c r="L59" i="34" s="1"/>
  <c r="M59" i="34" s="1"/>
  <c r="N59" i="34" s="1"/>
  <c r="O59" i="34" s="1"/>
  <c r="F52" i="37"/>
  <c r="C23" i="46"/>
  <c r="C21" i="46" s="1"/>
  <c r="C7" i="46"/>
  <c r="F70" i="39"/>
  <c r="E72" i="39"/>
  <c r="D6" i="59"/>
  <c r="C5" i="59"/>
  <c r="D5" i="59"/>
  <c r="G20" i="46"/>
  <c r="E41" i="46"/>
  <c r="C41" i="46"/>
  <c r="G52" i="37"/>
  <c r="G48" i="35"/>
  <c r="F46" i="36"/>
  <c r="G46" i="36" s="1"/>
  <c r="H46" i="36" s="1"/>
  <c r="I46" i="36" s="1"/>
  <c r="J46" i="36" s="1"/>
  <c r="K46" i="36" s="1"/>
  <c r="L46" i="36" s="1"/>
  <c r="M46" i="36" s="1"/>
  <c r="N46" i="36" s="1"/>
  <c r="O46" i="36" s="1"/>
  <c r="F72" i="39"/>
  <c r="G70" i="39"/>
  <c r="G72" i="39" s="1"/>
  <c r="M20" i="46"/>
  <c r="C19" i="46"/>
  <c r="H48" i="35"/>
  <c r="H52" i="37"/>
  <c r="I52" i="37" s="1"/>
  <c r="J52" i="37" s="1"/>
  <c r="H70" i="39"/>
  <c r="I48" i="35"/>
  <c r="I70" i="39"/>
  <c r="H72" i="39"/>
  <c r="J48" i="35"/>
  <c r="K48" i="35" s="1"/>
  <c r="J70" i="39"/>
  <c r="K70" i="39" s="1"/>
  <c r="I72" i="39"/>
  <c r="K52" i="37"/>
  <c r="L52" i="37" s="1"/>
  <c r="J72" i="39"/>
  <c r="F43" i="71"/>
  <c r="B8" i="67"/>
  <c r="F8" i="67"/>
  <c r="I6" i="65"/>
  <c r="F26" i="15"/>
  <c r="F11" i="44"/>
  <c r="E13" i="67"/>
  <c r="I3" i="65"/>
  <c r="F46" i="44"/>
  <c r="F39" i="44"/>
  <c r="M23" i="15"/>
  <c r="F7" i="15"/>
  <c r="M25" i="44"/>
  <c r="F13" i="15"/>
  <c r="F8" i="44"/>
  <c r="M22" i="15"/>
  <c r="M9" i="15"/>
  <c r="J36" i="15"/>
  <c r="B13" i="67"/>
  <c r="F7" i="71"/>
  <c r="M28" i="44"/>
  <c r="E8" i="67"/>
  <c r="E11" i="67"/>
  <c r="M6" i="15"/>
  <c r="F6" i="15"/>
  <c r="E10" i="67"/>
  <c r="F42" i="15"/>
  <c r="B10" i="67"/>
  <c r="M24" i="15"/>
  <c r="F37" i="44"/>
  <c r="M31" i="44"/>
  <c r="J6" i="65"/>
  <c r="J5" i="65"/>
  <c r="F15" i="44"/>
  <c r="M11" i="44"/>
  <c r="M27" i="15"/>
  <c r="L48" i="71"/>
  <c r="J7" i="65"/>
  <c r="M24" i="44"/>
  <c r="F38" i="44"/>
  <c r="F16" i="15"/>
  <c r="I5" i="65"/>
  <c r="B11" i="67"/>
  <c r="L48" i="15"/>
  <c r="F9" i="44"/>
  <c r="F10" i="44"/>
  <c r="F36" i="15"/>
  <c r="N3" i="65"/>
  <c r="E14" i="67"/>
  <c r="B14" i="67"/>
  <c r="N6" i="65"/>
  <c r="J3" i="65"/>
  <c r="F43" i="70"/>
  <c r="F28" i="44"/>
  <c r="M10" i="44"/>
  <c r="L49" i="44"/>
  <c r="J17" i="44"/>
  <c r="F10" i="67"/>
  <c r="M26" i="15"/>
  <c r="L48" i="70"/>
  <c r="F9" i="15"/>
  <c r="F45" i="44"/>
  <c r="M29" i="15"/>
  <c r="N5" i="65"/>
  <c r="B9" i="67"/>
  <c r="M29" i="70"/>
  <c r="F38" i="15"/>
  <c r="I7" i="65"/>
  <c r="M29" i="71"/>
  <c r="F8" i="15"/>
  <c r="M23" i="44"/>
  <c r="F18" i="44"/>
  <c r="M28" i="15"/>
  <c r="N7" i="65"/>
  <c r="F43" i="44"/>
  <c r="F11" i="67"/>
  <c r="L48" i="44"/>
  <c r="M26" i="44"/>
  <c r="E9" i="67"/>
  <c r="F14" i="67"/>
  <c r="M29" i="44"/>
  <c r="F13" i="67"/>
  <c r="F7" i="70"/>
  <c r="M8" i="15"/>
  <c r="M8" i="44"/>
  <c r="F31" i="70"/>
  <c r="F12" i="67"/>
  <c r="I4" i="65"/>
  <c r="N4" i="65"/>
  <c r="C19" i="44"/>
  <c r="F40" i="44"/>
  <c r="F37" i="15"/>
  <c r="E12" i="67"/>
  <c r="M30" i="44"/>
  <c r="B12" i="67"/>
  <c r="J4" i="65"/>
  <c r="F40" i="15"/>
  <c r="F9" i="67"/>
  <c r="L47" i="15"/>
  <c r="F43" i="15"/>
  <c r="J15" i="15"/>
  <c r="H43" i="39" l="1"/>
  <c r="J43" i="39"/>
  <c r="W43" i="39" s="1"/>
  <c r="G126" i="39"/>
  <c r="H126" i="39" s="1"/>
  <c r="I126" i="39" s="1"/>
  <c r="J126" i="39" s="1"/>
  <c r="K126" i="39" s="1"/>
  <c r="L126" i="39" s="1"/>
  <c r="M126" i="39" s="1"/>
  <c r="F43" i="39"/>
  <c r="F93" i="39"/>
  <c r="G93" i="39" s="1"/>
  <c r="H19" i="39"/>
  <c r="F19" i="39"/>
  <c r="S19" i="39" s="1"/>
  <c r="J19" i="39"/>
  <c r="AC45" i="21"/>
  <c r="G11" i="1"/>
  <c r="D3" i="69"/>
  <c r="C33" i="69"/>
  <c r="C33" i="21"/>
  <c r="W44" i="21"/>
  <c r="S44" i="21"/>
  <c r="AB44" i="21"/>
  <c r="U46" i="21"/>
  <c r="AB10" i="21"/>
  <c r="S34" i="39"/>
  <c r="AC38" i="39"/>
  <c r="U39" i="39"/>
  <c r="AA44" i="39"/>
  <c r="S47" i="39"/>
  <c r="S15" i="39"/>
  <c r="U14" i="39"/>
  <c r="S14" i="39"/>
  <c r="S16" i="39"/>
  <c r="W15" i="39"/>
  <c r="AB16" i="39"/>
  <c r="M105" i="46"/>
  <c r="AB11" i="46"/>
  <c r="AB13" i="46" s="1"/>
  <c r="AA11" i="46"/>
  <c r="AA13" i="46" s="1"/>
  <c r="B113" i="46"/>
  <c r="F69" i="21"/>
  <c r="G69" i="21" s="1"/>
  <c r="H69" i="21" s="1"/>
  <c r="I69" i="21" s="1"/>
  <c r="J69" i="21" s="1"/>
  <c r="K69" i="21" s="1"/>
  <c r="L69" i="21" s="1"/>
  <c r="M69" i="21" s="1"/>
  <c r="C18" i="9"/>
  <c r="J37" i="21"/>
  <c r="H113" i="21"/>
  <c r="F37" i="21"/>
  <c r="H37" i="21"/>
  <c r="H32" i="21"/>
  <c r="W43" i="21"/>
  <c r="U43" i="21"/>
  <c r="AA43" i="21"/>
  <c r="S46" i="21"/>
  <c r="AA25" i="21"/>
  <c r="G13" i="1"/>
  <c r="AP11" i="1"/>
  <c r="L56" i="71"/>
  <c r="J53" i="71"/>
  <c r="J57" i="71"/>
  <c r="J55" i="71" s="1"/>
  <c r="J58" i="71" s="1"/>
  <c r="Q51" i="71" s="1"/>
  <c r="L58" i="71"/>
  <c r="I54" i="71"/>
  <c r="I54" i="70"/>
  <c r="L58" i="70"/>
  <c r="J53" i="70"/>
  <c r="L56" i="70"/>
  <c r="J57" i="70"/>
  <c r="J55" i="70" s="1"/>
  <c r="J58" i="70" s="1"/>
  <c r="Q51" i="70" s="1"/>
  <c r="AP9" i="1"/>
  <c r="L16" i="4"/>
  <c r="G22" i="46"/>
  <c r="AC11" i="46"/>
  <c r="AC13" i="46" s="1"/>
  <c r="G101" i="46"/>
  <c r="L101" i="46"/>
  <c r="K101" i="46"/>
  <c r="K107" i="46" s="1"/>
  <c r="Z11" i="46"/>
  <c r="Z13" i="46" s="1"/>
  <c r="E463" i="3"/>
  <c r="E75" i="3"/>
  <c r="E438" i="3"/>
  <c r="E560" i="3"/>
  <c r="E261" i="3"/>
  <c r="E203" i="3"/>
  <c r="E172" i="3"/>
  <c r="E417" i="3"/>
  <c r="E279" i="3"/>
  <c r="E400" i="3"/>
  <c r="E197" i="3"/>
  <c r="E224" i="3"/>
  <c r="E123" i="3"/>
  <c r="E66" i="3"/>
  <c r="E76" i="3"/>
  <c r="E24" i="3"/>
  <c r="E271" i="3"/>
  <c r="E508" i="3"/>
  <c r="E493" i="3"/>
  <c r="E108" i="3"/>
  <c r="E81" i="3"/>
  <c r="E277"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311" i="3"/>
  <c r="E263" i="3"/>
  <c r="E424" i="3"/>
  <c r="E82" i="3"/>
  <c r="E164" i="3"/>
  <c r="E99" i="3"/>
  <c r="E262" i="3"/>
  <c r="E101" i="3"/>
  <c r="I115" i="46"/>
  <c r="J115" i="46" s="1"/>
  <c r="K115" i="46" s="1"/>
  <c r="L115" i="46" s="1"/>
  <c r="M115" i="46" s="1"/>
  <c r="AE11" i="46"/>
  <c r="AE13" i="46" s="1"/>
  <c r="AI11" i="46"/>
  <c r="AI13" i="46" s="1"/>
  <c r="AH11" i="46"/>
  <c r="AH13" i="46" s="1"/>
  <c r="E101" i="46"/>
  <c r="E104" i="46" s="1"/>
  <c r="AJ11" i="46"/>
  <c r="AJ13" i="46" s="1"/>
  <c r="Y11" i="46"/>
  <c r="Y13" i="46" s="1"/>
  <c r="E57" i="3"/>
  <c r="E434" i="3"/>
  <c r="E146" i="3"/>
  <c r="E388" i="3"/>
  <c r="E124" i="3"/>
  <c r="E409" i="3"/>
  <c r="E570" i="3"/>
  <c r="E55" i="3"/>
  <c r="E93" i="3"/>
  <c r="E114" i="3"/>
  <c r="E476" i="3"/>
  <c r="E557" i="3"/>
  <c r="E541" i="3"/>
  <c r="E346" i="3"/>
  <c r="E155" i="3"/>
  <c r="E328" i="3"/>
  <c r="E461" i="3"/>
  <c r="E130" i="3"/>
  <c r="E521" i="3"/>
  <c r="E340" i="3"/>
  <c r="E532" i="3"/>
  <c r="E483" i="3"/>
  <c r="E485" i="3"/>
  <c r="E208" i="3"/>
  <c r="E122" i="3"/>
  <c r="E56" i="3"/>
  <c r="E251" i="3"/>
  <c r="E15" i="3"/>
  <c r="E546" i="3"/>
  <c r="E16" i="3"/>
  <c r="E551" i="3"/>
  <c r="E306" i="3"/>
  <c r="E287" i="3"/>
  <c r="E302" i="3"/>
  <c r="E505" i="3"/>
  <c r="E347" i="3"/>
  <c r="E255" i="3"/>
  <c r="E293" i="3"/>
  <c r="E426" i="3"/>
  <c r="K105" i="46"/>
  <c r="H22" i="46"/>
  <c r="H101" i="46"/>
  <c r="H102" i="46" s="1"/>
  <c r="J22" i="46"/>
  <c r="D101" i="46"/>
  <c r="D106" i="46" s="1"/>
  <c r="I101" i="46"/>
  <c r="I102" i="46" s="1"/>
  <c r="N101" i="46"/>
  <c r="N105" i="46" s="1"/>
  <c r="AD11" i="46"/>
  <c r="AD13" i="46" s="1"/>
  <c r="C101" i="46"/>
  <c r="C109" i="46" s="1"/>
  <c r="J101" i="46"/>
  <c r="J107" i="46" s="1"/>
  <c r="N104" i="45"/>
  <c r="F22" i="46"/>
  <c r="Z7" i="46"/>
  <c r="E22" i="46"/>
  <c r="D22" i="46" s="1"/>
  <c r="E170" i="3"/>
  <c r="E274" i="3"/>
  <c r="E32" i="3"/>
  <c r="E547" i="3"/>
  <c r="E447" i="3"/>
  <c r="E33" i="3"/>
  <c r="Q6" i="3"/>
  <c r="E119" i="3"/>
  <c r="E500" i="3"/>
  <c r="E97" i="3"/>
  <c r="AE6" i="3"/>
  <c r="E289"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I3" i="6"/>
  <c r="E292" i="3"/>
  <c r="E60" i="3"/>
  <c r="E178" i="3"/>
  <c r="E48" i="3"/>
  <c r="E455" i="3"/>
  <c r="E190" i="3"/>
  <c r="E420" i="3"/>
  <c r="E233" i="3"/>
  <c r="E39" i="3"/>
  <c r="E107" i="3"/>
  <c r="E288" i="3"/>
  <c r="E393" i="3"/>
  <c r="E88" i="3"/>
  <c r="E480" i="3"/>
  <c r="E220" i="3"/>
  <c r="E517" i="3"/>
  <c r="E453" i="3"/>
  <c r="AQ6" i="3"/>
  <c r="E162" i="3"/>
  <c r="E285" i="3"/>
  <c r="E235" i="3"/>
  <c r="E61" i="3"/>
  <c r="E229" i="3"/>
  <c r="E433" i="3"/>
  <c r="E120" i="3"/>
  <c r="E529" i="3"/>
  <c r="E191" i="3"/>
  <c r="E300" i="3"/>
  <c r="E555" i="3"/>
  <c r="E379" i="3"/>
  <c r="E355" i="3"/>
  <c r="E530" i="3"/>
  <c r="E499" i="3"/>
  <c r="E538" i="3"/>
  <c r="E558" i="3"/>
  <c r="E403" i="3"/>
  <c r="E173" i="3"/>
  <c r="E217" i="3"/>
  <c r="E436" i="3"/>
  <c r="E1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C15" i="43"/>
  <c r="G28" i="6"/>
  <c r="BL13" i="3"/>
  <c r="AZ13" i="3" s="1"/>
  <c r="BQ5" i="3"/>
  <c r="F28" i="6" s="1"/>
  <c r="F105" i="46"/>
  <c r="F104" i="46"/>
  <c r="F107" i="46"/>
  <c r="E404" i="3"/>
  <c r="E374" i="3"/>
  <c r="E30" i="3"/>
  <c r="E223" i="3"/>
  <c r="E441" i="3"/>
  <c r="E205" i="3"/>
  <c r="E367" i="3"/>
  <c r="E399" i="3"/>
  <c r="E415" i="3"/>
  <c r="E478" i="3"/>
  <c r="E80" i="3"/>
  <c r="E317" i="3"/>
  <c r="E28" i="3"/>
  <c r="E357" i="3"/>
  <c r="E141" i="3"/>
  <c r="E179" i="3"/>
  <c r="E168" i="3"/>
  <c r="AS6" i="3"/>
  <c r="E34" i="3"/>
  <c r="E444" i="3"/>
  <c r="E407" i="3"/>
  <c r="E383"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F49" i="70"/>
  <c r="M7" i="70"/>
  <c r="C6" i="70"/>
  <c r="C32" i="70" s="1"/>
  <c r="F70" i="70"/>
  <c r="F49" i="71"/>
  <c r="M7" i="71"/>
  <c r="C6" i="71"/>
  <c r="C32" i="71" s="1"/>
  <c r="F70" i="71"/>
  <c r="M10" i="1"/>
  <c r="M9" i="1"/>
  <c r="H13" i="39"/>
  <c r="J13" i="39"/>
  <c r="F83" i="39"/>
  <c r="M43" i="9"/>
  <c r="D18" i="9"/>
  <c r="M44" i="9" s="1"/>
  <c r="A30" i="51"/>
  <c r="B22" i="63" s="1"/>
  <c r="A30" i="64"/>
  <c r="H19" i="21"/>
  <c r="AB19" i="21" s="1"/>
  <c r="F81" i="21"/>
  <c r="G81" i="21" s="1"/>
  <c r="F19" i="21"/>
  <c r="AA19" i="21" s="1"/>
  <c r="J19" i="21"/>
  <c r="F79" i="21"/>
  <c r="G79" i="21" s="1"/>
  <c r="F17" i="21"/>
  <c r="S17" i="21" s="1"/>
  <c r="J17" i="21"/>
  <c r="AC17" i="21" s="1"/>
  <c r="H17" i="21"/>
  <c r="U17" i="21" s="1"/>
  <c r="F77" i="21"/>
  <c r="G77" i="21" s="1"/>
  <c r="AA38" i="21"/>
  <c r="U38" i="21"/>
  <c r="W42" i="21"/>
  <c r="W32" i="21"/>
  <c r="AB23" i="21"/>
  <c r="AA17" i="21"/>
  <c r="S21" i="21"/>
  <c r="AB17" i="21"/>
  <c r="S8" i="21"/>
  <c r="U40" i="21"/>
  <c r="AA40" i="21"/>
  <c r="AC40" i="21"/>
  <c r="W39" i="21"/>
  <c r="U39" i="21"/>
  <c r="S42" i="21"/>
  <c r="U35" i="21"/>
  <c r="S35" i="21"/>
  <c r="AC34" i="21"/>
  <c r="S34" i="21"/>
  <c r="G95" i="39"/>
  <c r="F21" i="39"/>
  <c r="S21" i="39" s="1"/>
  <c r="J21" i="39"/>
  <c r="H21" i="39"/>
  <c r="U21" i="39" s="1"/>
  <c r="H17" i="39"/>
  <c r="F91" i="39"/>
  <c r="G91" i="39" s="1"/>
  <c r="F17" i="39"/>
  <c r="AA17" i="39" s="1"/>
  <c r="J17" i="39"/>
  <c r="W17" i="39" s="1"/>
  <c r="AB29" i="39"/>
  <c r="AB25" i="39"/>
  <c r="S25" i="39"/>
  <c r="U23" i="39"/>
  <c r="S23" i="39"/>
  <c r="AA19" i="39"/>
  <c r="AC43" i="39"/>
  <c r="AC31" i="39"/>
  <c r="S31" i="39"/>
  <c r="W27" i="39"/>
  <c r="W23" i="39"/>
  <c r="E17" i="52"/>
  <c r="E14" i="52"/>
  <c r="AC44" i="39"/>
  <c r="AB44" i="39"/>
  <c r="S41" i="39"/>
  <c r="W41" i="39"/>
  <c r="AB41" i="39"/>
  <c r="W34" i="39"/>
  <c r="U34" i="39"/>
  <c r="B9" i="52"/>
  <c r="W11" i="39"/>
  <c r="E10" i="52"/>
  <c r="B14" i="52"/>
  <c r="B10" i="52"/>
  <c r="E4" i="52"/>
  <c r="D5" i="46"/>
  <c r="C36" i="46" s="1"/>
  <c r="C5" i="46"/>
  <c r="B8" i="52"/>
  <c r="E16" i="52"/>
  <c r="E15" i="52"/>
  <c r="B4" i="52"/>
  <c r="E22" i="52"/>
  <c r="E5" i="52"/>
  <c r="E7" i="52"/>
  <c r="AP10" i="1"/>
  <c r="G10" i="1"/>
  <c r="E29" i="6"/>
  <c r="L19" i="6" s="1"/>
  <c r="L27" i="6" s="1"/>
  <c r="F30" i="6"/>
  <c r="E109" i="46"/>
  <c r="G103" i="46"/>
  <c r="B116" i="46"/>
  <c r="C116" i="46" s="1"/>
  <c r="E103" i="46"/>
  <c r="K103" i="46"/>
  <c r="G30" i="6"/>
  <c r="G31" i="6" s="1"/>
  <c r="E28" i="6"/>
  <c r="K14" i="1" s="1"/>
  <c r="M14" i="1" s="1"/>
  <c r="O14" i="1" s="1"/>
  <c r="P14" i="1" s="1"/>
  <c r="E15" i="6"/>
  <c r="E67" i="39" s="1"/>
  <c r="E12" i="6"/>
  <c r="E64" i="39" s="1"/>
  <c r="E11" i="6"/>
  <c r="E14" i="6"/>
  <c r="E61" i="40" s="1"/>
  <c r="E13" i="6"/>
  <c r="E60" i="40" s="1"/>
  <c r="E10" i="6"/>
  <c r="M8" i="1"/>
  <c r="H16" i="1"/>
  <c r="Q16" i="1"/>
  <c r="F33" i="12" s="1"/>
  <c r="C34" i="12" s="1"/>
  <c r="D33" i="12" s="1"/>
  <c r="G109" i="46"/>
  <c r="G102" i="46"/>
  <c r="B117" i="46"/>
  <c r="C117" i="46" s="1"/>
  <c r="D118" i="46"/>
  <c r="E118" i="46" s="1"/>
  <c r="F118" i="46" s="1"/>
  <c r="B115" i="46"/>
  <c r="C115" i="46" s="1"/>
  <c r="L103" i="46"/>
  <c r="L106" i="46"/>
  <c r="E107" i="46"/>
  <c r="E106" i="46"/>
  <c r="K106" i="46"/>
  <c r="K109" i="46"/>
  <c r="G107" i="46"/>
  <c r="G104"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M104" i="46"/>
  <c r="H103" i="46"/>
  <c r="K15" i="1"/>
  <c r="K16" i="1" s="1"/>
  <c r="AZ5" i="3"/>
  <c r="E3" i="6" s="1"/>
  <c r="M109" i="46"/>
  <c r="M103" i="46"/>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8" i="6"/>
  <c r="E53" i="40" s="1"/>
  <c r="N106" i="46"/>
  <c r="J106" i="46"/>
  <c r="I107" i="46"/>
  <c r="N107" i="46"/>
  <c r="E58" i="40"/>
  <c r="H104" i="46"/>
  <c r="C102" i="46"/>
  <c r="S7" i="46" s="1"/>
  <c r="N102" i="46"/>
  <c r="I103" i="46"/>
  <c r="I104" i="46"/>
  <c r="E62" i="40"/>
  <c r="H105" i="46"/>
  <c r="J105" i="46"/>
  <c r="I105" i="46"/>
  <c r="N103" i="46"/>
  <c r="N109" i="46"/>
  <c r="N104" i="46"/>
  <c r="E59" i="40"/>
  <c r="I109" i="46"/>
  <c r="D109" i="46"/>
  <c r="D103" i="46"/>
  <c r="M102" i="46"/>
  <c r="M106" i="46"/>
  <c r="I106" i="46"/>
  <c r="D104" i="46"/>
  <c r="D105" i="46"/>
  <c r="H106" i="46"/>
  <c r="D102" i="46"/>
  <c r="H109" i="46"/>
  <c r="H107" i="46"/>
  <c r="D107" i="46"/>
  <c r="F103" i="46"/>
  <c r="F102" i="46"/>
  <c r="F109" i="46"/>
  <c r="E63" i="39"/>
  <c r="D12" i="11"/>
  <c r="C12" i="11" s="1"/>
  <c r="J109" i="46"/>
  <c r="C105" i="46"/>
  <c r="C107" i="46"/>
  <c r="J104" i="46"/>
  <c r="E65" i="39"/>
  <c r="O10" i="1"/>
  <c r="P10" i="1" s="1"/>
  <c r="O7" i="1"/>
  <c r="P7" i="1" s="1"/>
  <c r="O8" i="1"/>
  <c r="P8" i="1" s="1"/>
  <c r="O12" i="1"/>
  <c r="P12" i="1" s="1"/>
  <c r="O6" i="1"/>
  <c r="O13" i="1"/>
  <c r="P13" i="1" s="1"/>
  <c r="C106" i="46"/>
  <c r="C103" i="46"/>
  <c r="C104" i="46"/>
  <c r="J103" i="46"/>
  <c r="J102" i="46"/>
  <c r="G115" i="46"/>
  <c r="H115" i="46" s="1"/>
  <c r="E21" i="52"/>
  <c r="B13" i="52"/>
  <c r="B16" i="52"/>
  <c r="B5" i="52"/>
  <c r="E8" i="52"/>
  <c r="E13" i="52"/>
  <c r="E11" i="52"/>
  <c r="E9" i="52"/>
  <c r="B11" i="52"/>
  <c r="B22" i="52"/>
  <c r="B7" i="52"/>
  <c r="E6" i="52"/>
  <c r="B6" i="52"/>
  <c r="N16" i="4"/>
  <c r="K17" i="4" s="1"/>
  <c r="A22" i="51" s="1"/>
  <c r="B16" i="63" s="1"/>
  <c r="C34" i="46"/>
  <c r="E34" i="46" s="1"/>
  <c r="C37" i="46"/>
  <c r="G37" i="46" s="1"/>
  <c r="I37" i="46" s="1"/>
  <c r="T9" i="46"/>
  <c r="V9" i="46" s="1"/>
  <c r="G6" i="1"/>
  <c r="G16" i="1" s="1"/>
  <c r="F12" i="40" s="1"/>
  <c r="T16" i="46"/>
  <c r="V16" i="46" s="1"/>
  <c r="T12" i="46"/>
  <c r="V12" i="46" s="1"/>
  <c r="T10" i="46"/>
  <c r="V10" i="46" s="1"/>
  <c r="T15" i="46"/>
  <c r="V15" i="46" s="1"/>
  <c r="T8" i="46"/>
  <c r="V8" i="46" s="1"/>
  <c r="L70" i="39"/>
  <c r="K72" i="39"/>
  <c r="M52" i="37"/>
  <c r="N52" i="37" s="1"/>
  <c r="O52" i="37" s="1"/>
  <c r="L48" i="35"/>
  <c r="M48" i="35" s="1"/>
  <c r="N48" i="35" s="1"/>
  <c r="O48" i="35" s="1"/>
  <c r="F7" i="35"/>
  <c r="H7" i="35"/>
  <c r="J7" i="35"/>
  <c r="F7" i="34"/>
  <c r="J7" i="34"/>
  <c r="F65" i="40"/>
  <c r="F7" i="36"/>
  <c r="H7" i="36"/>
  <c r="J7" i="36"/>
  <c r="H7" i="34"/>
  <c r="E58" i="21"/>
  <c r="D58" i="33"/>
  <c r="E20" i="46"/>
  <c r="I1" i="65"/>
  <c r="C8" i="44"/>
  <c r="F70" i="15"/>
  <c r="C27" i="15"/>
  <c r="Q72" i="15"/>
  <c r="M9" i="44"/>
  <c r="J8" i="44" s="1"/>
  <c r="J22" i="44"/>
  <c r="C36" i="44"/>
  <c r="L58" i="15"/>
  <c r="L59" i="15"/>
  <c r="F64" i="15"/>
  <c r="F63" i="15"/>
  <c r="L59" i="44"/>
  <c r="L60" i="44"/>
  <c r="C4" i="65"/>
  <c r="B39" i="1" s="1"/>
  <c r="J1" i="65"/>
  <c r="I54" i="15"/>
  <c r="L56" i="15"/>
  <c r="J57" i="15"/>
  <c r="J55" i="15" s="1"/>
  <c r="J58" i="15" s="1"/>
  <c r="Q51" i="15" s="1"/>
  <c r="J53" i="15"/>
  <c r="M7" i="15"/>
  <c r="F49" i="15"/>
  <c r="Q73" i="44"/>
  <c r="C6" i="15"/>
  <c r="F65" i="15"/>
  <c r="J60" i="44"/>
  <c r="I55" i="44"/>
  <c r="J61" i="44"/>
  <c r="Q50" i="44" s="1"/>
  <c r="J58" i="44"/>
  <c r="J56" i="44" s="1"/>
  <c r="J59" i="44" s="1"/>
  <c r="Q52" i="44" s="1"/>
  <c r="L57" i="44"/>
  <c r="J54" i="44"/>
  <c r="C29" i="44"/>
  <c r="F67" i="15"/>
  <c r="F50" i="15"/>
  <c r="F33" i="44"/>
  <c r="F58" i="15"/>
  <c r="C16" i="15"/>
  <c r="F58" i="71"/>
  <c r="M17" i="71"/>
  <c r="F58" i="70"/>
  <c r="F31" i="15"/>
  <c r="C18" i="44"/>
  <c r="C16" i="70"/>
  <c r="C16" i="71"/>
  <c r="M19" i="44"/>
  <c r="E2" i="65"/>
  <c r="E3" i="65"/>
  <c r="M17" i="70"/>
  <c r="F31" i="71"/>
  <c r="M17" i="15"/>
  <c r="S43" i="39" l="1"/>
  <c r="AA43" i="39"/>
  <c r="U43" i="39"/>
  <c r="AB43" i="39"/>
  <c r="W19" i="39"/>
  <c r="AC19" i="39"/>
  <c r="AB19" i="39"/>
  <c r="U19" i="39"/>
  <c r="H33" i="21"/>
  <c r="J33" i="21"/>
  <c r="F33" i="21"/>
  <c r="H33" i="69"/>
  <c r="J33" i="69"/>
  <c r="F33" i="69"/>
  <c r="S17" i="39"/>
  <c r="F15" i="21"/>
  <c r="J15" i="21"/>
  <c r="H15" i="21"/>
  <c r="S19" i="21"/>
  <c r="AB21" i="39"/>
  <c r="AA21" i="39"/>
  <c r="S5" i="46"/>
  <c r="T5" i="46" s="1"/>
  <c r="V5" i="46" s="1"/>
  <c r="S6" i="46"/>
  <c r="T6" i="46" s="1"/>
  <c r="V6" i="46" s="1"/>
  <c r="I116" i="46"/>
  <c r="J116" i="46" s="1"/>
  <c r="K116" i="46" s="1"/>
  <c r="L116" i="46" s="1"/>
  <c r="M116" i="46" s="1"/>
  <c r="I117" i="46"/>
  <c r="J117" i="46" s="1"/>
  <c r="K117" i="46" s="1"/>
  <c r="L117" i="46" s="1"/>
  <c r="M117" i="46" s="1"/>
  <c r="S2" i="46"/>
  <c r="T2" i="46" s="1"/>
  <c r="V2" i="46" s="1"/>
  <c r="S3" i="46"/>
  <c r="T3" i="46" s="1"/>
  <c r="V3" i="46" s="1"/>
  <c r="S4" i="46"/>
  <c r="F24" i="43"/>
  <c r="C26" i="43" s="1"/>
  <c r="D24" i="43" s="1"/>
  <c r="U37" i="21"/>
  <c r="AB37" i="21"/>
  <c r="S37" i="21"/>
  <c r="AA37" i="21"/>
  <c r="W37" i="21"/>
  <c r="AC37" i="21"/>
  <c r="U32" i="21"/>
  <c r="AB32" i="21"/>
  <c r="AC17" i="39"/>
  <c r="G34" i="46"/>
  <c r="I34" i="46" s="1"/>
  <c r="AP16" i="1"/>
  <c r="F22" i="11" s="1"/>
  <c r="Q53" i="70"/>
  <c r="F1" i="70"/>
  <c r="Q61" i="71"/>
  <c r="Q74" i="71"/>
  <c r="F1" i="71"/>
  <c r="Q53" i="71"/>
  <c r="Q74" i="70"/>
  <c r="Q61" i="70"/>
  <c r="L102" i="46"/>
  <c r="L105" i="46"/>
  <c r="G106" i="46"/>
  <c r="G105" i="46"/>
  <c r="M16" i="1"/>
  <c r="C13" i="43" s="1"/>
  <c r="BL5" i="3"/>
  <c r="E30" i="6"/>
  <c r="O9" i="1"/>
  <c r="P9" i="1" s="1"/>
  <c r="J6" i="71"/>
  <c r="J18" i="71" s="1"/>
  <c r="J6" i="70"/>
  <c r="J18" i="70" s="1"/>
  <c r="C48" i="71"/>
  <c r="C48" i="70"/>
  <c r="AC13" i="39"/>
  <c r="W13" i="39"/>
  <c r="G83" i="39"/>
  <c r="H83" i="39" s="1"/>
  <c r="I83" i="39" s="1"/>
  <c r="J83" i="39" s="1"/>
  <c r="K83" i="39" s="1"/>
  <c r="L83" i="39" s="1"/>
  <c r="M83" i="39" s="1"/>
  <c r="F13" i="39"/>
  <c r="AB13" i="39"/>
  <c r="U13" i="39"/>
  <c r="U19" i="21"/>
  <c r="W19" i="21"/>
  <c r="AC19" i="21"/>
  <c r="W17" i="21"/>
  <c r="AC21" i="39"/>
  <c r="W21" i="39"/>
  <c r="U17" i="39"/>
  <c r="AB17" i="39"/>
  <c r="M11" i="71"/>
  <c r="J10" i="71" s="1"/>
  <c r="F11" i="71"/>
  <c r="F11" i="70"/>
  <c r="M11" i="70"/>
  <c r="J10" i="70" s="1"/>
  <c r="J5" i="70" s="1"/>
  <c r="T11" i="46"/>
  <c r="V11" i="46" s="1"/>
  <c r="C29" i="46"/>
  <c r="T7" i="46"/>
  <c r="V7" i="46" s="1"/>
  <c r="T13" i="46"/>
  <c r="V13" i="46" s="1"/>
  <c r="T14" i="46"/>
  <c r="V14" i="46" s="1"/>
  <c r="T4" i="46"/>
  <c r="V4" i="46" s="1"/>
  <c r="C35" i="46"/>
  <c r="G35" i="46" s="1"/>
  <c r="I35" i="46" s="1"/>
  <c r="C33" i="46"/>
  <c r="E33" i="46" s="1"/>
  <c r="C38" i="46"/>
  <c r="C39" i="46"/>
  <c r="F18" i="11"/>
  <c r="C18" i="11" s="1"/>
  <c r="E66" i="39"/>
  <c r="AY6" i="3"/>
  <c r="AY542" i="3" s="1"/>
  <c r="D16" i="12"/>
  <c r="D19" i="12" s="1"/>
  <c r="C19" i="12" s="1"/>
  <c r="L38" i="9"/>
  <c r="B14" i="66" s="1"/>
  <c r="E6" i="6"/>
  <c r="D22" i="12" s="1"/>
  <c r="C22" i="12" s="1"/>
  <c r="C20" i="12" s="1"/>
  <c r="D16" i="43"/>
  <c r="C16" i="43" s="1"/>
  <c r="E16" i="6"/>
  <c r="F27" i="6"/>
  <c r="D46" i="9"/>
  <c r="D45" i="9"/>
  <c r="D10" i="11"/>
  <c r="C21" i="4"/>
  <c r="O5" i="54" s="1"/>
  <c r="B45" i="63" s="1"/>
  <c r="AY37" i="3"/>
  <c r="BL6" i="3"/>
  <c r="AY492" i="3"/>
  <c r="AY289" i="3"/>
  <c r="AY296" i="3"/>
  <c r="AY80" i="3"/>
  <c r="AY314" i="3"/>
  <c r="AY367" i="3"/>
  <c r="AY244" i="3"/>
  <c r="AY480" i="3"/>
  <c r="AY358" i="3"/>
  <c r="AY223" i="3"/>
  <c r="AY235" i="3"/>
  <c r="AY267" i="3"/>
  <c r="AY433" i="3"/>
  <c r="AY502" i="3"/>
  <c r="AY514" i="3"/>
  <c r="AY507" i="3"/>
  <c r="AY23" i="3"/>
  <c r="AY522" i="3"/>
  <c r="AY551" i="3"/>
  <c r="AY180" i="3"/>
  <c r="AC6" i="3"/>
  <c r="E6" i="3" s="1"/>
  <c r="E58" i="39"/>
  <c r="O16" i="1"/>
  <c r="P6" i="1"/>
  <c r="D113" i="46"/>
  <c r="H12" i="40"/>
  <c r="AB12" i="40" s="1"/>
  <c r="F12" i="39"/>
  <c r="S12" i="39" s="1"/>
  <c r="J12" i="40"/>
  <c r="AC12" i="40" s="1"/>
  <c r="J12" i="39"/>
  <c r="W12" i="39" s="1"/>
  <c r="H12" i="39"/>
  <c r="AB12" i="39" s="1"/>
  <c r="E37" i="46"/>
  <c r="E36" i="46"/>
  <c r="G36" i="46"/>
  <c r="I36" i="46" s="1"/>
  <c r="C30" i="46"/>
  <c r="E30" i="46" s="1"/>
  <c r="E29" i="46"/>
  <c r="E35" i="46"/>
  <c r="AA12" i="40"/>
  <c r="S12" i="40"/>
  <c r="E58" i="33"/>
  <c r="H7" i="21"/>
  <c r="F58" i="21"/>
  <c r="G58" i="21" s="1"/>
  <c r="H58" i="21" s="1"/>
  <c r="I58" i="21" s="1"/>
  <c r="J58" i="21" s="1"/>
  <c r="K58" i="21" s="1"/>
  <c r="L58" i="21" s="1"/>
  <c r="M58" i="21" s="1"/>
  <c r="N58" i="21" s="1"/>
  <c r="O58" i="21" s="1"/>
  <c r="F7" i="21"/>
  <c r="U7" i="34"/>
  <c r="AB7" i="34"/>
  <c r="T49" i="34" s="1"/>
  <c r="G49" i="34" s="1"/>
  <c r="W7" i="36"/>
  <c r="AC7" i="36"/>
  <c r="V36" i="36" s="1"/>
  <c r="I36" i="36" s="1"/>
  <c r="AA7" i="36"/>
  <c r="R36" i="36" s="1"/>
  <c r="S7" i="36"/>
  <c r="AC7" i="34"/>
  <c r="V49" i="34" s="1"/>
  <c r="I49" i="34" s="1"/>
  <c r="W7" i="34"/>
  <c r="AA7" i="34"/>
  <c r="R49" i="34" s="1"/>
  <c r="S7" i="34"/>
  <c r="AA7" i="35"/>
  <c r="R38" i="35" s="1"/>
  <c r="S7" i="35"/>
  <c r="J7" i="37"/>
  <c r="H7" i="37"/>
  <c r="J7" i="21"/>
  <c r="U7" i="36"/>
  <c r="AB7" i="36"/>
  <c r="T36" i="36" s="1"/>
  <c r="G36" i="36" s="1"/>
  <c r="F67" i="40"/>
  <c r="G65" i="40"/>
  <c r="W7" i="35"/>
  <c r="AC7" i="35"/>
  <c r="V38" i="35" s="1"/>
  <c r="I38" i="35" s="1"/>
  <c r="AB7" i="35"/>
  <c r="T38" i="35" s="1"/>
  <c r="G38" i="35" s="1"/>
  <c r="U7" i="35"/>
  <c r="F7" i="37"/>
  <c r="L72" i="39"/>
  <c r="M70" i="39"/>
  <c r="C48" i="15"/>
  <c r="L47" i="44"/>
  <c r="F17" i="11"/>
  <c r="C17" i="11" s="1"/>
  <c r="B40" i="1"/>
  <c r="F1" i="44"/>
  <c r="Q54" i="44"/>
  <c r="Q53" i="15"/>
  <c r="F1" i="15"/>
  <c r="Q62" i="44"/>
  <c r="Q75" i="44"/>
  <c r="Q62" i="15"/>
  <c r="Q75" i="15"/>
  <c r="J6" i="15"/>
  <c r="M28" i="46"/>
  <c r="N28" i="46"/>
  <c r="P28" i="46"/>
  <c r="O28" i="46"/>
  <c r="C32" i="15"/>
  <c r="J20" i="44"/>
  <c r="M11" i="15"/>
  <c r="J10" i="15" s="1"/>
  <c r="M13" i="44"/>
  <c r="J12" i="44" s="1"/>
  <c r="J7" i="44" s="1"/>
  <c r="F13" i="44"/>
  <c r="C12" i="44" s="1"/>
  <c r="C7" i="44" s="1"/>
  <c r="F11" i="15"/>
  <c r="Q76" i="44"/>
  <c r="Q63" i="44"/>
  <c r="Q61" i="15"/>
  <c r="Q74" i="15"/>
  <c r="C34" i="44"/>
  <c r="AE9" i="1"/>
  <c r="AE8" i="1"/>
  <c r="AE10" i="1"/>
  <c r="L16" i="1" l="1"/>
  <c r="AA33" i="69"/>
  <c r="S33" i="69"/>
  <c r="AB33" i="69"/>
  <c r="U33" i="69"/>
  <c r="W33" i="21"/>
  <c r="AC33" i="21"/>
  <c r="B1" i="66"/>
  <c r="C8" i="66" s="1"/>
  <c r="AC33" i="69"/>
  <c r="W33" i="69"/>
  <c r="S33" i="21"/>
  <c r="AA33" i="21"/>
  <c r="U33" i="21"/>
  <c r="AB33" i="21"/>
  <c r="U15" i="21"/>
  <c r="AB15" i="21"/>
  <c r="AC15" i="21"/>
  <c r="W15" i="21"/>
  <c r="S15" i="21"/>
  <c r="AA15" i="21"/>
  <c r="J5" i="71"/>
  <c r="J24" i="71" s="1"/>
  <c r="N16" i="1"/>
  <c r="C29" i="43" s="1"/>
  <c r="D13" i="11"/>
  <c r="C13" i="11" s="1"/>
  <c r="AY292" i="3"/>
  <c r="AY167" i="3"/>
  <c r="AY33" i="3"/>
  <c r="AY173" i="3"/>
  <c r="AY215" i="3"/>
  <c r="AY499" i="3"/>
  <c r="AY298" i="3"/>
  <c r="AY455" i="3"/>
  <c r="AY545" i="3"/>
  <c r="AY401" i="3"/>
  <c r="AY190" i="3"/>
  <c r="AY344" i="3"/>
  <c r="AY90" i="3"/>
  <c r="AY553" i="3"/>
  <c r="AY531" i="3"/>
  <c r="AY368" i="3"/>
  <c r="AY204" i="3"/>
  <c r="AY373" i="3"/>
  <c r="AY509" i="3"/>
  <c r="AY327" i="3"/>
  <c r="AY152" i="3"/>
  <c r="AY218" i="3"/>
  <c r="AA13" i="39"/>
  <c r="S13" i="39"/>
  <c r="F24" i="70"/>
  <c r="F24" i="71"/>
  <c r="G33" i="46"/>
  <c r="I33" i="46" s="1"/>
  <c r="C27" i="46" s="1"/>
  <c r="C52" i="71"/>
  <c r="C47" i="71" s="1"/>
  <c r="C10" i="71"/>
  <c r="C5" i="71" s="1"/>
  <c r="J26" i="71"/>
  <c r="C52" i="70"/>
  <c r="C47" i="70" s="1"/>
  <c r="C10" i="70"/>
  <c r="C5" i="70" s="1"/>
  <c r="J26" i="70"/>
  <c r="J24" i="70"/>
  <c r="G39" i="46"/>
  <c r="I39" i="46" s="1"/>
  <c r="E39" i="46"/>
  <c r="G38" i="46"/>
  <c r="I38" i="46" s="1"/>
  <c r="E38" i="46"/>
  <c r="C19" i="11"/>
  <c r="C20" i="11" s="1"/>
  <c r="C21" i="11" s="1"/>
  <c r="C22" i="11" s="1"/>
  <c r="C23" i="11" s="1"/>
  <c r="B2" i="11" s="1"/>
  <c r="P16" i="1"/>
  <c r="C13" i="12" s="1"/>
  <c r="C14" i="12" s="1"/>
  <c r="C15" i="12"/>
  <c r="W12" i="40"/>
  <c r="AY452" i="3"/>
  <c r="AY477" i="3"/>
  <c r="AY439" i="3"/>
  <c r="AY541" i="3"/>
  <c r="AY473" i="3"/>
  <c r="AY306" i="3"/>
  <c r="AY59" i="3"/>
  <c r="AY237" i="3"/>
  <c r="AY61" i="3"/>
  <c r="AY48" i="3"/>
  <c r="AY391" i="3"/>
  <c r="AY454" i="3"/>
  <c r="AY403" i="3"/>
  <c r="AY110" i="3"/>
  <c r="AY213" i="3"/>
  <c r="AY547" i="3"/>
  <c r="AY339" i="3"/>
  <c r="AY363" i="3"/>
  <c r="AY495" i="3"/>
  <c r="AY195" i="3"/>
  <c r="AY440" i="3"/>
  <c r="AY71" i="3"/>
  <c r="AY63" i="3"/>
  <c r="AY328" i="3"/>
  <c r="AY351" i="3"/>
  <c r="AY174" i="3"/>
  <c r="AY199" i="3"/>
  <c r="AY399" i="3"/>
  <c r="AY485" i="3"/>
  <c r="BT6" i="3"/>
  <c r="AY471" i="3"/>
  <c r="AY510" i="3"/>
  <c r="AY257" i="3"/>
  <c r="AY340" i="3"/>
  <c r="AY474" i="3"/>
  <c r="AY79" i="3"/>
  <c r="AY564" i="3"/>
  <c r="AY331" i="3"/>
  <c r="AY557" i="3"/>
  <c r="BR6" i="3"/>
  <c r="AY417" i="3"/>
  <c r="AY151" i="3"/>
  <c r="AY250" i="3"/>
  <c r="AY31" i="3"/>
  <c r="BP6" i="3"/>
  <c r="AY565" i="3"/>
  <c r="AY137" i="3"/>
  <c r="AY360" i="3"/>
  <c r="AY413" i="3"/>
  <c r="AY316" i="3"/>
  <c r="AY171" i="3"/>
  <c r="AY75" i="3"/>
  <c r="AY268" i="3"/>
  <c r="AY359" i="3"/>
  <c r="AY28" i="3"/>
  <c r="AY501" i="3"/>
  <c r="AY55" i="3"/>
  <c r="AY441" i="3"/>
  <c r="AY466" i="3"/>
  <c r="AY243" i="3"/>
  <c r="AY338" i="3"/>
  <c r="BB6" i="3"/>
  <c r="AY539" i="3"/>
  <c r="AY487" i="3"/>
  <c r="AY130" i="3"/>
  <c r="AY418" i="3"/>
  <c r="AY538" i="3"/>
  <c r="AY285" i="3"/>
  <c r="AY355" i="3"/>
  <c r="AY163" i="3"/>
  <c r="AY546" i="3"/>
  <c r="AY500" i="3"/>
  <c r="AY131" i="3"/>
  <c r="BS6" i="3"/>
  <c r="AY147" i="3"/>
  <c r="AY341" i="3"/>
  <c r="AY293" i="3"/>
  <c r="F31" i="6"/>
  <c r="E27" i="6"/>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BI6" i="3"/>
  <c r="AY377" i="3"/>
  <c r="AY468" i="3"/>
  <c r="AY297" i="3"/>
  <c r="AY210" i="3"/>
  <c r="AY490" i="3"/>
  <c r="BO6" i="3"/>
  <c r="AY393" i="3"/>
  <c r="AY189" i="3"/>
  <c r="AY395" i="3"/>
  <c r="AY322" i="3"/>
  <c r="AY281" i="3"/>
  <c r="AY40" i="3"/>
  <c r="AY475" i="3"/>
  <c r="AY60" i="3"/>
  <c r="AY240" i="3"/>
  <c r="AY108" i="3"/>
  <c r="AY506" i="3"/>
  <c r="AY483" i="3"/>
  <c r="AY559" i="3"/>
  <c r="AY185" i="3"/>
  <c r="AY375" i="3"/>
  <c r="AY447" i="3"/>
  <c r="AY153" i="3"/>
  <c r="AY299" i="3"/>
  <c r="AY78" i="3"/>
  <c r="AY208" i="3"/>
  <c r="AY20" i="3"/>
  <c r="AY503" i="3"/>
  <c r="AY247" i="3"/>
  <c r="AY415" i="3"/>
  <c r="AY112" i="3"/>
  <c r="AY518" i="3"/>
  <c r="AY456" i="3"/>
  <c r="AY388" i="3"/>
  <c r="AY370" i="3"/>
  <c r="AY323" i="3"/>
  <c r="AY319" i="3"/>
  <c r="AY166" i="3"/>
  <c r="AY29" i="3"/>
  <c r="AY138" i="3"/>
  <c r="AY365" i="3"/>
  <c r="AY409" i="3"/>
  <c r="AY259" i="3"/>
  <c r="AY154" i="3"/>
  <c r="AY207" i="3"/>
  <c r="AY320" i="3"/>
  <c r="AY437" i="3"/>
  <c r="AY254" i="3"/>
  <c r="AY311" i="3"/>
  <c r="AY216" i="3"/>
  <c r="AY481" i="3"/>
  <c r="AY43" i="3"/>
  <c r="AY310" i="3"/>
  <c r="AY126" i="3"/>
  <c r="AY491" i="3"/>
  <c r="AY482" i="3"/>
  <c r="AY496" i="3"/>
  <c r="AY301" i="3"/>
  <c r="AY426" i="3"/>
  <c r="AY419" i="3"/>
  <c r="AY284" i="3"/>
  <c r="AY353" i="3"/>
  <c r="AY251" i="3"/>
  <c r="AY212" i="3"/>
  <c r="AY532" i="3"/>
  <c r="AY554" i="3"/>
  <c r="AY571" i="3"/>
  <c r="AY270" i="3"/>
  <c r="AY334" i="3"/>
  <c r="AY93" i="3"/>
  <c r="AY434" i="3"/>
  <c r="AY478" i="3"/>
  <c r="AY534" i="3"/>
  <c r="AY567" i="3"/>
  <c r="AY404" i="3"/>
  <c r="AY497" i="3"/>
  <c r="AY220" i="3"/>
  <c r="AY15" i="3"/>
  <c r="AY385" i="3"/>
  <c r="AY287" i="3"/>
  <c r="AY242" i="3"/>
  <c r="AY489" i="3"/>
  <c r="AY458" i="3"/>
  <c r="AY32" i="3"/>
  <c r="AY453" i="3"/>
  <c r="AY472" i="3"/>
  <c r="AY193" i="3"/>
  <c r="AY103" i="3"/>
  <c r="AY562" i="3"/>
  <c r="AY356" i="3"/>
  <c r="AY428" i="3"/>
  <c r="AY157" i="3"/>
  <c r="AY111" i="3"/>
  <c r="AY82" i="3"/>
  <c r="AY202" i="3"/>
  <c r="AY124" i="3"/>
  <c r="AY271" i="3"/>
  <c r="AY229" i="3"/>
  <c r="AY350" i="3"/>
  <c r="AY333" i="3"/>
  <c r="AY86" i="3"/>
  <c r="AY42" i="3"/>
  <c r="AY392" i="3"/>
  <c r="AY288" i="3"/>
  <c r="AY162" i="3"/>
  <c r="AY58" i="3"/>
  <c r="AY272" i="3"/>
  <c r="AY280" i="3"/>
  <c r="AY282" i="3"/>
  <c r="BN6" i="3"/>
  <c r="AY145" i="3"/>
  <c r="AY233" i="3"/>
  <c r="AY520" i="3"/>
  <c r="AY184" i="3"/>
  <c r="AY245" i="3"/>
  <c r="AY239" i="3"/>
  <c r="AY107"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179" i="3"/>
  <c r="AY209" i="3"/>
  <c r="AY560" i="3"/>
  <c r="AY226" i="3"/>
  <c r="AY405" i="3"/>
  <c r="AY140" i="3"/>
  <c r="AY552" i="3"/>
  <c r="AY407" i="3"/>
  <c r="AY498" i="3"/>
  <c r="AY127" i="3"/>
  <c r="AY303" i="3"/>
  <c r="BQ6" i="3"/>
  <c r="AY225" i="3"/>
  <c r="AY249" i="3"/>
  <c r="AY206" i="3"/>
  <c r="AY329" i="3"/>
  <c r="AY96" i="3"/>
  <c r="AY248" i="3"/>
  <c r="AY160" i="3"/>
  <c r="BD6" i="3"/>
  <c r="AY27" i="3"/>
  <c r="AY378" i="3"/>
  <c r="AY394" i="3"/>
  <c r="AY172" i="3"/>
  <c r="AY432" i="3"/>
  <c r="AY572" i="3"/>
  <c r="AY459" i="3"/>
  <c r="AY118" i="3"/>
  <c r="AY406" i="3"/>
  <c r="AY22" i="3"/>
  <c r="AY561" i="3"/>
  <c r="AY318" i="3"/>
  <c r="AY44" i="3"/>
  <c r="AY176" i="3"/>
  <c r="AY309" i="3"/>
  <c r="AY34" i="3"/>
  <c r="AY526" i="3"/>
  <c r="AY431" i="3"/>
  <c r="AY465" i="3"/>
  <c r="AY123" i="3"/>
  <c r="AY516" i="3"/>
  <c r="AY101" i="3"/>
  <c r="AY181" i="3"/>
  <c r="AY67" i="3"/>
  <c r="AY85" i="3"/>
  <c r="AY200" i="3"/>
  <c r="AY411" i="3"/>
  <c r="AY21" i="3"/>
  <c r="AY253" i="3"/>
  <c r="AY348" i="3"/>
  <c r="AY45" i="3"/>
  <c r="AY150" i="3"/>
  <c r="AY99" i="3"/>
  <c r="AY442" i="3"/>
  <c r="AY400" i="3"/>
  <c r="AY141" i="3"/>
  <c r="AY416" i="3"/>
  <c r="AY100" i="3"/>
  <c r="AY221" i="3"/>
  <c r="AY396" i="3"/>
  <c r="AY211" i="3"/>
  <c r="AY380" i="3"/>
  <c r="AY446" i="3"/>
  <c r="AY283" i="3"/>
  <c r="BA6" i="3"/>
  <c r="AY371" i="3"/>
  <c r="AY148" i="3"/>
  <c r="AY569" i="3"/>
  <c r="AY219" i="3"/>
  <c r="AY46" i="3"/>
  <c r="AY443" i="3"/>
  <c r="AY290" i="3"/>
  <c r="AY158" i="3"/>
  <c r="AY515" i="3"/>
  <c r="AY64" i="3"/>
  <c r="AY494" i="3"/>
  <c r="AY273" i="3"/>
  <c r="AY24" i="3"/>
  <c r="BH6" i="3"/>
  <c r="AY76" i="3"/>
  <c r="AY337" i="3"/>
  <c r="AY117" i="3"/>
  <c r="AY36" i="3"/>
  <c r="AY528" i="3"/>
  <c r="AY429" i="3"/>
  <c r="AY346" i="3"/>
  <c r="AY65" i="3"/>
  <c r="AY317" i="3"/>
  <c r="AY105" i="3"/>
  <c r="AY430" i="3"/>
  <c r="AY369" i="3"/>
  <c r="AY224" i="3"/>
  <c r="AY335" i="3"/>
  <c r="AY445" i="3"/>
  <c r="AY187" i="3"/>
  <c r="AY386" i="3"/>
  <c r="AY92" i="3"/>
  <c r="AY525" i="3"/>
  <c r="AY35" i="3"/>
  <c r="AY555" i="3"/>
  <c r="AY241" i="3"/>
  <c r="AY398" i="3"/>
  <c r="AY384" i="3"/>
  <c r="AY95" i="3"/>
  <c r="AY352" i="3"/>
  <c r="AY336" i="3"/>
  <c r="AY382" i="3"/>
  <c r="AY30" i="3"/>
  <c r="AY72" i="3"/>
  <c r="AY169" i="3"/>
  <c r="AY286" i="3"/>
  <c r="AY425" i="3"/>
  <c r="AY277" i="3"/>
  <c r="AY83" i="3"/>
  <c r="AY203" i="3"/>
  <c r="D3" i="6"/>
  <c r="E45" i="9" s="1"/>
  <c r="AY493" i="3"/>
  <c r="AY544" i="3"/>
  <c r="AY321" i="3"/>
  <c r="AY197" i="3"/>
  <c r="AY25" i="3"/>
  <c r="AY183" i="3"/>
  <c r="AY374" i="3"/>
  <c r="AY408" i="3"/>
  <c r="AY246" i="3"/>
  <c r="AY52" i="3"/>
  <c r="AY236" i="3"/>
  <c r="AY308" i="3"/>
  <c r="AY143" i="3"/>
  <c r="AY305" i="3"/>
  <c r="AY161" i="3"/>
  <c r="AY50" i="3"/>
  <c r="AY265" i="3"/>
  <c r="AY343" i="3"/>
  <c r="AY402" i="3"/>
  <c r="AY234" i="3"/>
  <c r="AY47" i="3"/>
  <c r="AY159" i="3"/>
  <c r="AY486" i="3"/>
  <c r="AY14" i="3"/>
  <c r="AY156" i="3"/>
  <c r="AY266" i="3"/>
  <c r="AY424" i="3"/>
  <c r="AY120" i="3"/>
  <c r="AY558" i="3"/>
  <c r="AY227" i="3"/>
  <c r="AY38" i="3"/>
  <c r="AY304" i="3"/>
  <c r="AY114" i="3"/>
  <c r="AY414" i="3"/>
  <c r="AY556" i="3"/>
  <c r="AY275" i="3"/>
  <c r="AY274" i="3"/>
  <c r="AY191" i="3"/>
  <c r="AY13" i="3"/>
  <c r="AY449" i="3"/>
  <c r="AY91" i="3"/>
  <c r="AY330" i="3"/>
  <c r="AY543" i="3"/>
  <c r="AY201" i="3"/>
  <c r="AY188" i="3"/>
  <c r="AY420" i="3"/>
  <c r="AY132" i="3"/>
  <c r="AY230" i="3"/>
  <c r="AY435" i="3"/>
  <c r="AY115" i="3"/>
  <c r="BK6" i="3"/>
  <c r="AY238" i="3"/>
  <c r="AY70" i="3"/>
  <c r="AY364" i="3"/>
  <c r="AY139" i="3"/>
  <c r="AY479" i="3"/>
  <c r="AY467" i="3"/>
  <c r="AY264" i="3"/>
  <c r="AY175" i="3"/>
  <c r="AY182" i="3"/>
  <c r="AY504" i="3"/>
  <c r="AY128" i="3"/>
  <c r="AY41" i="3"/>
  <c r="C7" i="6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C16" i="12"/>
  <c r="C22" i="4"/>
  <c r="K38" i="9"/>
  <c r="C14" i="66" s="1"/>
  <c r="F46" i="9"/>
  <c r="D25" i="6"/>
  <c r="D26" i="6"/>
  <c r="D11" i="6"/>
  <c r="D22" i="6"/>
  <c r="E68" i="39"/>
  <c r="D20" i="6"/>
  <c r="D21" i="6"/>
  <c r="D10" i="6"/>
  <c r="D12" i="6"/>
  <c r="D9" i="6"/>
  <c r="D28" i="6"/>
  <c r="D29" i="6"/>
  <c r="E46" i="9"/>
  <c r="D5" i="6"/>
  <c r="D24" i="6"/>
  <c r="F45" i="9"/>
  <c r="D23" i="6"/>
  <c r="D8" i="6"/>
  <c r="D15" i="6"/>
  <c r="D13" i="6"/>
  <c r="D14" i="6"/>
  <c r="U12" i="40"/>
  <c r="AC12" i="39"/>
  <c r="AA12" i="39"/>
  <c r="U12" i="39"/>
  <c r="C14" i="43"/>
  <c r="C17" i="43"/>
  <c r="C26" i="46"/>
  <c r="AA7" i="37"/>
  <c r="R42" i="37" s="1"/>
  <c r="S7" i="37"/>
  <c r="G42" i="35"/>
  <c r="H42" i="35" s="1"/>
  <c r="G43" i="35"/>
  <c r="H43" i="35" s="1"/>
  <c r="I42" i="35"/>
  <c r="J42" i="35" s="1"/>
  <c r="G67" i="40"/>
  <c r="H65" i="40"/>
  <c r="G41" i="36"/>
  <c r="H41" i="36" s="1"/>
  <c r="G40" i="36"/>
  <c r="H40" i="36" s="1"/>
  <c r="W7" i="21"/>
  <c r="AC7" i="21"/>
  <c r="W7" i="37"/>
  <c r="AC7" i="37"/>
  <c r="V42" i="37" s="1"/>
  <c r="I42" i="37" s="1"/>
  <c r="E38" i="35"/>
  <c r="I43" i="35" s="1"/>
  <c r="J43" i="35" s="1"/>
  <c r="R39" i="35"/>
  <c r="E49" i="34"/>
  <c r="I54" i="34" s="1"/>
  <c r="J54" i="34" s="1"/>
  <c r="R50" i="34"/>
  <c r="I53" i="34"/>
  <c r="J53" i="34" s="1"/>
  <c r="E36" i="36"/>
  <c r="R37" i="36"/>
  <c r="N70" i="39"/>
  <c r="N72" i="39" s="1"/>
  <c r="J9" i="39" s="1"/>
  <c r="M72" i="39"/>
  <c r="H9" i="39" s="1"/>
  <c r="AB7" i="37"/>
  <c r="T42" i="37" s="1"/>
  <c r="G42" i="37" s="1"/>
  <c r="U7" i="37"/>
  <c r="I40" i="36"/>
  <c r="J40" i="36" s="1"/>
  <c r="I41" i="36"/>
  <c r="J41" i="36" s="1"/>
  <c r="G53" i="34"/>
  <c r="H53" i="34" s="1"/>
  <c r="G54" i="34"/>
  <c r="H54" i="34" s="1"/>
  <c r="AA7" i="21"/>
  <c r="S7" i="21"/>
  <c r="AB7" i="21"/>
  <c r="U7" i="21"/>
  <c r="F58" i="33"/>
  <c r="C40" i="44"/>
  <c r="C52" i="15"/>
  <c r="C47" i="15" s="1"/>
  <c r="C10" i="15"/>
  <c r="C5" i="15" s="1"/>
  <c r="J28" i="44"/>
  <c r="J31" i="44" s="1"/>
  <c r="J26" i="44"/>
  <c r="J18" i="15"/>
  <c r="J5" i="15"/>
  <c r="F24" i="15"/>
  <c r="C24" i="15" s="1"/>
  <c r="F21" i="43"/>
  <c r="F26" i="12"/>
  <c r="F26" i="44"/>
  <c r="C26" i="44" s="1"/>
  <c r="F41" i="71"/>
  <c r="E7" i="67"/>
  <c r="L52" i="44"/>
  <c r="F41" i="70"/>
  <c r="F7" i="67"/>
  <c r="F41" i="15"/>
  <c r="B2" i="66" l="1"/>
  <c r="F68" i="71"/>
  <c r="F68" i="70"/>
  <c r="J29" i="70"/>
  <c r="J29" i="71"/>
  <c r="F68" i="15"/>
  <c r="C24" i="70"/>
  <c r="C59" i="71"/>
  <c r="C65" i="71"/>
  <c r="C24" i="71"/>
  <c r="C38" i="71"/>
  <c r="C17" i="12"/>
  <c r="C18" i="12" s="1"/>
  <c r="C59" i="70"/>
  <c r="C65" i="70"/>
  <c r="C38" i="70"/>
  <c r="E4" i="67"/>
  <c r="D30" i="6"/>
  <c r="D16" i="6"/>
  <c r="D19" i="6"/>
  <c r="E63" i="40"/>
  <c r="K26" i="6"/>
  <c r="M26" i="6" s="1"/>
  <c r="I26" i="6" s="1"/>
  <c r="E31" i="6"/>
  <c r="K19" i="6"/>
  <c r="K23" i="6"/>
  <c r="K20" i="6"/>
  <c r="K22" i="6"/>
  <c r="K25" i="6"/>
  <c r="M25" i="6" s="1"/>
  <c r="I25" i="6" s="1"/>
  <c r="K24" i="6"/>
  <c r="K21" i="6"/>
  <c r="D6" i="6"/>
  <c r="D27" i="6"/>
  <c r="D31" i="6" s="1"/>
  <c r="D7" i="66"/>
  <c r="D8" i="66"/>
  <c r="A6" i="64"/>
  <c r="N5" i="54"/>
  <c r="B43" i="63" s="1"/>
  <c r="A6" i="51"/>
  <c r="B7" i="63" s="1"/>
  <c r="A20" i="51"/>
  <c r="B15" i="63" s="1"/>
  <c r="A20" i="64"/>
  <c r="C18" i="43"/>
  <c r="C19" i="43" s="1"/>
  <c r="C25" i="43" s="1"/>
  <c r="C24" i="43" s="1"/>
  <c r="E3" i="67"/>
  <c r="B2" i="46"/>
  <c r="AB9" i="39"/>
  <c r="T49" i="39" s="1"/>
  <c r="G49" i="39" s="1"/>
  <c r="U9" i="39"/>
  <c r="W9" i="39"/>
  <c r="AC9" i="39"/>
  <c r="V49" i="39" s="1"/>
  <c r="I49" i="39" s="1"/>
  <c r="G58" i="33"/>
  <c r="G46" i="37"/>
  <c r="H46" i="37" s="1"/>
  <c r="G47" i="37"/>
  <c r="H47" i="37" s="1"/>
  <c r="C37" i="36"/>
  <c r="B3" i="36" s="1"/>
  <c r="B2" i="36" s="1"/>
  <c r="C36" i="36"/>
  <c r="C50" i="34"/>
  <c r="B3" i="34" s="1"/>
  <c r="B2" i="34" s="1"/>
  <c r="C49" i="34"/>
  <c r="C39" i="35"/>
  <c r="B3" i="35" s="1"/>
  <c r="B2" i="35" s="1"/>
  <c r="C38" i="35"/>
  <c r="I46" i="37"/>
  <c r="J46" i="37" s="1"/>
  <c r="F9" i="39"/>
  <c r="H67" i="40"/>
  <c r="I65" i="40"/>
  <c r="E40" i="36"/>
  <c r="F40" i="36" s="1"/>
  <c r="E41" i="36"/>
  <c r="F41" i="36" s="1"/>
  <c r="E54" i="34"/>
  <c r="F54" i="34" s="1"/>
  <c r="E53" i="34"/>
  <c r="F53" i="34" s="1"/>
  <c r="E43" i="35"/>
  <c r="F43" i="35" s="1"/>
  <c r="E42" i="35"/>
  <c r="F42" i="35" s="1"/>
  <c r="E42" i="37"/>
  <c r="R43" i="37"/>
  <c r="Q69" i="44"/>
  <c r="L58" i="44"/>
  <c r="L61" i="44" s="1"/>
  <c r="B3" i="11"/>
  <c r="B5" i="11"/>
  <c r="B4" i="11"/>
  <c r="C27" i="12"/>
  <c r="D26" i="12" s="1"/>
  <c r="C32" i="12" s="1"/>
  <c r="D30" i="12" s="1"/>
  <c r="C23" i="43"/>
  <c r="D21" i="43" s="1"/>
  <c r="J26" i="15"/>
  <c r="J29" i="15" s="1"/>
  <c r="J24" i="15"/>
  <c r="Q49" i="44"/>
  <c r="Q55" i="44" s="1"/>
  <c r="Q67" i="44"/>
  <c r="Q58" i="44"/>
  <c r="C59" i="15"/>
  <c r="C65" i="15"/>
  <c r="C38" i="15"/>
  <c r="B7" i="67"/>
  <c r="M24" i="6" l="1"/>
  <c r="I24" i="6" s="1"/>
  <c r="S11" i="1"/>
  <c r="F37" i="6"/>
  <c r="F39" i="6"/>
  <c r="F38" i="6"/>
  <c r="F35" i="6"/>
  <c r="F36" i="6"/>
  <c r="C22" i="43"/>
  <c r="C21" i="43" s="1"/>
  <c r="C28" i="43" s="1"/>
  <c r="C30" i="43" s="1"/>
  <c r="C32" i="43" s="1"/>
  <c r="B2" i="43" s="1"/>
  <c r="B5" i="43" s="1"/>
  <c r="C33" i="70"/>
  <c r="J59" i="70"/>
  <c r="J60" i="70" s="1"/>
  <c r="S25" i="6"/>
  <c r="H25" i="6"/>
  <c r="R25" i="6" s="1"/>
  <c r="S24" i="6"/>
  <c r="H24" i="6"/>
  <c r="R24" i="6" s="1"/>
  <c r="R11" i="1" s="1"/>
  <c r="M22" i="6"/>
  <c r="I22" i="6" s="1"/>
  <c r="S9" i="1"/>
  <c r="M23" i="6"/>
  <c r="I23" i="6" s="1"/>
  <c r="S10" i="1"/>
  <c r="M21" i="6"/>
  <c r="I21" i="6" s="1"/>
  <c r="S8" i="1"/>
  <c r="M20" i="6"/>
  <c r="I20" i="6" s="1"/>
  <c r="S7" i="1"/>
  <c r="M19" i="6"/>
  <c r="S6" i="1"/>
  <c r="K27" i="6"/>
  <c r="S26" i="6"/>
  <c r="H26" i="6"/>
  <c r="R26" i="6" s="1"/>
  <c r="I6" i="6"/>
  <c r="I5" i="6"/>
  <c r="C23" i="12"/>
  <c r="B2" i="67"/>
  <c r="D4" i="46"/>
  <c r="B4" i="46"/>
  <c r="B3" i="46"/>
  <c r="C43" i="37"/>
  <c r="B3" i="37" s="1"/>
  <c r="B2" i="37" s="1"/>
  <c r="C42" i="37"/>
  <c r="I67" i="40"/>
  <c r="J65" i="40"/>
  <c r="E47" i="37"/>
  <c r="F47" i="37" s="1"/>
  <c r="E46" i="37"/>
  <c r="F46" i="37" s="1"/>
  <c r="I47" i="37"/>
  <c r="J47" i="37" s="1"/>
  <c r="I53" i="39"/>
  <c r="J53" i="39" s="1"/>
  <c r="AA9" i="39"/>
  <c r="R49" i="39" s="1"/>
  <c r="S9" i="39"/>
  <c r="H58" i="33"/>
  <c r="G54" i="39"/>
  <c r="H54" i="39" s="1"/>
  <c r="G53" i="39"/>
  <c r="H53" i="39" s="1"/>
  <c r="Q68" i="44"/>
  <c r="Q77" i="44" s="1"/>
  <c r="Q59" i="44"/>
  <c r="Q64" i="44" s="1"/>
  <c r="C17" i="70"/>
  <c r="C17" i="15"/>
  <c r="C17" i="71"/>
  <c r="C33" i="71" l="1"/>
  <c r="J59" i="71"/>
  <c r="J60" i="71" s="1"/>
  <c r="Q49" i="71" s="1"/>
  <c r="C60" i="71"/>
  <c r="Q49" i="70"/>
  <c r="C60" i="70"/>
  <c r="S16" i="1"/>
  <c r="T6" i="1" s="1"/>
  <c r="M27" i="6"/>
  <c r="I19" i="6"/>
  <c r="S20" i="6"/>
  <c r="H20" i="6"/>
  <c r="R20" i="6" s="1"/>
  <c r="R7" i="1" s="1"/>
  <c r="S21" i="6"/>
  <c r="H21" i="6"/>
  <c r="R21" i="6" s="1"/>
  <c r="R8" i="1" s="1"/>
  <c r="S23" i="6"/>
  <c r="H23" i="6"/>
  <c r="R23" i="6" s="1"/>
  <c r="R10" i="1" s="1"/>
  <c r="S22" i="6"/>
  <c r="H22" i="6"/>
  <c r="R22" i="6" s="1"/>
  <c r="R9" i="1" s="1"/>
  <c r="B4" i="43"/>
  <c r="B3" i="43"/>
  <c r="B3" i="67"/>
  <c r="B4" i="67"/>
  <c r="I58" i="33"/>
  <c r="R50" i="39"/>
  <c r="E49" i="39"/>
  <c r="K65" i="40"/>
  <c r="J67" i="40"/>
  <c r="M21" i="70"/>
  <c r="F35" i="15"/>
  <c r="M21" i="15"/>
  <c r="F35" i="70"/>
  <c r="M21" i="71"/>
  <c r="F35" i="71"/>
  <c r="H11" i="21" l="1"/>
  <c r="F11" i="21"/>
  <c r="J11" i="21"/>
  <c r="H11" i="69"/>
  <c r="J11" i="69"/>
  <c r="F11" i="69"/>
  <c r="C34" i="71"/>
  <c r="C31" i="71" s="1"/>
  <c r="F62" i="71"/>
  <c r="C61" i="71" s="1"/>
  <c r="J20" i="71"/>
  <c r="F62" i="70"/>
  <c r="C61" i="70" s="1"/>
  <c r="C58" i="70" s="1"/>
  <c r="C34" i="70"/>
  <c r="C31" i="70" s="1"/>
  <c r="J20" i="70"/>
  <c r="J20" i="15"/>
  <c r="C34" i="15"/>
  <c r="F62" i="15"/>
  <c r="C61" i="15" s="1"/>
  <c r="C58" i="71"/>
  <c r="T10" i="1"/>
  <c r="T7" i="1"/>
  <c r="I27" i="6"/>
  <c r="S19" i="6"/>
  <c r="S27" i="6" s="1"/>
  <c r="H19" i="6"/>
  <c r="T9" i="1"/>
  <c r="T8" i="1"/>
  <c r="T13" i="1"/>
  <c r="T12" i="1"/>
  <c r="T11" i="1"/>
  <c r="E53" i="39"/>
  <c r="F53" i="39" s="1"/>
  <c r="E54" i="39"/>
  <c r="F54" i="39" s="1"/>
  <c r="I54" i="39"/>
  <c r="J54" i="39" s="1"/>
  <c r="K67" i="40"/>
  <c r="L65" i="40"/>
  <c r="C50" i="39"/>
  <c r="C49" i="39"/>
  <c r="J58" i="33"/>
  <c r="K58" i="33" s="1"/>
  <c r="L58" i="33" s="1"/>
  <c r="M58" i="33" s="1"/>
  <c r="N58" i="33" s="1"/>
  <c r="O58" i="33" s="1"/>
  <c r="C14" i="71"/>
  <c r="C14" i="15"/>
  <c r="C14" i="70"/>
  <c r="C16" i="44"/>
  <c r="AA11" i="69" l="1"/>
  <c r="R48" i="69" s="1"/>
  <c r="S11" i="69"/>
  <c r="AB11" i="69"/>
  <c r="T48" i="69" s="1"/>
  <c r="G48" i="69" s="1"/>
  <c r="U11" i="69"/>
  <c r="AA11" i="21"/>
  <c r="R48" i="21" s="1"/>
  <c r="S11" i="21"/>
  <c r="AC11" i="69"/>
  <c r="V48" i="69" s="1"/>
  <c r="I48" i="69" s="1"/>
  <c r="W11" i="69"/>
  <c r="AC11" i="21"/>
  <c r="V48" i="21" s="1"/>
  <c r="I48" i="21" s="1"/>
  <c r="I52" i="21" s="1"/>
  <c r="J52" i="21" s="1"/>
  <c r="W11" i="21"/>
  <c r="AB11" i="21"/>
  <c r="T48" i="21" s="1"/>
  <c r="G48" i="21" s="1"/>
  <c r="U11" i="21"/>
  <c r="C15" i="70"/>
  <c r="C18" i="70"/>
  <c r="C18" i="71"/>
  <c r="C15" i="71"/>
  <c r="L57" i="71"/>
  <c r="L60" i="71" s="1"/>
  <c r="L46" i="71" s="1"/>
  <c r="L57" i="70"/>
  <c r="L60" i="70" s="1"/>
  <c r="L46" i="70" s="1"/>
  <c r="T16" i="1"/>
  <c r="C15" i="15"/>
  <c r="C18" i="15"/>
  <c r="C17" i="44"/>
  <c r="C20" i="44"/>
  <c r="H27" i="6"/>
  <c r="R19" i="6"/>
  <c r="J7" i="33"/>
  <c r="F7" i="33"/>
  <c r="B61" i="39"/>
  <c r="F61" i="39" s="1"/>
  <c r="B59" i="39"/>
  <c r="F59" i="39" s="1"/>
  <c r="B67" i="39"/>
  <c r="F67" i="39" s="1"/>
  <c r="B65" i="39"/>
  <c r="F65" i="39" s="1"/>
  <c r="B60" i="39"/>
  <c r="F60" i="39" s="1"/>
  <c r="B63" i="39"/>
  <c r="F63" i="39" s="1"/>
  <c r="B62" i="39"/>
  <c r="F62" i="39" s="1"/>
  <c r="B64" i="39"/>
  <c r="F64" i="39" s="1"/>
  <c r="B66" i="39"/>
  <c r="F66" i="39" s="1"/>
  <c r="B58" i="39"/>
  <c r="F58" i="39" s="1"/>
  <c r="H7" i="33"/>
  <c r="M65" i="40"/>
  <c r="L67" i="40"/>
  <c r="G52" i="21" l="1"/>
  <c r="H52" i="21" s="1"/>
  <c r="G53" i="21"/>
  <c r="H53" i="21" s="1"/>
  <c r="I52" i="69"/>
  <c r="J52" i="69" s="1"/>
  <c r="E48" i="21"/>
  <c r="R49" i="21"/>
  <c r="G53" i="69"/>
  <c r="H53" i="69" s="1"/>
  <c r="G52" i="69"/>
  <c r="H52" i="69" s="1"/>
  <c r="E48" i="69"/>
  <c r="I53" i="69" s="1"/>
  <c r="J53" i="69" s="1"/>
  <c r="R49" i="69"/>
  <c r="C19" i="70"/>
  <c r="C20" i="70" s="1"/>
  <c r="C26" i="70" s="1"/>
  <c r="C19" i="71"/>
  <c r="C20" i="71" s="1"/>
  <c r="C26" i="71" s="1"/>
  <c r="F68" i="39"/>
  <c r="B2" i="39" s="1"/>
  <c r="B3" i="39" s="1"/>
  <c r="Q67" i="71"/>
  <c r="Q58" i="71"/>
  <c r="Q67" i="70"/>
  <c r="Q58" i="70"/>
  <c r="C19" i="15"/>
  <c r="C20" i="15" s="1"/>
  <c r="C26" i="15" s="1"/>
  <c r="C21" i="44"/>
  <c r="C22" i="44" s="1"/>
  <c r="C28" i="44" s="1"/>
  <c r="R6" i="1"/>
  <c r="R16" i="1" s="1"/>
  <c r="R27" i="6"/>
  <c r="AB7" i="33"/>
  <c r="T48" i="33" s="1"/>
  <c r="G48" i="33" s="1"/>
  <c r="U7" i="33"/>
  <c r="N65" i="40"/>
  <c r="N67" i="40" s="1"/>
  <c r="M67" i="40"/>
  <c r="F9" i="40" s="1"/>
  <c r="AC7" i="33"/>
  <c r="V48" i="33" s="1"/>
  <c r="I48" i="33" s="1"/>
  <c r="W7" i="33"/>
  <c r="H9" i="40"/>
  <c r="AA7" i="33"/>
  <c r="R48" i="33" s="1"/>
  <c r="S7" i="33"/>
  <c r="C19" i="9"/>
  <c r="C20" i="9"/>
  <c r="C49" i="69" l="1"/>
  <c r="B3" i="69" s="1"/>
  <c r="C48" i="69"/>
  <c r="C48" i="21"/>
  <c r="C49" i="21"/>
  <c r="B3" i="21" s="1"/>
  <c r="E53" i="69"/>
  <c r="F53" i="69" s="1"/>
  <c r="E52" i="69"/>
  <c r="F52" i="69" s="1"/>
  <c r="I53" i="21"/>
  <c r="J53" i="21" s="1"/>
  <c r="E53" i="21"/>
  <c r="F53" i="21" s="1"/>
  <c r="E52" i="21"/>
  <c r="F52" i="21" s="1"/>
  <c r="B4" i="39"/>
  <c r="L43" i="9"/>
  <c r="B5" i="39"/>
  <c r="C23" i="70"/>
  <c r="C29" i="70" s="1"/>
  <c r="C23" i="71"/>
  <c r="C29" i="71" s="1"/>
  <c r="C23" i="15"/>
  <c r="C29" i="15" s="1"/>
  <c r="C25" i="44"/>
  <c r="C31" i="44" s="1"/>
  <c r="AA9" i="40"/>
  <c r="R44" i="40" s="1"/>
  <c r="S9" i="40"/>
  <c r="R49" i="33"/>
  <c r="E48" i="33"/>
  <c r="J9" i="40"/>
  <c r="G53" i="33"/>
  <c r="H53" i="33" s="1"/>
  <c r="G52" i="33"/>
  <c r="H52" i="33" s="1"/>
  <c r="AB9" i="40"/>
  <c r="T44" i="40" s="1"/>
  <c r="G44" i="40" s="1"/>
  <c r="U9" i="40"/>
  <c r="I52" i="33"/>
  <c r="J52" i="33" s="1"/>
  <c r="I53" i="33"/>
  <c r="J53" i="33" s="1"/>
  <c r="C21" i="9"/>
  <c r="B2" i="21" l="1"/>
  <c r="C10" i="12" s="1"/>
  <c r="C8" i="12"/>
  <c r="D8" i="12"/>
  <c r="B2" i="69"/>
  <c r="D10" i="12" s="1"/>
  <c r="C56" i="71"/>
  <c r="C63" i="71" s="1"/>
  <c r="Q50" i="71"/>
  <c r="J14" i="71"/>
  <c r="J19" i="71"/>
  <c r="J17" i="71" s="1"/>
  <c r="C13" i="71"/>
  <c r="C36" i="71"/>
  <c r="J14" i="70"/>
  <c r="C56" i="70"/>
  <c r="C63" i="70" s="1"/>
  <c r="C36" i="70"/>
  <c r="J19" i="70"/>
  <c r="J17" i="70" s="1"/>
  <c r="C13" i="70"/>
  <c r="Q50" i="70"/>
  <c r="J19" i="15"/>
  <c r="J17" i="15" s="1"/>
  <c r="Q50" i="15"/>
  <c r="C33" i="15"/>
  <c r="C31" i="15" s="1"/>
  <c r="C56" i="15"/>
  <c r="C36" i="15"/>
  <c r="J14" i="15"/>
  <c r="C13" i="15"/>
  <c r="J59" i="15"/>
  <c r="J60" i="15" s="1"/>
  <c r="C38" i="44"/>
  <c r="C35" i="44"/>
  <c r="C33" i="44" s="1"/>
  <c r="Q51" i="44"/>
  <c r="J16" i="44"/>
  <c r="J21" i="44"/>
  <c r="J19" i="44" s="1"/>
  <c r="C15" i="44"/>
  <c r="AC9" i="40"/>
  <c r="V44" i="40" s="1"/>
  <c r="I44" i="40" s="1"/>
  <c r="G49" i="40" s="1"/>
  <c r="H49" i="40" s="1"/>
  <c r="W9" i="40"/>
  <c r="C48" i="33"/>
  <c r="C49" i="33"/>
  <c r="B3" i="33" s="1"/>
  <c r="B2" i="33" s="1"/>
  <c r="R45" i="40"/>
  <c r="E44" i="40"/>
  <c r="G48" i="40"/>
  <c r="H48" i="40" s="1"/>
  <c r="E53" i="33"/>
  <c r="F53" i="33" s="1"/>
  <c r="E52" i="33"/>
  <c r="F52" i="33" s="1"/>
  <c r="Q71" i="70" l="1"/>
  <c r="J35" i="70"/>
  <c r="C37" i="70"/>
  <c r="C30" i="70" s="1"/>
  <c r="C39" i="70" s="1"/>
  <c r="C55" i="70"/>
  <c r="C64" i="70" s="1"/>
  <c r="C57" i="70" s="1"/>
  <c r="C66" i="70" s="1"/>
  <c r="C67" i="70" s="1"/>
  <c r="J13" i="70"/>
  <c r="J23" i="70" s="1"/>
  <c r="J22" i="70"/>
  <c r="Q71" i="71"/>
  <c r="C55" i="71"/>
  <c r="C64" i="71" s="1"/>
  <c r="C57" i="71" s="1"/>
  <c r="C66" i="71" s="1"/>
  <c r="C67" i="71" s="1"/>
  <c r="C70" i="71" s="1"/>
  <c r="C37" i="71"/>
  <c r="C30" i="71" s="1"/>
  <c r="C39" i="71" s="1"/>
  <c r="J35" i="71"/>
  <c r="J13" i="71"/>
  <c r="J23" i="71" s="1"/>
  <c r="J22" i="71"/>
  <c r="C37" i="15"/>
  <c r="C30" i="15" s="1"/>
  <c r="C39" i="15" s="1"/>
  <c r="C55" i="15"/>
  <c r="C64" i="15" s="1"/>
  <c r="J35" i="15"/>
  <c r="Q71" i="15"/>
  <c r="C43" i="44"/>
  <c r="Q72" i="44"/>
  <c r="C39" i="44"/>
  <c r="C32" i="44" s="1"/>
  <c r="C42" i="44" s="1"/>
  <c r="J15" i="44"/>
  <c r="J25" i="44" s="1"/>
  <c r="J24" i="44"/>
  <c r="Q49" i="15"/>
  <c r="J13" i="15"/>
  <c r="J23" i="15" s="1"/>
  <c r="J22" i="15"/>
  <c r="C60" i="15"/>
  <c r="C58" i="15" s="1"/>
  <c r="C63" i="15"/>
  <c r="C44" i="40"/>
  <c r="C45" i="40"/>
  <c r="I49" i="40"/>
  <c r="J49" i="40" s="1"/>
  <c r="I48" i="40"/>
  <c r="J48" i="40" s="1"/>
  <c r="E48" i="40"/>
  <c r="F48" i="40" s="1"/>
  <c r="E49" i="40"/>
  <c r="F49" i="40" s="1"/>
  <c r="L51" i="71"/>
  <c r="L51" i="15"/>
  <c r="L51" i="70"/>
  <c r="J39" i="71" l="1"/>
  <c r="J40" i="71" s="1"/>
  <c r="J16" i="70"/>
  <c r="J25" i="70" s="1"/>
  <c r="Q68" i="71"/>
  <c r="Q68" i="70"/>
  <c r="C70" i="70"/>
  <c r="J16" i="71"/>
  <c r="J25" i="71" s="1"/>
  <c r="Q70" i="71"/>
  <c r="Q69" i="71" s="1"/>
  <c r="C40" i="71"/>
  <c r="J39" i="70"/>
  <c r="J40" i="70" s="1"/>
  <c r="C40" i="70"/>
  <c r="C46" i="70" s="1"/>
  <c r="Q70" i="70"/>
  <c r="Q69" i="70" s="1"/>
  <c r="J39" i="15"/>
  <c r="J40" i="15" s="1"/>
  <c r="C57" i="15"/>
  <c r="C66" i="15" s="1"/>
  <c r="C67" i="15" s="1"/>
  <c r="C70" i="15" s="1"/>
  <c r="J16" i="15"/>
  <c r="J25" i="15" s="1"/>
  <c r="J18" i="44"/>
  <c r="J27" i="44" s="1"/>
  <c r="Q68" i="15"/>
  <c r="L57" i="15"/>
  <c r="L60" i="15" s="1"/>
  <c r="L46" i="15" s="1"/>
  <c r="Q71" i="44"/>
  <c r="Q70" i="44" s="1"/>
  <c r="C44" i="44"/>
  <c r="C45" i="44" s="1"/>
  <c r="B2" i="44" s="1"/>
  <c r="C40" i="15"/>
  <c r="Q70" i="15"/>
  <c r="Q69" i="15"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Q57" i="70" l="1"/>
  <c r="Q63" i="70" s="1"/>
  <c r="C43" i="70"/>
  <c r="Q66" i="70"/>
  <c r="Q76" i="70" s="1"/>
  <c r="Q48" i="70"/>
  <c r="Q54" i="70" s="1"/>
  <c r="B2" i="70"/>
  <c r="J42" i="70"/>
  <c r="J43" i="70" s="1"/>
  <c r="C46" i="71"/>
  <c r="Q48" i="71"/>
  <c r="Q54" i="71" s="1"/>
  <c r="Q66" i="71"/>
  <c r="Q76" i="71" s="1"/>
  <c r="C43" i="71"/>
  <c r="B2" i="71"/>
  <c r="Q57" i="71"/>
  <c r="Q63" i="71" s="1"/>
  <c r="J42" i="71"/>
  <c r="J43" i="71" s="1"/>
  <c r="Q48" i="15"/>
  <c r="Q54" i="15" s="1"/>
  <c r="Q66" i="15"/>
  <c r="Q57" i="15"/>
  <c r="C43" i="15"/>
  <c r="B2" i="15"/>
  <c r="J42" i="15"/>
  <c r="J43" i="15" s="1"/>
  <c r="C46" i="15"/>
  <c r="B5" i="44"/>
  <c r="B4" i="44"/>
  <c r="B3" i="44"/>
  <c r="Q58" i="15"/>
  <c r="Q63" i="15" s="1"/>
  <c r="Q67" i="15"/>
  <c r="Q76" i="15" s="1"/>
  <c r="B5" i="40"/>
  <c r="B4" i="40"/>
  <c r="B3" i="40"/>
  <c r="F10" i="12" l="1"/>
  <c r="B3" i="71"/>
  <c r="F8" i="12" s="1"/>
  <c r="B3" i="70"/>
  <c r="G8" i="12" s="1"/>
  <c r="G10" i="12"/>
  <c r="B3" i="15"/>
  <c r="E8" i="12" s="1"/>
  <c r="E10" i="12"/>
  <c r="C6" i="12" l="1"/>
  <c r="C24" i="12" s="1"/>
  <c r="C29" i="12" l="1"/>
  <c r="C28" i="12"/>
  <c r="C26" i="12" s="1"/>
  <c r="C35" i="12"/>
  <c r="C33" i="12" s="1"/>
  <c r="C31" i="12" l="1"/>
  <c r="C30" i="12" s="1"/>
  <c r="C36" i="12" s="1"/>
  <c r="B2" i="12" s="1"/>
  <c r="D19" i="9"/>
  <c r="D22" i="9" l="1"/>
  <c r="G19" i="9"/>
  <c r="K19" i="9" s="1"/>
  <c r="L44" i="9"/>
  <c r="B5" i="12"/>
  <c r="B3" i="12"/>
  <c r="B4" i="12"/>
  <c r="D20" i="9"/>
  <c r="D21" i="9"/>
  <c r="G21" i="9" l="1"/>
  <c r="G20" i="9"/>
  <c r="N43" i="9"/>
  <c r="C32" i="9"/>
  <c r="G22" i="9"/>
  <c r="O38" i="9" l="1"/>
  <c r="C42" i="9"/>
  <c r="C44" i="9" s="1"/>
  <c r="C34" i="9"/>
  <c r="C35" i="9"/>
  <c r="F42" i="9" s="1"/>
  <c r="C33" i="9"/>
  <c r="O43" i="9"/>
  <c r="G14" i="66" l="1"/>
  <c r="O39" i="9"/>
  <c r="N69" i="9"/>
  <c r="D44" i="9"/>
  <c r="E44" i="9"/>
  <c r="F44" i="9"/>
  <c r="N38" i="9"/>
  <c r="K28" i="9" s="1"/>
  <c r="D42" i="9"/>
  <c r="Q5" i="54" s="1"/>
  <c r="B47" i="63" s="1"/>
  <c r="M38" i="9"/>
  <c r="K27" i="9" s="1"/>
  <c r="E42" i="9"/>
  <c r="P5" i="54" s="1"/>
  <c r="B46" i="63" s="1"/>
  <c r="K26" i="9"/>
  <c r="K25" i="9"/>
  <c r="N68" i="9"/>
  <c r="D14" i="66"/>
  <c r="R5" i="54"/>
  <c r="B48" i="63" s="1"/>
  <c r="D63" i="9"/>
  <c r="K29" i="9" l="1"/>
  <c r="K30" i="9" s="1"/>
  <c r="R6" i="54"/>
  <c r="B50" i="63" s="1"/>
  <c r="M86" i="9"/>
  <c r="N86" i="9" s="1"/>
  <c r="M84" i="9"/>
  <c r="N84" i="9" s="1"/>
  <c r="M88" i="9"/>
  <c r="N88" i="9" s="1"/>
  <c r="M87" i="9"/>
  <c r="N87" i="9" s="1"/>
  <c r="M85" i="9"/>
  <c r="N85" i="9" s="1"/>
  <c r="M83" i="9"/>
  <c r="N83" i="9" s="1"/>
  <c r="D71" i="9"/>
  <c r="D66" i="9" s="1"/>
  <c r="N72" i="9" s="1"/>
  <c r="D77" i="9"/>
  <c r="N75" i="9" s="1"/>
  <c r="C90" i="9"/>
  <c r="C103" i="9"/>
  <c r="C111" i="9"/>
  <c r="C104" i="9" s="1"/>
  <c r="D70" i="9"/>
  <c r="C96" i="9"/>
  <c r="C91" i="9" s="1"/>
  <c r="C82" i="9"/>
  <c r="C81" i="9" s="1"/>
  <c r="C85" i="9" s="1"/>
  <c r="C86" i="9" s="1"/>
  <c r="D72" i="9" s="1"/>
  <c r="F14" i="66"/>
  <c r="E14" i="66"/>
  <c r="N89" i="9" l="1"/>
  <c r="O89" i="9" s="1"/>
  <c r="C113" i="9"/>
  <c r="C97" i="9"/>
  <c r="C114" i="9" l="1"/>
  <c r="E114" i="9" s="1"/>
  <c r="E115" i="9" s="1"/>
  <c r="C98" i="9"/>
  <c r="E98" i="9" s="1"/>
  <c r="E99" i="9" s="1"/>
  <c r="C99" i="9" l="1"/>
  <c r="C115" i="9"/>
  <c r="D76" i="9" s="1"/>
  <c r="D74" i="9" s="1"/>
  <c r="N74" i="9" s="1"/>
  <c r="O77" i="9" s="1"/>
  <c r="O79" i="9" s="1"/>
  <c r="O78" i="9" l="1"/>
  <c r="Q77" i="9"/>
  <c r="O81" i="9"/>
  <c r="O80" i="9"/>
  <c r="D15" i="66" l="1"/>
  <c r="G15" i="66" s="1"/>
  <c r="B6" i="66" s="1"/>
  <c r="D6" i="66" l="1"/>
  <c r="C6" i="66"/>
  <c r="F15" i="66"/>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<sst xmlns="http://schemas.openxmlformats.org/spreadsheetml/2006/main" count="8655" uniqueCount="3281">
  <si>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</si>
  <si>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</si>
  <si>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</si>
  <si>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</si>
  <si>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</si>
  <si>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</si>
  <si>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</si>
  <si>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</si>
  <si>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</si>
  <si>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</si>
  <si>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</si>
  <si>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</si>
  <si>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</si>
  <si>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</si>
  <si>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</si>
  <si>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</si>
  <si>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</si>
  <si>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</si>
  <si>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</si>
  <si>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</si>
  <si>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</si>
  <si>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</si>
  <si>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</si>
  <si>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</si>
  <si>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</si>
  <si>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</si>
  <si>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</si>
  <si>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</si>
  <si>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</si>
  <si>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</si>
  <si>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</si>
  <si>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</si>
  <si>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</si>
  <si>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</si>
  <si>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</si>
  <si>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</si>
  <si>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</si>
  <si>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</si>
  <si>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</si>
  <si>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</si>
  <si>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</si>
  <si>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</si>
  <si>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</si>
  <si>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</si>
  <si>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</si>
  <si>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</si>
  <si>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</si>
  <si>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</si>
  <si>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</si>
  <si>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</si>
  <si>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</si>
  <si>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</si>
  <si>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</si>
  <si>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</si>
  <si>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</si>
  <si>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</si>
  <si>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</si>
  <si>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</si>
  <si>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</si>
  <si>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</si>
  <si>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</si>
  <si>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</si>
  <si>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</si>
  <si>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</si>
  <si>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</si>
  <si>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</si>
  <si>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</si>
  <si>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</si>
  <si>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</si>
  <si>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</si>
  <si>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</si>
  <si>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</si>
  <si>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</si>
  <si>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</si>
  <si>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</si>
  <si>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</si>
  <si>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</si>
  <si>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</si>
  <si>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</si>
  <si>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</si>
  <si>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</si>
  <si>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</si>
  <si>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</si>
  <si>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</si>
  <si>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</si>
  <si>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</si>
  <si>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</si>
  <si>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</si>
  <si>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</si>
  <si>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</si>
  <si>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</si>
  <si>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</si>
  <si>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</si>
  <si>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</si>
  <si>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</si>
  <si>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</si>
  <si>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</si>
  <si>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</si>
  <si>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</si>
  <si>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</si>
  <si>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</si>
  <si>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</si>
  <si>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</si>
  <si>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</si>
  <si>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</si>
  <si>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</si>
  <si>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</si>
  <si>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</si>
  <si>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</si>
  <si>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</si>
  <si>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</si>
  <si>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</si>
  <si>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</si>
  <si>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</si>
  <si>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</si>
  <si>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</si>
  <si>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</si>
  <si>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</si>
  <si>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</si>
  <si>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</si>
  <si>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</si>
  <si>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</si>
  <si>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</si>
  <si>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</si>
  <si>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</si>
  <si>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</si>
  <si>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</si>
  <si>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</si>
  <si>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</si>
  <si>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</si>
  <si>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</si>
  <si>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</si>
  <si>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</si>
  <si>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</si>
  <si>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</si>
  <si>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</si>
  <si>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</si>
  <si>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</si>
  <si>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</si>
  <si>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</si>
  <si>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</si>
  <si>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</si>
  <si>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</si>
  <si>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</si>
  <si>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</si>
  <si>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</si>
  <si>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</si>
  <si>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</si>
  <si>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</si>
  <si>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</si>
  <si>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</si>
  <si>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</si>
  <si>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</si>
  <si>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</si>
  <si>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</si>
  <si>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</si>
  <si>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</si>
  <si>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</si>
  <si>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</si>
  <si>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</si>
  <si>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</si>
  <si>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</si>
  <si>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</si>
  <si>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</si>
  <si>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</si>
  <si>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</si>
  <si>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</si>
  <si>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</si>
  <si>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</si>
  <si>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</si>
  <si>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</si>
  <si>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</si>
  <si>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</si>
  <si>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</si>
  <si>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</si>
  <si>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</si>
  <si>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</si>
  <si>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</si>
  <si>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</si>
  <si>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</si>
  <si>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</si>
  <si>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</si>
  <si>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</si>
  <si>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</si>
  <si>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</si>
  <si>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</si>
  <si>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</si>
  <si>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</si>
  <si>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</si>
  <si>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</si>
  <si>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</si>
  <si>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</si>
  <si>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</si>
  <si>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</si>
  <si>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</si>
  <si>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</si>
  <si>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</si>
  <si>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</si>
  <si>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</si>
  <si>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</si>
  <si>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</si>
  <si>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</si>
  <si>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</si>
  <si>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</si>
  <si>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</si>
  <si>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</si>
  <si>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</si>
  <si>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</si>
  <si>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</si>
  <si>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</si>
  <si>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</si>
  <si>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</si>
  <si>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</si>
  <si>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</si>
  <si>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</si>
  <si>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</si>
  <si>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</si>
  <si>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</si>
  <si>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</si>
  <si>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</si>
  <si>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</si>
  <si>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</si>
  <si>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</si>
  <si>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</si>
  <si>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</si>
  <si>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</si>
  <si>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</si>
  <si>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</si>
  <si>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</si>
  <si>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</si>
  <si>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</si>
  <si>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</si>
  <si>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</si>
  <si>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</si>
  <si>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</si>
  <si>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</si>
  <si>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</si>
  <si>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</si>
  <si>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</si>
  <si>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</si>
  <si>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</si>
  <si>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</si>
  <si>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</si>
  <si>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</si>
  <si>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</si>
  <si>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</si>
  <si>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</si>
  <si>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</si>
  <si>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</si>
  <si>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</si>
  <si>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</si>
  <si>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</si>
  <si>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</si>
  <si>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</si>
  <si>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</si>
  <si>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</si>
  <si>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</si>
  <si>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</si>
  <si>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</si>
  <si>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</si>
  <si>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</si>
  <si>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</si>
  <si>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</si>
  <si>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</si>
  <si>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</si>
  <si>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</si>
  <si>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</si>
  <si>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</si>
  <si>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</si>
  <si>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</si>
  <si>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</si>
  <si>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</si>
  <si>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</si>
  <si>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</si>
  <si>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</si>
  <si>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</si>
  <si>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</si>
  <si>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</si>
  <si>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</si>
  <si>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</si>
  <si>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</si>
  <si>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</si>
  <si>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</si>
  <si>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</si>
  <si>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</si>
  <si>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</si>
  <si>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</si>
  <si>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</si>
  <si>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</si>
  <si>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</si>
  <si>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</si>
  <si>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</si>
  <si>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</si>
  <si>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</si>
  <si>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</si>
  <si>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</si>
  <si>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</si>
  <si>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</si>
  <si>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</si>
  <si>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</si>
  <si>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</si>
  <si>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</si>
  <si>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</si>
  <si>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</si>
  <si>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</si>
  <si>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</si>
  <si>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</si>
  <si>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</si>
  <si>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</si>
  <si>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</si>
  <si>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</si>
  <si>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</si>
  <si>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</si>
  <si>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</si>
  <si>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</si>
  <si>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</si>
  <si>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</si>
  <si>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</si>
  <si>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</si>
  <si>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</si>
  <si>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</si>
  <si>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</si>
  <si>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</si>
  <si>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</si>
  <si>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</si>
  <si>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</si>
  <si>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</si>
  <si>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</si>
  <si>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</si>
  <si>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</si>
  <si>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</si>
  <si>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</si>
  <si>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</si>
  <si>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</si>
  <si>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</si>
  <si>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</si>
  <si>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</si>
  <si>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</si>
  <si>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</si>
  <si>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</si>
  <si>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</si>
  <si>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</si>
  <si>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</si>
  <si>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</si>
  <si>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</si>
  <si>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</si>
  <si>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</si>
  <si>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</si>
  <si>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</si>
  <si>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</si>
  <si>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</si>
  <si>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</si>
  <si>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</si>
  <si>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</si>
  <si>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</si>
  <si>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</si>
  <si>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</si>
  <si>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</si>
  <si>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</si>
  <si>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</si>
  <si>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</si>
  <si>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</si>
  <si>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</si>
  <si>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</si>
  <si>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</si>
  <si>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</si>
  <si>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</si>
  <si>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</si>
  <si>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</si>
  <si>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</si>
  <si>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</si>
  <si>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</si>
  <si>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</si>
  <si>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</si>
  <si>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</si>
  <si>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</si>
  <si>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</si>
  <si>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</si>
  <si>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</si>
  <si>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</si>
  <si>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</si>
  <si>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</si>
  <si>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</si>
  <si>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</si>
  <si>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</si>
  <si>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</si>
  <si>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</si>
  <si>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</si>
  <si>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</si>
  <si>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</si>
  <si>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</si>
  <si>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</si>
  <si>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</si>
  <si>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</si>
  <si>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</si>
  <si>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</si>
  <si>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</si>
  <si>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</si>
  <si>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</si>
  <si>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</si>
  <si>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</si>
  <si>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</si>
  <si>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</si>
  <si>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</si>
  <si>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</si>
  <si>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</si>
  <si>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</si>
  <si>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</si>
  <si>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</si>
  <si>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</si>
  <si>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</si>
  <si>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</si>
  <si>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</si>
  <si>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</si>
  <si>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</si>
  <si>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</si>
  <si>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</si>
  <si>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</si>
  <si>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</si>
  <si>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</si>
  <si>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</si>
  <si>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</si>
  <si>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</si>
  <si>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</si>
  <si>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</si>
  <si>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</si>
  <si>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</si>
  <si>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</si>
  <si>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</si>
  <si>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</si>
  <si>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</si>
  <si>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</si>
  <si>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</si>
  <si>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</si>
  <si>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</si>
  <si>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</si>
  <si>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</si>
  <si>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</si>
  <si>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</si>
  <si>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</si>
  <si>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</si>
  <si>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</si>
  <si>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</si>
  <si>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</si>
  <si>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</si>
  <si>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</si>
  <si>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</si>
  <si>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</si>
  <si>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</si>
  <si>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</si>
  <si>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</si>
  <si>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</si>
  <si>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</si>
  <si>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</si>
  <si>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</si>
  <si>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</si>
  <si>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</si>
  <si>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</si>
  <si>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</si>
  <si>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</si>
  <si>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</si>
  <si>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</si>
  <si>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</si>
  <si>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</si>
  <si>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</si>
  <si>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</si>
  <si>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</si>
  <si>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</si>
  <si>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</si>
  <si>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</si>
  <si>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</si>
  <si>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</si>
  <si>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</si>
  <si>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</si>
  <si>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</si>
  <si>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</si>
  <si>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</si>
  <si>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</si>
  <si>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</si>
  <si>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</si>
  <si>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</si>
  <si>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</si>
  <si>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</si>
  <si>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</si>
  <si>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</si>
  <si>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</si>
  <si>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</si>
  <si>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</si>
  <si>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</si>
  <si>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</si>
  <si>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</si>
  <si>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</si>
  <si>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</si>
  <si>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</si>
  <si>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</si>
  <si>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</si>
  <si>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</si>
  <si>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</si>
  <si>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</si>
  <si>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</si>
  <si>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</si>
  <si>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</si>
  <si>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</si>
  <si>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</si>
  <si>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</si>
  <si>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</si>
  <si>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</si>
  <si>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</si>
  <si>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</si>
  <si>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</si>
  <si>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</si>
  <si>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</si>
  <si>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</si>
  <si>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</si>
  <si>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</si>
  <si>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</si>
  <si>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</si>
  <si>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</si>
  <si>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</si>
  <si>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</si>
  <si>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</si>
  <si>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</si>
  <si>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</si>
  <si>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</si>
  <si>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</si>
  <si>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</si>
  <si>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</si>
  <si>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</si>
  <si>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</si>
  <si>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</si>
  <si>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</si>
  <si>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</si>
  <si>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</si>
  <si>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</si>
  <si>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</si>
  <si>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</si>
  <si>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</si>
  <si>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</si>
  <si>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</si>
  <si>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</si>
  <si>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</si>
  <si>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</si>
  <si>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</si>
  <si>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</si>
  <si>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</si>
  <si>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</si>
  <si>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</si>
  <si>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</si>
  <si>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</si>
  <si>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</si>
  <si>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</si>
  <si>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</si>
  <si>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</si>
  <si>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</si>
  <si>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</si>
  <si>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</si>
  <si>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</si>
  <si>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</si>
  <si>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</si>
  <si>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</si>
  <si>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</si>
  <si>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</si>
  <si>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</si>
  <si>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</si>
  <si>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</si>
  <si>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</si>
  <si>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</si>
  <si>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</si>
  <si>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</si>
  <si>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</si>
  <si>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</si>
  <si>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</si>
  <si>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</si>
  <si>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</si>
  <si>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</si>
  <si>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</si>
  <si>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</si>
  <si>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</si>
  <si>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</si>
  <si>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</si>
  <si>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</si>
  <si>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</si>
  <si>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</si>
  <si>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</si>
  <si>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</si>
  <si>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</si>
  <si>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</si>
  <si>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</si>
  <si>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</si>
  <si>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</si>
  <si>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</si>
  <si>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</si>
  <si>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</si>
  <si>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</si>
  <si>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</si>
  <si>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</si>
  <si>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</si>
  <si>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</si>
  <si>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</si>
  <si>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</si>
  <si>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</si>
  <si>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</si>
  <si>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</si>
  <si>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</si>
  <si>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</si>
  <si>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</si>
  <si>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</si>
  <si>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</si>
  <si>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</si>
  <si>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</si>
  <si>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</si>
  <si>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</si>
  <si>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</si>
  <si>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</si>
  <si>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</si>
  <si>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</si>
  <si>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</si>
  <si>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</si>
  <si>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</si>
  <si>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</si>
  <si>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</si>
  <si>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</si>
  <si>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</si>
  <si>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</si>
  <si>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</si>
  <si>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</si>
  <si>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</si>
  <si>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</si>
  <si>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</si>
  <si>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</si>
  <si>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</si>
  <si>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</si>
  <si>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</si>
  <si>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</si>
  <si>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</si>
  <si>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</si>
  <si>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</si>
  <si>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</si>
  <si>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</si>
  <si>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</si>
  <si>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</si>
  <si>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</si>
  <si>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</si>
  <si>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</si>
  <si>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</si>
  <si>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</si>
  <si>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</si>
  <si>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</si>
  <si>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</si>
  <si>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</si>
  <si>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</si>
  <si>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</si>
  <si>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</si>
  <si>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</si>
  <si>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</si>
  <si>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</si>
  <si>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</si>
  <si>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</si>
  <si>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</si>
  <si>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</si>
  <si>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</si>
  <si>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</si>
  <si>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</si>
  <si>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</si>
  <si>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</si>
  <si>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</si>
  <si>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</si>
  <si>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</si>
  <si>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</si>
  <si>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</si>
  <si>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</si>
  <si>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</si>
  <si>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</si>
  <si>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</si>
  <si>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</si>
  <si>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</si>
  <si>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</si>
  <si>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</si>
  <si>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</si>
  <si>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</si>
  <si>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</si>
  <si>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</si>
  <si>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</si>
  <si>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</si>
  <si>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</si>
  <si>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</si>
  <si>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</si>
  <si>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</si>
  <si>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</si>
  <si>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</si>
  <si>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</si>
  <si>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</si>
  <si>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</si>
  <si>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</si>
  <si>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</si>
  <si>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</si>
  <si>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</si>
  <si>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</si>
  <si>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</si>
  <si>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</si>
  <si>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</si>
  <si>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</si>
  <si>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</si>
  <si>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</si>
  <si>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</si>
  <si>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</si>
  <si>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</si>
  <si>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</si>
  <si>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</si>
  <si>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</si>
  <si>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</si>
  <si>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</si>
  <si>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</si>
  <si>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</si>
  <si>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</si>
  <si>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</si>
  <si>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</si>
  <si>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</si>
  <si>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</si>
  <si>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</si>
  <si>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</si>
  <si>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</si>
  <si>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</si>
  <si>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</si>
  <si>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</si>
  <si>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</si>
  <si>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</si>
  <si>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</si>
  <si>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</si>
  <si>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</si>
  <si>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</si>
  <si>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</si>
  <si>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</si>
  <si>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</si>
  <si>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</si>
  <si>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</si>
  <si>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</si>
  <si>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</si>
  <si>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</si>
  <si>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</si>
  <si>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</si>
  <si>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</si>
  <si>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</si>
  <si>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</si>
  <si>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</si>
  <si>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</si>
  <si>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</si>
  <si>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</si>
  <si>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</si>
  <si>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</si>
  <si>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</si>
  <si>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</si>
  <si>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</si>
  <si>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</si>
  <si>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</si>
  <si>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</si>
  <si>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</si>
  <si>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</si>
  <si>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</si>
  <si>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</si>
  <si>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</si>
  <si>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</si>
  <si>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</si>
  <si>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</si>
  <si>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</si>
  <si>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</si>
  <si>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</si>
  <si>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</si>
  <si>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</si>
  <si>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</si>
  <si>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</si>
  <si>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</si>
  <si>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</si>
  <si>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</si>
  <si>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</si>
  <si>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</si>
  <si>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</si>
  <si>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</si>
  <si>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</si>
  <si>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</si>
  <si>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</si>
  <si>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</si>
  <si>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</si>
  <si>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</si>
  <si>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</si>
  <si>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</si>
  <si>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</si>
  <si>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</si>
  <si>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</si>
  <si>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</si>
  <si>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</si>
  <si>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</si>
  <si>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</si>
  <si>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</si>
  <si>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</si>
  <si>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</si>
  <si>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</si>
  <si>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</si>
  <si>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</si>
  <si>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</si>
  <si>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</si>
  <si>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</si>
  <si>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</si>
  <si>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</si>
  <si>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</si>
  <si>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</si>
  <si>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</si>
  <si>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</si>
  <si>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</si>
  <si>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</si>
  <si>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</si>
  <si>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</si>
  <si>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</si>
  <si>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</si>
  <si>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</si>
  <si>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</si>
  <si>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</si>
  <si>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</si>
  <si>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</si>
  <si>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</si>
  <si>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</si>
  <si>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</si>
  <si>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</si>
  <si>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</si>
  <si>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</si>
  <si>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</si>
  <si>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</si>
  <si>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</si>
  <si>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</si>
  <si>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</si>
  <si>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</si>
  <si>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</si>
  <si>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</si>
  <si>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</si>
  <si>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</si>
  <si>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</si>
  <si>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</si>
  <si>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</si>
  <si>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</si>
  <si>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</si>
  <si>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</si>
  <si>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</si>
  <si>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</si>
  <si>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</si>
  <si>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</si>
  <si>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</si>
  <si>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</si>
  <si>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</si>
  <si>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</si>
  <si>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</si>
  <si>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</si>
  <si>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</si>
  <si>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</si>
  <si>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</si>
  <si>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</si>
  <si>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</si>
  <si>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</si>
  <si>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</si>
  <si>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</si>
  <si>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</si>
  <si>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</si>
  <si>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</si>
  <si>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</si>
  <si>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</si>
  <si>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</si>
  <si>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</si>
  <si>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</si>
  <si>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</si>
  <si>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</si>
  <si>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</si>
  <si>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</si>
  <si>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</si>
  <si>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</si>
  <si>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</si>
  <si>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</si>
  <si>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</si>
  <si>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</si>
  <si>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</si>
  <si>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</si>
  <si>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</si>
  <si>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</si>
  <si>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</si>
  <si>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</si>
  <si>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</si>
  <si>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</si>
  <si>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</si>
  <si>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</si>
  <si>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</si>
  <si>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</si>
  <si>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</si>
  <si>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</si>
  <si>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</si>
  <si>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</si>
  <si>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</si>
  <si>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</si>
  <si>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</si>
  <si>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</si>
  <si>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</si>
  <si>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</si>
  <si>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</si>
  <si>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</si>
  <si>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</si>
  <si>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</si>
  <si>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</si>
  <si>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</si>
  <si>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</si>
  <si>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</si>
  <si>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</si>
  <si>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</si>
  <si>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</si>
  <si>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</si>
  <si>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</si>
  <si>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</si>
  <si>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</si>
  <si>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</si>
  <si>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</si>
  <si>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</si>
  <si>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</si>
  <si>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</si>
  <si>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</si>
  <si>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</si>
  <si>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</si>
  <si>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</si>
  <si>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</si>
  <si>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</si>
  <si>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</si>
  <si>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</si>
  <si>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</si>
  <si>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</si>
  <si>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</si>
  <si>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</si>
  <si>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</si>
  <si>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</si>
  <si>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</si>
  <si>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</si>
  <si>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</si>
  <si>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</si>
  <si>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</si>
  <si>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</si>
  <si>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</si>
  <si>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</si>
  <si>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</si>
  <si>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</si>
  <si>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</si>
  <si>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</si>
  <si>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</si>
  <si>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</si>
  <si>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</si>
  <si>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</si>
  <si>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</si>
  <si>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</si>
  <si>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</si>
  <si>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</si>
  <si>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</si>
  <si>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</si>
  <si>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</si>
  <si>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</si>
  <si>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</si>
  <si>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</si>
  <si>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</si>
  <si>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</si>
  <si>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</si>
  <si>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</si>
  <si>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</si>
  <si>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</si>
  <si>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</si>
  <si>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</si>
  <si>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</si>
  <si>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</si>
  <si>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</si>
  <si>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</si>
  <si>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</si>
  <si>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</si>
  <si>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</si>
  <si>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</si>
  <si>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</si>
  <si>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</si>
  <si>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</si>
  <si>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</si>
  <si>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</si>
  <si>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</si>
  <si>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</si>
  <si>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</si>
  <si>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</si>
  <si>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</si>
  <si>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</si>
  <si>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</si>
  <si>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</si>
  <si>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</si>
  <si>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</si>
  <si>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</si>
  <si>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</si>
  <si>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</si>
  <si>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</si>
  <si>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</si>
  <si>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</si>
  <si>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</si>
  <si>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</si>
  <si>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</si>
  <si>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</si>
  <si>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</si>
  <si>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</si>
  <si>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</si>
  <si>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</si>
  <si>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</si>
  <si>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</si>
  <si>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</si>
  <si>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</si>
  <si>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</si>
  <si>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</si>
  <si>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</si>
  <si>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</si>
  <si>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</si>
  <si>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</si>
  <si>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</si>
  <si>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</si>
  <si>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</si>
  <si>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</si>
  <si>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</si>
  <si>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</si>
  <si>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</si>
  <si>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</si>
  <si>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</si>
  <si>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</si>
  <si>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</si>
  <si>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</si>
  <si>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</si>
  <si>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</si>
  <si>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</si>
  <si>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</si>
  <si>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</si>
  <si>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</si>
  <si>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</si>
  <si>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</si>
  <si>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</si>
  <si>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</si>
  <si>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</si>
  <si>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</si>
  <si>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</si>
  <si>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</si>
  <si>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</si>
  <si>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</si>
  <si>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</si>
  <si>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</si>
  <si>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</si>
  <si>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</si>
  <si>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</si>
  <si>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</si>
  <si>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</si>
  <si>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</si>
  <si>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</si>
  <si>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</si>
  <si>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</si>
  <si>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</si>
  <si>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</si>
  <si>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</si>
  <si>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</si>
  <si>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</si>
  <si>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</si>
  <si>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</si>
  <si>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</si>
  <si>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</si>
  <si>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</si>
  <si>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</si>
  <si>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</si>
  <si>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</si>
  <si>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</si>
  <si>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</si>
  <si>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</si>
  <si>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</si>
  <si>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</si>
  <si>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</si>
  <si>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</si>
  <si>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</si>
  <si>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</si>
  <si>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</si>
  <si>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</si>
  <si>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</si>
  <si>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</si>
  <si>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</si>
  <si>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</si>
  <si>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</si>
  <si>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</si>
  <si>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</si>
  <si>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</si>
  <si>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</si>
  <si>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</si>
  <si>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</si>
  <si>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</si>
  <si>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</si>
  <si>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</si>
  <si>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</si>
  <si>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</si>
  <si>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</si>
  <si>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</si>
  <si>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</si>
  <si>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</si>
  <si>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</si>
  <si>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</si>
  <si>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</si>
  <si>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</si>
  <si>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</si>
  <si>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</si>
  <si>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</si>
  <si>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</si>
  <si>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</si>
  <si>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</si>
  <si>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</si>
  <si>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</si>
  <si>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</si>
  <si>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</si>
  <si>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</si>
  <si>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</si>
  <si>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</si>
  <si>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</si>
  <si>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</si>
  <si>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</si>
  <si>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</si>
  <si>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</si>
  <si>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</si>
  <si>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</si>
  <si>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</si>
  <si>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</si>
  <si>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</si>
  <si>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</si>
  <si>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</si>
  <si>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</si>
  <si>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</si>
  <si>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</si>
  <si>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</si>
  <si>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</si>
  <si>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</si>
  <si>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</si>
  <si>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</si>
  <si>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</si>
  <si>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</si>
  <si>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</si>
  <si>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</si>
  <si>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</si>
  <si>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</si>
  <si>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</si>
  <si>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</si>
  <si>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</si>
  <si>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</si>
  <si>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</si>
  <si>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</si>
  <si>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</si>
  <si>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</si>
  <si>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</si>
  <si>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</si>
  <si>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</si>
  <si>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</si>
  <si>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</si>
  <si>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</si>
  <si>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</si>
  <si>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</si>
  <si>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</si>
  <si>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</si>
  <si>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</si>
  <si>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</si>
  <si>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</si>
  <si>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</si>
  <si>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</si>
  <si>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</si>
  <si>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</si>
  <si>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</si>
  <si>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</si>
  <si>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</si>
  <si>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</si>
  <si>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</si>
  <si>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</si>
  <si>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</si>
  <si>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</si>
  <si>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</si>
  <si>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</si>
  <si>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</si>
  <si>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</si>
  <si>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</si>
  <si>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</si>
  <si>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</si>
  <si>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</si>
  <si>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</si>
  <si>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</si>
  <si>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</si>
  <si>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</si>
  <si>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</si>
  <si>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</si>
  <si>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</si>
  <si>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</si>
  <si>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</si>
  <si>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</si>
  <si>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</si>
  <si>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</si>
  <si>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</si>
  <si>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</si>
  <si>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</si>
  <si>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</si>
  <si>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</si>
  <si>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</si>
  <si>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</si>
  <si>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</si>
  <si>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</si>
  <si>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</si>
  <si>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</si>
  <si>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</si>
  <si>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</si>
  <si>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</si>
  <si>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</si>
  <si>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</si>
  <si>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</si>
  <si>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</si>
  <si>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</si>
  <si>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</si>
  <si>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</si>
  <si>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</si>
  <si>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</si>
  <si>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</si>
  <si>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</si>
  <si>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</si>
  <si>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</si>
  <si>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</si>
  <si>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</si>
  <si>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</si>
  <si>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</si>
  <si>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</si>
  <si>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</si>
  <si>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</si>
  <si>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</si>
  <si>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</si>
  <si>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</si>
  <si>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</si>
  <si>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</si>
  <si>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</si>
  <si>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</si>
  <si>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</si>
  <si>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</si>
  <si>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</si>
  <si>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</si>
  <si>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</si>
  <si>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</si>
  <si>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</si>
  <si>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</si>
  <si>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</si>
  <si>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</si>
  <si>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</si>
  <si>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</si>
  <si>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</si>
  <si>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</si>
  <si>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</si>
  <si>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</si>
  <si>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</si>
  <si>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</si>
  <si>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</si>
  <si>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</si>
  <si>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</si>
  <si>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</si>
  <si>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</si>
  <si>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</si>
  <si>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</si>
  <si>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</si>
  <si>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</si>
  <si>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</si>
  <si>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</si>
  <si>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</si>
  <si>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</si>
  <si>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</si>
  <si>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</si>
  <si>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</si>
  <si>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</si>
  <si>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</si>
  <si>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</si>
  <si>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</si>
  <si>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</si>
  <si>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</si>
  <si>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</si>
  <si>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</si>
  <si>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</si>
  <si>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</si>
  <si>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</si>
  <si>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</si>
  <si>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</si>
  <si>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</si>
  <si>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</si>
  <si>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</si>
  <si>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</si>
  <si>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</si>
  <si>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</si>
  <si>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</si>
  <si>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</si>
  <si>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</si>
  <si>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</si>
  <si>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</si>
  <si>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</si>
  <si>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</si>
  <si>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</si>
  <si>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</si>
  <si>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</si>
  <si>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</si>
  <si>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</si>
  <si>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</si>
  <si>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</si>
  <si>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</si>
  <si>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</si>
  <si>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</si>
  <si>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</si>
  <si>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</si>
  <si>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</si>
  <si>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</si>
  <si>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</si>
  <si>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</si>
  <si>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</si>
  <si>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</si>
  <si>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</si>
  <si>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</si>
  <si>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</si>
  <si>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</si>
  <si>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</si>
  <si>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</si>
  <si>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</si>
  <si>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</si>
  <si>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</si>
  <si>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</si>
  <si>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</si>
  <si>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</si>
  <si>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</si>
  <si>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</si>
  <si>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</si>
  <si>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</si>
  <si>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</si>
  <si>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</si>
  <si>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</si>
  <si>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</si>
  <si>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</si>
  <si>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</si>
  <si>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</si>
  <si>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</si>
  <si>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</si>
  <si>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</si>
  <si>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</si>
  <si>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</si>
  <si>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</si>
  <si>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</si>
  <si>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</si>
  <si>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</si>
  <si>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</si>
  <si>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</si>
  <si>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</si>
  <si>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</si>
  <si>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</si>
  <si>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</si>
  <si>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</si>
  <si>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</si>
  <si>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</si>
  <si>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</si>
  <si>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</si>
  <si>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</si>
  <si>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</si>
  <si>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</si>
  <si>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</si>
  <si>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</si>
  <si>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</si>
  <si>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</si>
  <si>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</si>
  <si>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</si>
  <si>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</si>
  <si>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</si>
  <si>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</si>
  <si>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</si>
  <si>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</si>
  <si>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</si>
  <si>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</si>
  <si>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</si>
  <si>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</si>
  <si>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</si>
  <si>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</si>
  <si>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</si>
  <si>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</si>
  <si>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</si>
  <si>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</si>
  <si>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</si>
  <si>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</si>
  <si>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</si>
  <si>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</si>
  <si>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</si>
  <si>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</si>
  <si>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</si>
  <si>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</si>
  <si>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</si>
  <si>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</si>
  <si>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</si>
  <si>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</si>
  <si>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</si>
  <si>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</si>
  <si>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</si>
  <si>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</si>
  <si>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</si>
  <si>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</si>
  <si>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</si>
  <si>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</si>
  <si>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</si>
  <si>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</si>
  <si>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</si>
  <si>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</si>
  <si>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</si>
  <si>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</si>
  <si>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</si>
  <si>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</si>
  <si>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</si>
  <si>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</si>
  <si>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</si>
  <si>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</si>
  <si>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</si>
  <si>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</si>
  <si>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</si>
  <si>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</si>
  <si>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</si>
  <si>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</si>
  <si>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</si>
  <si>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</si>
  <si>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</si>
  <si>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</si>
  <si>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</si>
  <si>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</si>
  <si>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</si>
  <si>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</si>
  <si>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</si>
  <si>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</si>
  <si>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</si>
  <si>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</si>
  <si>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</si>
  <si>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</si>
  <si>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</si>
  <si>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</si>
  <si>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</si>
  <si>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</si>
  <si>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</si>
  <si>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</si>
  <si>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</si>
  <si>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</si>
  <si>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</si>
  <si>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</si>
  <si>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</si>
  <si>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</si>
  <si>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</si>
  <si>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</si>
  <si>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</si>
  <si>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</si>
  <si>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</si>
  <si>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</si>
  <si>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</si>
  <si>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</si>
  <si>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</si>
  <si>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</si>
  <si>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</si>
  <si>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</si>
  <si>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</si>
  <si>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</si>
  <si>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</si>
  <si>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</si>
  <si>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</si>
  <si>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</si>
  <si>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</si>
  <si>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</si>
  <si>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</si>
  <si>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</si>
  <si>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</si>
  <si>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</si>
  <si>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</si>
  <si>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</si>
  <si>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</si>
  <si>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</si>
  <si>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</si>
  <si>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</si>
  <si>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</si>
  <si>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</si>
  <si>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</si>
  <si>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</si>
  <si>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</si>
  <si>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</si>
  <si>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</si>
  <si>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</si>
  <si>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</si>
  <si>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</si>
  <si>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</si>
  <si>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</si>
  <si>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</si>
  <si>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</si>
  <si>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</si>
  <si>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</si>
  <si>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</si>
  <si>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</si>
  <si>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</si>
  <si>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</si>
  <si>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</si>
  <si>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</si>
  <si>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</si>
  <si>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</si>
  <si>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</si>
  <si>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</si>
  <si>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</si>
  <si>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</si>
  <si>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</si>
  <si>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</si>
  <si>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</si>
  <si>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</si>
  <si>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</si>
  <si>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</si>
  <si>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</si>
  <si>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</si>
  <si>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</si>
  <si>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</si>
  <si>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</si>
  <si>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</si>
  <si>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</si>
  <si>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</si>
  <si>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</si>
  <si>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</si>
  <si>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</si>
  <si>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</si>
  <si>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</si>
  <si>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</si>
  <si>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</si>
  <si>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</si>
  <si>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</si>
  <si>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</si>
  <si>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</si>
  <si>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</si>
  <si>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</si>
  <si>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</si>
  <si>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</si>
  <si>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</si>
  <si>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</si>
  <si>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</si>
  <si>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</si>
  <si>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</si>
  <si>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</si>
  <si>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</si>
  <si>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</si>
  <si>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</si>
  <si>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</si>
  <si>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</si>
  <si>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</si>
  <si>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</si>
  <si>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</si>
  <si>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</si>
  <si>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</si>
  <si>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</si>
  <si>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</si>
  <si>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</si>
  <si>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</si>
  <si>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</si>
  <si>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</si>
  <si>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</si>
  <si>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</si>
  <si>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</si>
  <si>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</si>
  <si>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</si>
  <si>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</si>
  <si>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</si>
  <si>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</si>
  <si>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</si>
  <si>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</si>
  <si>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</si>
  <si>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</si>
  <si>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</si>
  <si>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</si>
  <si>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</si>
  <si>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</si>
  <si>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</si>
  <si>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</si>
  <si>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</si>
  <si>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</si>
  <si>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</si>
  <si>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</si>
  <si>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</si>
  <si>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</si>
  <si>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</si>
  <si>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</si>
  <si>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</si>
  <si>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</si>
  <si>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</si>
  <si>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</si>
  <si>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</si>
  <si>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</si>
  <si>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</si>
  <si>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</si>
  <si>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</si>
  <si>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</si>
  <si>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</si>
  <si>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</si>
  <si>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</si>
  <si>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</si>
  <si>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</si>
  <si>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</si>
  <si>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</si>
  <si>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</si>
  <si>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</si>
  <si>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</si>
  <si>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</si>
  <si>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</si>
  <si>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</si>
  <si>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</si>
  <si>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</si>
  <si>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</si>
  <si>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</si>
  <si>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</si>
  <si>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</si>
  <si>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</si>
  <si>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</si>
  <si>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</si>
  <si>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</si>
  <si>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</si>
  <si>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</si>
  <si>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</si>
  <si>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</si>
  <si>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</si>
  <si>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</si>
  <si>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</si>
  <si>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</si>
  <si>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</si>
  <si>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</si>
  <si>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</si>
  <si>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</si>
  <si>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</si>
  <si>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</si>
  <si>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</si>
  <si>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</si>
  <si>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</si>
  <si>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</si>
  <si>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</si>
  <si>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</si>
  <si>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</si>
  <si>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</si>
  <si>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</si>
  <si>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</si>
  <si>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</si>
  <si>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</si>
  <si>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</si>
  <si>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</si>
  <si>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</si>
  <si>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</si>
  <si>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</si>
  <si>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</si>
  <si>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</si>
  <si>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</si>
  <si>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</si>
  <si>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</si>
  <si>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</si>
  <si>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</si>
  <si>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</si>
  <si>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</si>
  <si>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</si>
  <si>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</si>
  <si>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</si>
  <si>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</si>
  <si>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</si>
  <si>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</si>
  <si>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</si>
  <si>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</si>
  <si>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</si>
  <si>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</si>
  <si>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</si>
  <si>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</si>
  <si>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</si>
  <si>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</si>
  <si>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</si>
  <si>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</si>
  <si>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</si>
  <si>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</si>
  <si>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</si>
  <si>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</si>
  <si>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</si>
  <si>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</si>
  <si>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</si>
  <si>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</si>
  <si>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</si>
  <si>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</si>
  <si>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</si>
  <si>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</si>
  <si>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</si>
  <si>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</si>
  <si>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</si>
  <si>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</si>
  <si>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</si>
  <si>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</si>
  <si>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</si>
  <si>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</si>
  <si>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</si>
  <si>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</si>
  <si>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</si>
  <si>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</si>
  <si>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</si>
  <si>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</si>
  <si>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</si>
  <si>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</si>
  <si>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</si>
  <si>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</si>
  <si>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</si>
  <si>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</si>
  <si>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</si>
  <si>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</si>
  <si>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</si>
  <si>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</si>
  <si>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</si>
  <si>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</si>
  <si>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</si>
  <si>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</si>
  <si>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</si>
  <si>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</si>
  <si>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</si>
  <si>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</si>
  <si>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</si>
  <si>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</si>
  <si>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</si>
  <si>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</si>
  <si>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</si>
  <si>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</si>
  <si>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</si>
  <si>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</si>
  <si>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</si>
  <si>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</si>
  <si>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</si>
  <si>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</si>
  <si>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</si>
  <si>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</si>
  <si>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</si>
  <si>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</si>
  <si>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</si>
  <si>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</si>
  <si>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</si>
  <si>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</si>
  <si>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</si>
  <si>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</si>
  <si>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</si>
  <si>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</si>
  <si>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</si>
  <si>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</si>
  <si>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</si>
  <si>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</si>
  <si>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</si>
  <si>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</si>
  <si>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</si>
  <si>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</si>
  <si>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</si>
  <si>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</si>
  <si>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</si>
  <si>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</si>
  <si>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</si>
  <si>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</si>
  <si>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</si>
  <si>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</si>
  <si>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</si>
  <si>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</si>
  <si>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</si>
  <si>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</si>
  <si>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</si>
  <si>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</si>
  <si>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</si>
  <si>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</si>
  <si>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</si>
  <si>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</si>
  <si>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</si>
  <si>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</si>
  <si>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</si>
  <si>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</si>
  <si>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</si>
  <si>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</si>
  <si>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</si>
  <si>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</si>
  <si>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</si>
  <si>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</si>
  <si>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</si>
  <si>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</si>
  <si>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</si>
  <si>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</si>
  <si>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</si>
  <si>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</si>
  <si>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</si>
  <si>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</si>
  <si>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</si>
  <si>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</si>
  <si>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</si>
  <si>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</si>
  <si>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</si>
  <si>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</si>
  <si>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</si>
  <si>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</si>
  <si>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</si>
  <si>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</si>
  <si>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</si>
  <si>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</si>
  <si>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</si>
  <si>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</si>
  <si>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</si>
  <si>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</si>
  <si>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</si>
  <si>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</si>
  <si>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</si>
  <si>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</si>
  <si>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</si>
  <si>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</si>
  <si>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</si>
  <si>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</si>
  <si>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</si>
  <si>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</si>
  <si>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</si>
  <si>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</si>
  <si>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</si>
  <si>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</si>
  <si>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</si>
  <si>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</si>
  <si>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</si>
  <si>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</si>
  <si>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</si>
  <si>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</si>
  <si>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</si>
  <si>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</si>
  <si>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</si>
  <si>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</si>
  <si>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</si>
  <si>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</si>
  <si>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</si>
  <si>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</si>
  <si>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</si>
  <si>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</si>
  <si>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</si>
  <si>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</si>
  <si>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</si>
  <si>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</si>
  <si>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</si>
  <si>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</si>
  <si>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</si>
  <si>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</si>
  <si>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</si>
  <si>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</si>
  <si>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</si>
  <si>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</si>
  <si>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</si>
  <si>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</si>
  <si>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</si>
  <si>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</si>
  <si>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</si>
  <si>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</si>
  <si>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</si>
  <si>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</si>
  <si>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</si>
  <si>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</si>
  <si>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</si>
  <si>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</si>
  <si>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</si>
  <si>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</si>
  <si>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</si>
  <si>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</si>
  <si>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</si>
  <si>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</si>
  <si>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</si>
  <si>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</si>
  <si>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</si>
  <si>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</si>
  <si>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</si>
  <si>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</si>
  <si>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</si>
  <si>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</si>
  <si>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</si>
  <si>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</si>
  <si>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</si>
  <si>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</si>
  <si>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</si>
  <si>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</si>
  <si>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</si>
  <si>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</si>
  <si>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</si>
  <si>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</si>
  <si>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</si>
  <si>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</si>
  <si>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</si>
  <si>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</si>
  <si>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</si>
  <si>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</si>
  <si>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</si>
  <si>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</si>
  <si>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</si>
  <si>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</si>
  <si>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</si>
  <si>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</si>
  <si>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</si>
  <si>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</si>
  <si>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</si>
  <si>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</si>
  <si>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</si>
  <si>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</si>
  <si>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</si>
  <si>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</si>
  <si>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</si>
  <si>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</si>
  <si>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</si>
  <si>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</si>
  <si>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</si>
  <si>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</si>
  <si>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</si>
  <si>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</si>
  <si>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</si>
  <si>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</si>
  <si>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</si>
  <si>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</si>
  <si>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</si>
  <si>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</si>
  <si>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</si>
  <si>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</si>
  <si>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</si>
  <si>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</si>
  <si>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</si>
  <si>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</si>
  <si>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</si>
  <si>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</si>
  <si>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</si>
  <si>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</si>
  <si>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</si>
  <si>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</si>
  <si>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</si>
  <si>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</si>
  <si>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</si>
  <si>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</si>
  <si>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</si>
  <si>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</si>
  <si>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</si>
  <si>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</si>
  <si>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</si>
  <si>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</si>
  <si>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</si>
  <si>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</si>
  <si>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</si>
  <si>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</si>
  <si>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</si>
  <si>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</si>
  <si>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</si>
  <si>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</si>
  <si>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</si>
  <si>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</si>
  <si>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</si>
  <si>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</si>
  <si>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</si>
  <si>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</si>
  <si>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</si>
  <si>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</si>
  <si>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</si>
  <si>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</si>
  <si>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</si>
  <si>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</si>
  <si>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</si>
  <si>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</si>
  <si>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</si>
  <si>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</si>
  <si>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</si>
  <si>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</si>
  <si>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</si>
  <si>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</si>
  <si>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</si>
  <si>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</si>
  <si>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</si>
  <si>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</si>
  <si>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</si>
  <si>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</si>
  <si>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</si>
  <si>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</si>
  <si>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</si>
  <si>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</si>
  <si>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</si>
  <si>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</si>
  <si>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</si>
  <si>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</si>
  <si>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</si>
  <si>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</si>
  <si>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</si>
  <si>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</si>
  <si>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</si>
  <si>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</si>
  <si>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</si>
  <si>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</si>
  <si>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</si>
  <si>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</si>
  <si>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</si>
  <si>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</si>
  <si>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</si>
  <si>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</si>
  <si>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</si>
  <si>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</si>
  <si>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</si>
  <si>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</si>
  <si>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</si>
  <si>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</si>
  <si>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</si>
  <si>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</si>
  <si>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</si>
  <si>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</si>
  <si>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</si>
  <si>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</si>
  <si>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</si>
  <si>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</si>
  <si>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</si>
  <si>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</si>
  <si>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</si>
  <si>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</si>
  <si>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</si>
  <si>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</si>
  <si>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</si>
  <si>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</si>
  <si>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</si>
  <si>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</si>
  <si>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</si>
  <si>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</si>
  <si>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</si>
  <si>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</si>
  <si>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</si>
  <si>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</si>
  <si>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</si>
  <si>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</si>
  <si>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</si>
  <si>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</si>
  <si>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</si>
  <si>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</si>
  <si>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</si>
  <si>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</si>
  <si>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</si>
  <si>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</si>
  <si>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</si>
  <si>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</si>
  <si>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</si>
  <si>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</si>
  <si>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</si>
  <si>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</si>
  <si>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</si>
  <si>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</si>
  <si>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</si>
  <si>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</si>
  <si>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</si>
  <si>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</si>
  <si>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</si>
  <si>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</si>
  <si>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</si>
  <si>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</si>
  <si>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</si>
  <si>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</si>
  <si>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</si>
  <si>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</si>
  <si>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</si>
  <si>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</si>
  <si>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</si>
  <si>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</si>
  <si>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</si>
  <si>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</si>
  <si>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</si>
  <si>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</si>
  <si>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</si>
  <si>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</si>
  <si>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</si>
  <si>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</si>
  <si>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</si>
  <si>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</si>
  <si>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</si>
  <si>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</si>
  <si>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</si>
  <si>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</si>
  <si>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</si>
  <si>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</si>
  <si>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</si>
  <si>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</si>
  <si>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</si>
  <si>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</si>
  <si>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</si>
  <si>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</si>
  <si>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</si>
  <si>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</si>
  <si>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</si>
  <si>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</si>
  <si>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</si>
  <si>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</si>
  <si>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</si>
  <si>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</si>
  <si>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</si>
  <si>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</si>
  <si>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</si>
  <si>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</si>
  <si>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</si>
  <si>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</si>
  <si>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</si>
  <si>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</si>
  <si>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</si>
  <si>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</si>
  <si>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</si>
  <si>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</si>
  <si>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</si>
  <si>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</si>
  <si>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</si>
  <si>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</si>
  <si>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</si>
  <si>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</si>
  <si>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</si>
  <si>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</si>
  <si>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</si>
  <si>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</si>
  <si>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</si>
  <si>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</si>
  <si>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</si>
  <si>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</si>
  <si>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</si>
  <si>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</si>
  <si>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</si>
  <si>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</si>
  <si>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</si>
  <si>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</si>
  <si>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</si>
  <si>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</si>
  <si>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</si>
  <si>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</si>
  <si>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</si>
  <si>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</si>
  <si>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</si>
  <si>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</si>
  <si>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</si>
  <si>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</si>
  <si>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</si>
  <si>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</si>
  <si>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</si>
  <si>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</si>
  <si>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</si>
  <si>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</si>
  <si>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</si>
  <si>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</si>
  <si>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</si>
  <si>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</si>
  <si>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</si>
  <si>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</si>
  <si>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</si>
  <si>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</si>
  <si>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</si>
  <si>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</si>
  <si>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</si>
  <si>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</si>
  <si>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</si>
  <si>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</si>
  <si>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</si>
  <si>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</si>
  <si>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</si>
  <si>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</si>
  <si>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</si>
  <si>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</si>
  <si>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</si>
  <si>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</si>
  <si>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</si>
  <si>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</si>
  <si>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</si>
  <si>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</si>
  <si>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</si>
  <si>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</si>
  <si>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</si>
  <si>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</si>
  <si>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</si>
  <si>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</si>
  <si>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</si>
  <si>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</si>
  <si>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</si>
  <si>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</si>
  <si>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</si>
  <si>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</si>
  <si>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</si>
  <si>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</si>
  <si>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</si>
  <si>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</si>
  <si>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</si>
  <si>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</si>
  <si>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</si>
  <si>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</si>
  <si>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</si>
  <si>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</si>
  <si>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</si>
  <si>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</si>
  <si>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</si>
  <si>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</si>
  <si>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</si>
  <si>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</si>
  <si>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</si>
  <si>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</si>
  <si>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</si>
  <si>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</si>
  <si>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</si>
  <si>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</si>
  <si>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</si>
  <si>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</si>
  <si>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</si>
  <si>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</si>
  <si>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</si>
  <si>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</si>
  <si>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</si>
  <si>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</si>
  <si>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</si>
  <si>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</si>
  <si>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</si>
  <si>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</si>
  <si>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</si>
  <si>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</si>
  <si>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</si>
  <si>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</si>
  <si>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</si>
  <si>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</si>
  <si>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</si>
  <si>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</si>
  <si>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</si>
  <si>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</si>
  <si>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</si>
  <si>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</si>
  <si>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</si>
  <si>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</si>
  <si>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</si>
  <si>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</si>
  <si>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</si>
  <si>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</si>
  <si>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</si>
  <si>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</si>
  <si>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</si>
  <si>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</si>
  <si>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</si>
  <si>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</si>
  <si>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</si>
  <si>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</si>
  <si>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</si>
  <si>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</si>
  <si>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</si>
  <si>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</si>
  <si>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</si>
  <si>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</si>
  <si>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</si>
  <si>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</si>
  <si>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</si>
  <si>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</si>
  <si>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</si>
  <si>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</si>
  <si>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</si>
  <si>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</si>
  <si>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</si>
  <si>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</si>
  <si>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</si>
  <si>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</si>
  <si>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</si>
  <si>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</si>
  <si>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</si>
  <si>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</si>
  <si>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</si>
  <si>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</si>
  <si>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</si>
  <si>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</si>
  <si>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</si>
  <si>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</si>
  <si>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</si>
  <si>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</si>
  <si>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</si>
  <si>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</si>
  <si>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</si>
  <si>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</si>
  <si>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</si>
  <si>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</si>
  <si>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</si>
  <si>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</si>
  <si>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</si>
  <si>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</si>
  <si>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</si>
  <si>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</si>
  <si>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</si>
  <si>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</si>
  <si>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</si>
  <si>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</si>
  <si>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</si>
  <si>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</si>
  <si>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</si>
  <si>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</si>
  <si>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</si>
  <si>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</si>
  <si>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</si>
  <si>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</si>
  <si>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</si>
  <si>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</si>
  <si>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</si>
  <si>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</si>
  <si>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</si>
  <si>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</si>
  <si>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</si>
  <si>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</si>
  <si>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</si>
  <si>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</si>
  <si>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</si>
  <si>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</si>
  <si>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</si>
  <si>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</si>
  <si>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</si>
  <si>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</si>
  <si>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</si>
  <si>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</si>
  <si>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</si>
  <si>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</si>
  <si>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</si>
  <si>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</si>
  <si>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</si>
  <si>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</si>
  <si>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</si>
  <si>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</si>
  <si>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</si>
  <si>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</si>
  <si>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</si>
  <si>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</si>
  <si>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</si>
  <si>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</si>
  <si>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</si>
  <si>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</si>
  <si>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</si>
  <si>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</si>
  <si>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</si>
  <si>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</si>
  <si>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</si>
  <si>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</si>
  <si>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</si>
  <si>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</si>
  <si>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</si>
  <si>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</si>
  <si>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</si>
  <si>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</si>
  <si>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</si>
  <si>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</si>
  <si>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</si>
  <si>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</si>
  <si>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</si>
  <si>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</si>
  <si>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</si>
  <si>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</si>
  <si>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</si>
  <si>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</si>
  <si>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</si>
  <si>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</si>
  <si>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</si>
  <si>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</si>
  <si>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</si>
  <si>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</si>
  <si>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</si>
  <si>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</si>
  <si>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</si>
  <si>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</si>
  <si>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</si>
  <si>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</si>
  <si>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</si>
  <si>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</si>
  <si>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</si>
  <si>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</si>
  <si>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</si>
  <si>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</si>
  <si>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</si>
  <si>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</si>
  <si>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</si>
  <si>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</si>
  <si>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</si>
  <si>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</si>
  <si>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</si>
  <si>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</si>
  <si>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</si>
  <si>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</si>
  <si>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</si>
  <si>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</si>
  <si>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</si>
  <si>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</si>
  <si>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</si>
  <si>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</si>
  <si>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</si>
  <si>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</si>
  <si>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</si>
  <si>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</si>
  <si>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</si>
  <si>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</si>
  <si>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</si>
  <si>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</si>
  <si>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</si>
  <si>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</si>
  <si>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</si>
  <si>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</si>
  <si>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</si>
  <si>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</si>
  <si>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</si>
  <si>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</si>
  <si>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</si>
  <si>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</si>
  <si>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</si>
  <si>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</si>
  <si>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</si>
  <si>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</si>
  <si>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</si>
  <si>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</si>
  <si>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</si>
  <si>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</si>
  <si>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</si>
  <si>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</si>
  <si>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</si>
  <si>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</si>
  <si>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</si>
  <si>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</si>
  <si>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</si>
  <si>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</si>
  <si>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</si>
  <si>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</si>
  <si>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</si>
  <si>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</si>
  <si>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</si>
  <si>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</si>
  <si>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</si>
  <si>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</si>
  <si>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</si>
  <si>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</si>
  <si>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</si>
  <si>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</si>
  <si>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</si>
  <si>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</si>
  <si>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</si>
  <si>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</si>
  <si>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</si>
  <si>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</si>
  <si>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</si>
  <si>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</si>
  <si>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</si>
  <si>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</si>
  <si>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</si>
  <si>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</si>
  <si>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</si>
  <si>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</si>
  <si>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</si>
  <si>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</si>
  <si>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</si>
  <si>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</si>
  <si>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</si>
  <si>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</si>
  <si>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</si>
  <si>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</si>
  <si>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</si>
  <si>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</si>
  <si>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</si>
  <si>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</si>
  <si>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</si>
  <si>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</si>
  <si>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</si>
  <si>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</si>
  <si>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</si>
  <si>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</si>
  <si>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</si>
  <si>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</si>
  <si>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</si>
  <si>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</si>
  <si>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</si>
  <si>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</si>
  <si>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</si>
  <si>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</si>
  <si>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</si>
  <si>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</si>
  <si>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</si>
  <si>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</si>
  <si>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</si>
  <si>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</si>
  <si>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</si>
  <si>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</si>
  <si>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</si>
  <si>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</si>
  <si>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</si>
  <si>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</si>
  <si>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</si>
  <si>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</si>
  <si>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</si>
  <si>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</si>
  <si>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</si>
  <si>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</si>
  <si>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</si>
  <si>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</si>
  <si>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</si>
  <si>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</si>
  <si>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</si>
  <si>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</si>
  <si>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</si>
  <si>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</si>
  <si>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</si>
  <si>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</si>
  <si>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</si>
  <si>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</si>
  <si>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</si>
  <si>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</si>
  <si>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</si>
  <si>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</si>
  <si>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</si>
  <si>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</si>
  <si>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</si>
  <si>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</si>
  <si>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</si>
  <si>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</si>
  <si>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</si>
  <si>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</si>
  <si>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</si>
  <si>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</si>
  <si>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</si>
  <si>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</si>
  <si>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</si>
  <si>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</si>
  <si>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</si>
  <si>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</si>
  <si>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</si>
  <si>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</si>
  <si>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</si>
  <si>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</si>
  <si>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</si>
  <si>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</si>
  <si>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</si>
  <si>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</si>
  <si>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</si>
  <si>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</si>
  <si>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</si>
  <si>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</si>
  <si>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</si>
  <si>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</si>
  <si>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</si>
  <si>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</si>
  <si>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</si>
  <si>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</si>
  <si>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</si>
  <si>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</si>
  <si>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</si>
  <si>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</si>
  <si>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</si>
  <si>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</si>
  <si>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</si>
  <si>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</si>
  <si>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</si>
  <si>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</si>
  <si>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</si>
  <si>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</si>
  <si>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</si>
  <si>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</si>
  <si>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</si>
  <si>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</si>
  <si>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</si>
  <si>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</si>
  <si>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</si>
  <si>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</si>
  <si>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</si>
  <si>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</si>
  <si>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</si>
  <si>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</si>
  <si>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</si>
  <si>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</si>
  <si>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</si>
  <si>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</si>
  <si>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</si>
  <si>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</si>
  <si>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</si>
  <si>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</si>
  <si>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</si>
  <si>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</si>
  <si>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</si>
  <si>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</si>
  <si>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</si>
  <si>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</si>
  <si>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</si>
  <si>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</si>
  <si>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</si>
  <si>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</si>
  <si>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</si>
  <si>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</si>
  <si>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</si>
  <si>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</si>
  <si>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</si>
  <si>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</si>
  <si>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</si>
  <si>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</si>
  <si>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</si>
  <si>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</si>
  <si>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</si>
  <si>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</si>
  <si>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</si>
  <si>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</si>
  <si>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</si>
  <si>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</si>
  <si>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</si>
  <si>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</si>
  <si>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</si>
  <si>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</si>
  <si>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</si>
  <si>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</si>
  <si>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</si>
  <si>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</si>
  <si>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</si>
  <si>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</si>
  <si>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</si>
  <si>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</si>
  <si>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</si>
  <si>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</si>
  <si>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</si>
  <si>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</si>
  <si>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</si>
  <si>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</si>
  <si>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</si>
  <si>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</si>
  <si>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</si>
  <si>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</si>
  <si>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</si>
  <si>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</si>
  <si>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</si>
  <si>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</si>
  <si>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</si>
  <si>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</si>
  <si>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</si>
  <si>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</si>
  <si>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</si>
  <si>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</si>
  <si>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</si>
  <si>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</si>
  <si>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</si>
  <si>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</si>
  <si>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</si>
  <si>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</si>
  <si>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</si>
  <si>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</si>
  <si>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</si>
  <si>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</si>
  <si>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</si>
  <si>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</si>
  <si>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</si>
  <si>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</si>
  <si>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</si>
  <si>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</si>
  <si>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</si>
  <si>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</si>
  <si>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</si>
  <si>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</si>
  <si>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</si>
  <si>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</si>
  <si>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</si>
  <si>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</si>
  <si>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</si>
  <si>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</si>
  <si>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</si>
  <si>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</si>
  <si>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</si>
  <si>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</si>
  <si>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</si>
  <si>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</si>
  <si>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</si>
  <si>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</si>
  <si>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</si>
  <si>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</si>
  <si>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</si>
  <si>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</si>
  <si>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</si>
  <si>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</si>
  <si>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</si>
  <si>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</si>
  <si>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</si>
  <si>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</si>
  <si>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</si>
  <si>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</si>
  <si>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</si>
  <si>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</si>
  <si>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</si>
  <si>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</si>
  <si>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</si>
  <si>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</si>
  <si>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</si>
  <si>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</si>
  <si>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</si>
  <si>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</si>
  <si>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</si>
  <si>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</si>
  <si>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</si>
  <si>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</si>
  <si>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</si>
  <si>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</si>
  <si>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</si>
  <si>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</si>
  <si>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</si>
  <si>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</si>
  <si>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</si>
  <si>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</si>
  <si>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</si>
  <si>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</si>
  <si>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</si>
  <si>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</si>
  <si>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</si>
  <si>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</si>
  <si>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</si>
  <si>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</si>
  <si>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</si>
  <si>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</si>
  <si>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</si>
  <si>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</si>
  <si>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</si>
  <si>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</si>
  <si>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</si>
  <si>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</si>
  <si>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</si>
  <si>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</si>
  <si>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</si>
  <si>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</si>
  <si>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</si>
  <si>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</si>
  <si>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</si>
  <si>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</si>
  <si>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</si>
  <si>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</si>
  <si>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</si>
  <si>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</si>
  <si>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</si>
  <si>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</si>
  <si>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</si>
  <si>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</si>
  <si>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</si>
  <si>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</si>
  <si>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</si>
  <si>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</si>
  <si>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</si>
  <si>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</si>
  <si>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</si>
  <si>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</si>
  <si>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</si>
  <si>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</si>
  <si>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</si>
  <si>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</si>
  <si>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</si>
  <si>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</si>
  <si>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</si>
  <si>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</si>
  <si>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</si>
  <si>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</si>
  <si>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</si>
  <si>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</si>
  <si>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</si>
  <si>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</si>
  <si>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</si>
  <si>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</si>
  <si>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</si>
  <si>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</si>
  <si>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</si>
  <si>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</si>
  <si>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</si>
  <si>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</si>
  <si>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</si>
  <si>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</si>
  <si>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</si>
  <si>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</si>
  <si>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</si>
  <si>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</si>
  <si>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</si>
  <si>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</si>
  <si>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</si>
  <si>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</si>
  <si>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</si>
  <si>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</si>
  <si>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</si>
  <si>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</si>
  <si>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</si>
  <si>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</si>
  <si>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</si>
  <si>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</si>
  <si>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</si>
  <si>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</si>
  <si>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</si>
  <si>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</si>
  <si>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</si>
  <si>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</si>
  <si>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</si>
  <si>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</si>
  <si>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</si>
  <si>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</si>
  <si>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</si>
  <si>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</si>
  <si>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</si>
  <si>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</si>
  <si>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</si>
  <si>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</si>
  <si>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</si>
  <si>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</si>
  <si>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</si>
  <si>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</si>
  <si>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</si>
  <si>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</si>
  <si>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</si>
  <si>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</si>
  <si>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</si>
  <si>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</si>
  <si>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</si>
  <si>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</si>
  <si>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</si>
  <si>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</si>
  <si>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</si>
  <si>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</si>
  <si>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</si>
  <si>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</si>
  <si>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</si>
  <si>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</si>
  <si>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</si>
  <si>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</si>
  <si>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</si>
  <si>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</si>
  <si>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</si>
  <si>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</si>
  <si>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</si>
  <si>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</si>
  <si>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</si>
  <si>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</si>
  <si>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</si>
  <si>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</si>
  <si>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</si>
  <si>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</si>
  <si>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</si>
  <si>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</si>
  <si>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</si>
  <si>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</si>
  <si>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</si>
  <si>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</si>
  <si>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</si>
  <si>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</si>
  <si>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</si>
  <si>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</si>
  <si>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</si>
  <si>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</si>
  <si>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</si>
  <si>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</si>
  <si>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</si>
  <si>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</si>
  <si>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</si>
  <si>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</si>
  <si>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</si>
  <si>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</si>
  <si>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</si>
  <si>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</si>
  <si>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</si>
  <si>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</si>
  <si>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</si>
  <si>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</si>
  <si>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</si>
  <si>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</si>
  <si>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</si>
  <si>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</si>
  <si>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</si>
  <si>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</si>
  <si>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</si>
  <si>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</si>
  <si>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</si>
  <si>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</si>
  <si>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</si>
  <si>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</si>
  <si>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</si>
  <si>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</si>
  <si>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</si>
  <si>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</si>
  <si>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</si>
  <si>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</si>
  <si>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</si>
  <si>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</si>
  <si>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</si>
  <si>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</si>
  <si>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</si>
  <si>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</si>
  <si>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</si>
  <si>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</si>
  <si>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</si>
  <si>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</si>
  <si>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</si>
  <si>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</si>
  <si>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</si>
  <si>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</si>
  <si>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</si>
  <si>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</si>
  <si>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</si>
  <si>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</si>
  <si>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</si>
  <si>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</si>
  <si>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</si>
  <si>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</si>
  <si>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</si>
  <si>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</si>
  <si>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</si>
  <si>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</si>
  <si>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</si>
  <si>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</si>
  <si>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</si>
  <si>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</si>
  <si>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</si>
  <si>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</si>
  <si>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</si>
  <si>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</si>
  <si>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</si>
  <si>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</si>
  <si>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</si>
  <si>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</si>
  <si>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</si>
  <si>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</si>
  <si>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</si>
  <si>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</si>
  <si>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</si>
  <si>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</si>
  <si>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</si>
  <si>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</si>
  <si>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</si>
  <si>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</si>
  <si>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</si>
  <si>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</si>
  <si>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</si>
  <si>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</si>
  <si>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</si>
  <si>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</si>
  <si>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</si>
  <si>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</si>
  <si>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</si>
  <si>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</si>
  <si>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</si>
  <si>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</si>
  <si>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</si>
  <si>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</si>
  <si>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</si>
  <si>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</si>
  <si>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</si>
  <si>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</si>
  <si>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</si>
  <si>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</si>
  <si>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</si>
  <si>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</si>
  <si>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</si>
  <si>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</si>
  <si>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</si>
  <si>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</si>
  <si>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</si>
  <si>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</si>
  <si>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</si>
  <si>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</si>
  <si>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</si>
  <si>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</si>
  <si>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</si>
  <si>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</si>
  <si>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</si>
  <si>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</si>
  <si>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</si>
  <si>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</si>
  <si>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</si>
  <si>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</si>
  <si>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</si>
  <si>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</si>
  <si>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</si>
  <si>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</si>
  <si>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</si>
  <si>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</si>
  <si>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</si>
  <si>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</si>
  <si>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</si>
  <si>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</si>
  <si>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</si>
  <si>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</si>
  <si>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</si>
  <si>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</si>
  <si>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</si>
  <si>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</si>
  <si>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</si>
  <si>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</si>
  <si>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</si>
  <si>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</si>
  <si>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</si>
  <si>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</si>
  <si>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</si>
  <si>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</si>
  <si>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</si>
  <si>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</si>
  <si>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</si>
  <si>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</si>
  <si>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</si>
  <si>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</si>
  <si>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</si>
  <si>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</si>
  <si>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</si>
  <si>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</si>
  <si>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</si>
  <si>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</si>
  <si>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</si>
  <si>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</si>
  <si>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</si>
  <si>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</si>
  <si>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</si>
  <si>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</si>
  <si>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</si>
  <si>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</si>
  <si>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</si>
  <si>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</si>
  <si>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</si>
  <si>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</si>
  <si>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</si>
  <si>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</si>
  <si>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</si>
  <si>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</si>
  <si>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</si>
  <si>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</si>
  <si>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</si>
  <si>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</si>
  <si>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商业</t>
  </si>
  <si>
    <t>地上</t>
  </si>
  <si>
    <t>叠拼</t>
  </si>
  <si>
    <t>平层住宅</t>
  </si>
  <si>
    <t>地下</t>
  </si>
  <si>
    <t>仓储</t>
  </si>
  <si>
    <t>车库</t>
  </si>
  <si>
    <t>北地块经济技术指标</t>
  </si>
  <si>
    <t>数值</t>
  </si>
  <si>
    <t>单位</t>
  </si>
  <si>
    <t>备注</t>
  </si>
  <si>
    <t>总用地面积</t>
  </si>
  <si>
    <t>㎡</t>
  </si>
  <si>
    <t>总建筑面积</t>
  </si>
  <si>
    <t>计容建筑面积</t>
  </si>
  <si>
    <t>其中</t>
  </si>
  <si>
    <t>高层住宅</t>
  </si>
  <si>
    <t>18F高层</t>
  </si>
  <si>
    <t>4F叠拼</t>
  </si>
  <si>
    <t>配套建筑面积</t>
  </si>
  <si>
    <t>物业管理用房</t>
  </si>
  <si>
    <t>总建筑面积4‰</t>
  </si>
  <si>
    <t>社区公共服务中心</t>
  </si>
  <si>
    <t>社区居家养老服务用房</t>
  </si>
  <si>
    <t>30㎡/100户</t>
  </si>
  <si>
    <t>公厕</t>
  </si>
  <si>
    <t>垃圾房</t>
  </si>
  <si>
    <t>治安监控中心</t>
  </si>
  <si>
    <t>弱电机房</t>
  </si>
  <si>
    <t>门卫</t>
  </si>
  <si>
    <t>配电房开闭所</t>
  </si>
  <si>
    <t>商业建筑面积</t>
  </si>
  <si>
    <t>地下不计容建筑面积</t>
  </si>
  <si>
    <t>住宅地下室面积</t>
  </si>
  <si>
    <t>高层住宅地下室</t>
  </si>
  <si>
    <t>18F高层地下室</t>
  </si>
  <si>
    <t>叠拼地下室</t>
  </si>
  <si>
    <t>非人防车库面积</t>
  </si>
  <si>
    <t>人防车库面积</t>
  </si>
  <si>
    <t>建筑占地面积</t>
  </si>
  <si>
    <t>建筑密度</t>
  </si>
  <si>
    <t>-</t>
  </si>
  <si>
    <t>≤28%</t>
  </si>
  <si>
    <t>绿地率</t>
  </si>
  <si>
    <t>≥30%</t>
  </si>
  <si>
    <t>≤2.1</t>
  </si>
  <si>
    <t>总户数</t>
  </si>
  <si>
    <t>户</t>
  </si>
  <si>
    <t>机动车停车位</t>
  </si>
  <si>
    <t>个</t>
  </si>
  <si>
    <t>停车位（地上）</t>
  </si>
  <si>
    <t>停车位（地下）</t>
  </si>
  <si>
    <t>非机动车停车位</t>
  </si>
  <si>
    <t>高层仓储</t>
  </si>
  <si>
    <t>地下仓储</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</si>
  <si>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</si>
  <si>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</si>
  <si>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</si>
  <si>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</si>
  <si>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</si>
  <si>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</si>
  <si>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</si>
  <si>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</si>
  <si>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</si>
  <si>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</si>
  <si>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</si>
  <si>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</si>
  <si>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</si>
  <si>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海门市南海路北、瑞江路西侧</t>
  </si>
  <si>
    <t>南通市</t>
  </si>
  <si>
    <t>住宅用地</t>
  </si>
  <si>
    <t>大于或等于1.9并且小于或等于2.7</t>
  </si>
  <si>
    <t>挂牌</t>
  </si>
  <si>
    <t>2019-07-17</t>
  </si>
  <si>
    <t>龙信海悦置业(靖江)有限公司</t>
  </si>
  <si>
    <t>0星</t>
  </si>
  <si>
    <t>海门市南海路南、富江路东/长江路东、青西河北侧</t>
  </si>
  <si>
    <t>≥1.8,≤2</t>
  </si>
  <si>
    <t>2019-06-05</t>
  </si>
  <si>
    <t>海门市融辉置业有限公司、海门市海泰置业有限公司</t>
  </si>
  <si>
    <t>1星</t>
  </si>
  <si>
    <t>海门市南海路南、江海路东侧</t>
  </si>
  <si>
    <t>≥1.2,≤1.3</t>
  </si>
  <si>
    <t>2019-05-23</t>
  </si>
  <si>
    <t>南通中南新世界中心开发有限公司</t>
  </si>
  <si>
    <t>2星</t>
  </si>
  <si>
    <t>海门市苏州路南、新安江路东侧</t>
  </si>
  <si>
    <t>≥1.3,≤1.4</t>
  </si>
  <si>
    <t>2019-05-16</t>
  </si>
  <si>
    <t>江苏省江心沙农场有限公司</t>
  </si>
  <si>
    <t>海门市秀山路南、长江路西侧</t>
  </si>
  <si>
    <t>2019-03-20</t>
  </si>
  <si>
    <t>常乐镇官公河南侧</t>
  </si>
  <si>
    <t>＞1,≤1.4</t>
  </si>
  <si>
    <t>2019-02-13</t>
  </si>
  <si>
    <t>陈东</t>
  </si>
  <si>
    <t>海门工业园区新336线北、建安竖河西侧</t>
  </si>
  <si>
    <t>综合用地(含住宅)</t>
  </si>
  <si>
    <t>＞1.7,≤2</t>
  </si>
  <si>
    <t>2018-12-26</t>
  </si>
  <si>
    <t>江苏华夏纺谷实业发展有限公司</t>
  </si>
  <si>
    <t>海门工业园区海二路东、新凤中路北侧</t>
  </si>
  <si>
    <t>＞1.5,≤2.1</t>
  </si>
  <si>
    <t>2018-12-21</t>
  </si>
  <si>
    <t>江苏华夏纺古实业发展有限公司</t>
  </si>
  <si>
    <t>余东镇人民南路东、宇联科技南侧</t>
  </si>
  <si>
    <t>＞1,≤1.5</t>
  </si>
  <si>
    <t>海门凤城古镇保护开发有限公司</t>
  </si>
  <si>
    <t>正余镇岸桥路北侧</t>
  </si>
  <si>
    <t>＞1.5,≤1.9</t>
  </si>
  <si>
    <t>2018-11-16</t>
  </si>
  <si>
    <t>南通永昊达置业有限公司</t>
  </si>
  <si>
    <t>海门市珠江路东、十二号横河北侧</t>
  </si>
  <si>
    <t>≥1.4,≤1.55</t>
  </si>
  <si>
    <t>2018-09-25</t>
  </si>
  <si>
    <t>海门市沪海房地产发展公司</t>
  </si>
  <si>
    <t>3星</t>
  </si>
  <si>
    <t>海门港新区上海路东、日高河北侧</t>
  </si>
  <si>
    <t>2018-09-21</t>
  </si>
  <si>
    <t>南通汇鑫房地产开发有限公司</t>
  </si>
  <si>
    <t>海门港新区上海路东、纳潮河北侧</t>
  </si>
  <si>
    <t>＞1.7,≤2.2</t>
  </si>
  <si>
    <t>海门港新区发展大道南侧</t>
  </si>
  <si>
    <t>海门市秀山路南、江海路西侧</t>
  </si>
  <si>
    <t>1.5≤且≤1.6</t>
  </si>
  <si>
    <t>2018-09-19</t>
  </si>
  <si>
    <t>海门市城市发展有限公司</t>
  </si>
  <si>
    <t>海门港新区经二河西侧</t>
  </si>
  <si>
    <t>＞2,≤2.2</t>
  </si>
  <si>
    <t>2018-07-13</t>
  </si>
  <si>
    <t>海门市城市发展集团有限公司</t>
  </si>
  <si>
    <t>海门港新区海堤东侧</t>
  </si>
  <si>
    <t>海门港新区经二河西、舟山路南侧</t>
  </si>
  <si>
    <t>海门港新区海堤东、舟山路南侧</t>
  </si>
  <si>
    <t>≥2.35,≤2.45</t>
  </si>
  <si>
    <t>2018-07-12</t>
  </si>
  <si>
    <t>江苏中技天峰置业有限公司</t>
  </si>
  <si>
    <t>海门市长江路东、上海路北侧</t>
  </si>
  <si>
    <t>≥1.7,≤1.8</t>
  </si>
  <si>
    <t>2018-07-11</t>
  </si>
  <si>
    <t>保利地产南通有限公司</t>
  </si>
  <si>
    <t>海门市秀山路北侧、钟楼路西侧</t>
  </si>
  <si>
    <t>≥1.5,≤1.8</t>
  </si>
  <si>
    <t>2018-06-15</t>
  </si>
  <si>
    <t>南通市宏荣置业有限公司</t>
  </si>
  <si>
    <t>海门市岷江路东、创新路北侧</t>
  </si>
  <si>
    <t>≥1.5,≤1.6</t>
  </si>
  <si>
    <t>2018-06-13</t>
  </si>
  <si>
    <t>开发区青岛路南、牡丹江路东</t>
  </si>
  <si>
    <t>2018-06-07</t>
  </si>
  <si>
    <t>海门市狮山路西、河海路北侧</t>
  </si>
  <si>
    <t>海门市海赋建设开发有限公司</t>
  </si>
  <si>
    <t>海门市南京路南、海兴路西侧</t>
  </si>
  <si>
    <t>2018-03-30</t>
  </si>
  <si>
    <t>临江新区新建长江堤岸北侧1号地块</t>
  </si>
  <si>
    <t>＞1.0,≤1.6</t>
  </si>
  <si>
    <t>2018-03-08</t>
  </si>
  <si>
    <t>上海松绚置业有限公司</t>
  </si>
  <si>
    <t>开发区新安江路东、苏州路南侧</t>
  </si>
  <si>
    <t>2018-03-07</t>
  </si>
  <si>
    <t>开发区新安江路东、杭州路北侧</t>
  </si>
  <si>
    <t>≥1.35,≤1.45</t>
  </si>
  <si>
    <t>海门市杭州路北、长安路西</t>
  </si>
  <si>
    <t>≥1.01,≤1.1</t>
  </si>
  <si>
    <t>2018-01-31</t>
  </si>
  <si>
    <t>海门市长江路东、聚贤路北侧</t>
  </si>
  <si>
    <t>2017-12-14</t>
  </si>
  <si>
    <t>上海富利腾房地产开发有限公司*海门市融辉置业有限公司</t>
  </si>
  <si>
    <t>海门市长江路东、汇智路南侧</t>
  </si>
  <si>
    <t>2017-12-13</t>
  </si>
  <si>
    <t>上海重万置业有限公司</t>
  </si>
  <si>
    <t>三厂工业园区振兴路南侧、钟楼路东侧</t>
  </si>
  <si>
    <t>2017-10-26</t>
  </si>
  <si>
    <t>海门市鸿业建设投资有限公司</t>
  </si>
  <si>
    <t>海门市南海路北、江海路西侧</t>
  </si>
  <si>
    <t>≥2,≤2.1</t>
  </si>
  <si>
    <t>2017-10-20</t>
  </si>
  <si>
    <t>海门中南新锦信房地产开发有限公司</t>
  </si>
  <si>
    <t>正余镇汤正公路西、正余卫生院南侧</t>
  </si>
  <si>
    <t>＞1.5,≤3.1</t>
  </si>
  <si>
    <t>2017-09-06</t>
  </si>
  <si>
    <t>海门澳新置业发展有限公司</t>
  </si>
  <si>
    <t>开发区立新河西侧、老江堤南侧</t>
  </si>
  <si>
    <t>≥1.8,≤2.5</t>
  </si>
  <si>
    <t>2017-07-05</t>
  </si>
  <si>
    <t>江苏长江口开发集团有限公司</t>
  </si>
  <si>
    <t>海门市南海路南、瑞江路西侧</t>
  </si>
  <si>
    <t>≥2.1,≤2.15</t>
  </si>
  <si>
    <t>2017-06-15</t>
  </si>
  <si>
    <t>光华置业集团有限公司海门分公司</t>
  </si>
  <si>
    <t>三厂工业园区秀山路北、为民路西侧</t>
  </si>
  <si>
    <t>≥1.6,≤1.7</t>
  </si>
  <si>
    <t>2017-06-02</t>
  </si>
  <si>
    <t>海门市开发区立新河西侧、老江堤南侧</t>
  </si>
  <si>
    <t>2017-04-28</t>
  </si>
  <si>
    <t>悦来镇规划经四支路交界处、新城路南侧</t>
  </si>
  <si>
    <t>＞1,≤1.9</t>
  </si>
  <si>
    <t>2017-03-15</t>
  </si>
  <si>
    <t>南通市乐悦实业有限公司</t>
  </si>
  <si>
    <t>悦来镇规划经四支路交界处、新城路北侧</t>
  </si>
  <si>
    <t>海门市开发区青岛路南、牡丹江路东</t>
  </si>
  <si>
    <t>≥1.7且≤1.8</t>
  </si>
  <si>
    <t>2017-02-22</t>
  </si>
  <si>
    <t>四甲镇发展路北侧</t>
  </si>
  <si>
    <t>＞1.2且≤2</t>
  </si>
  <si>
    <t>2017-01-18</t>
  </si>
  <si>
    <t>南通甲秀建设开发有限公司</t>
  </si>
  <si>
    <t>四甲镇掘青公路东侧</t>
  </si>
  <si>
    <t>＞1且≤2.2</t>
  </si>
  <si>
    <t>2016-12-30</t>
  </si>
  <si>
    <t>南通舜泰投资有限公司</t>
  </si>
  <si>
    <t>临江新区新建长江堤岸北侧2-4号地块</t>
  </si>
  <si>
    <t>＞1且≤2.5</t>
  </si>
  <si>
    <t>2016-12-22</t>
  </si>
  <si>
    <t>海门科技园发展有限公司</t>
  </si>
  <si>
    <t>高速路</t>
    <phoneticPr fontId="3" type="noConversion"/>
  </si>
  <si>
    <t>主干道</t>
    <phoneticPr fontId="3" type="noConversion"/>
  </si>
  <si>
    <t>次干道</t>
    <phoneticPr fontId="3" type="noConversion"/>
  </si>
  <si>
    <t>支路</t>
    <phoneticPr fontId="3" type="noConversion"/>
  </si>
  <si>
    <t>较规则</t>
    <phoneticPr fontId="3" type="noConversion"/>
  </si>
  <si>
    <t>较适宜</t>
    <phoneticPr fontId="3" type="noConversion"/>
  </si>
  <si>
    <t>六通一平</t>
    <phoneticPr fontId="3" type="noConversion"/>
  </si>
  <si>
    <t>五通一平</t>
    <phoneticPr fontId="3" type="noConversion"/>
  </si>
  <si>
    <t>四通一平</t>
    <phoneticPr fontId="3" type="noConversion"/>
  </si>
  <si>
    <t>三通一平</t>
    <phoneticPr fontId="3" type="noConversion"/>
  </si>
  <si>
    <t>较好</t>
    <phoneticPr fontId="3" type="noConversion"/>
  </si>
  <si>
    <t>正常</t>
  </si>
  <si>
    <t>一般</t>
  </si>
  <si>
    <t>较好</t>
  </si>
  <si>
    <t>六通</t>
  </si>
  <si>
    <t>较规则</t>
  </si>
  <si>
    <t>三通一平</t>
  </si>
  <si>
    <t>红海都会</t>
    <phoneticPr fontId="3" type="noConversion"/>
  </si>
  <si>
    <t>精装</t>
    <phoneticPr fontId="3" type="noConversion"/>
  </si>
  <si>
    <t>简装</t>
    <phoneticPr fontId="3" type="noConversion"/>
  </si>
  <si>
    <t>毛坯</t>
    <phoneticPr fontId="3" type="noConversion"/>
  </si>
  <si>
    <t>钢混</t>
  </si>
  <si>
    <t>钢混</t>
    <phoneticPr fontId="228" type="noConversion"/>
  </si>
  <si>
    <t>高端</t>
    <phoneticPr fontId="228" type="noConversion"/>
  </si>
  <si>
    <t>中端</t>
    <phoneticPr fontId="228" type="noConversion"/>
  </si>
  <si>
    <t>低端</t>
    <phoneticPr fontId="228" type="noConversion"/>
  </si>
  <si>
    <t>专业</t>
  </si>
  <si>
    <t>专业</t>
    <phoneticPr fontId="228" type="noConversion"/>
  </si>
  <si>
    <t>普通</t>
    <phoneticPr fontId="228" type="noConversion"/>
  </si>
  <si>
    <t>七通</t>
    <phoneticPr fontId="228" type="noConversion"/>
  </si>
  <si>
    <t>六通</t>
    <phoneticPr fontId="228" type="noConversion"/>
  </si>
  <si>
    <t>五通</t>
    <phoneticPr fontId="228" type="noConversion"/>
  </si>
  <si>
    <t>高层</t>
  </si>
  <si>
    <t>洋房</t>
  </si>
  <si>
    <t>洋房</t>
    <phoneticPr fontId="228" type="noConversion"/>
  </si>
  <si>
    <t>高层</t>
    <phoneticPr fontId="228" type="noConversion"/>
  </si>
  <si>
    <t>叠拼</t>
    <phoneticPr fontId="228" type="noConversion"/>
  </si>
  <si>
    <t>精装</t>
  </si>
  <si>
    <t>钢混</t>
    <phoneticPr fontId="21" type="noConversion"/>
  </si>
  <si>
    <t>熙悦天玺</t>
    <phoneticPr fontId="3" type="noConversion"/>
  </si>
  <si>
    <t>自定义</t>
  </si>
  <si>
    <t>按租金收入计税</t>
  </si>
  <si>
    <r>
      <rPr>
        <sz val="11"/>
        <color theme="1"/>
        <rFont val="宋体"/>
        <family val="3"/>
        <charset val="134"/>
      </rPr>
      <t>不动产收益法</t>
    </r>
    <r>
      <rPr>
        <sz val="11"/>
        <color theme="1"/>
        <rFont val="Arial"/>
        <family val="2"/>
      </rPr>
      <t xml:space="preserve"> (</t>
    </r>
    <r>
      <rPr>
        <sz val="11"/>
        <color theme="1"/>
        <rFont val="宋体"/>
        <family val="3"/>
        <charset val="134"/>
      </rPr>
      <t>高层仓促</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</si>
  <si>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</si>
  <si>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t>
  </si>
  <si>
    <t>不动产收益法 (车库)</t>
  </si>
  <si>
    <t>不动产收益法 (高层仓促)</t>
  </si>
  <si>
    <t>比较法-住宅、综合</t>
  </si>
  <si>
    <t>剩余法-待开发</t>
  </si>
  <si>
    <t>楼面地价</t>
  </si>
  <si>
    <t>土地（套用方法）</t>
  </si>
  <si>
    <t>高端</t>
  </si>
  <si>
    <t>毛坯</t>
  </si>
  <si>
    <t>售价</t>
  </si>
  <si>
    <t>60-70（含）</t>
  </si>
  <si>
    <t>赠送地下</t>
    <phoneticPr fontId="228" type="noConversion"/>
  </si>
  <si>
    <t>有</t>
    <phoneticPr fontId="228" type="noConversion"/>
  </si>
  <si>
    <t>有</t>
    <phoneticPr fontId="228" type="noConversion"/>
  </si>
  <si>
    <t>无</t>
    <phoneticPr fontId="228" type="noConversion"/>
  </si>
  <si>
    <t>无</t>
    <phoneticPr fontId="228" type="noConversion"/>
  </si>
  <si>
    <t>保利天禧</t>
    <phoneticPr fontId="3" type="noConversion"/>
  </si>
  <si>
    <t>抵押价格</t>
  </si>
  <si>
    <t>较差</t>
  </si>
  <si>
    <t>叠拼仓储</t>
  </si>
  <si>
    <t>叠拼仓储</t>
    <phoneticPr fontId="7" type="noConversion"/>
  </si>
  <si>
    <t>海门市东海路南、通江路东侧/东海路南、新开河西侧</t>
    <phoneticPr fontId="228" type="noConversion"/>
  </si>
  <si>
    <t>海门港新区舟山路南侧</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</si>
</sst>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b/>
      <sz val="14"/>
      <color theme="0"/>
      <name val="宋体"/>
      <family val="3"/>
      <charset val="134"/>
      <scheme val="minor"/>
    </font>
    <font>
      <sz val="14"/>
      <color theme="1"/>
      <name val="宋体"/>
      <family val="2"/>
      <charset val="134"/>
      <scheme val="minor"/>
    </font>
    <font>
      <sz val="14"/>
      <color theme="1"/>
      <name val="宋体"/>
      <family val="3"/>
      <charset val="134"/>
      <scheme val="minor"/>
    </font>
    <font>
      <sz val="14"/>
      <color theme="1"/>
      <name val="宋体"/>
      <family val="3"/>
      <charset val="134"/>
    </font>
    <font>
      <sz val="14"/>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theme="4" tint="-0.49998474074526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cellStyleXfs>
  <cellXfs count="35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83" fontId="78" fillId="18" borderId="2" xfId="0" applyNumberFormat="1" applyFont="1" applyFill="1" applyBorder="1" applyAlignment="1" applyProtection="1">
      <alignment horizontal="center" vertical="center" shrinkToFit="1"/>
      <protection locked="0"/>
    </xf>
    <xf numFmtId="0" fontId="277" fillId="8" borderId="2" xfId="0" applyFont="1" applyFill="1" applyBorder="1" applyAlignment="1">
      <alignment horizontal="center" vertical="center"/>
    </xf>
    <xf numFmtId="176" fontId="277" fillId="8" borderId="2" xfId="0" applyNumberFormat="1" applyFont="1" applyFill="1" applyBorder="1" applyAlignment="1">
      <alignment horizontal="center" vertical="center"/>
    </xf>
    <xf numFmtId="0" fontId="277" fillId="8" borderId="2" xfId="0" applyFont="1" applyFill="1" applyBorder="1" applyAlignment="1">
      <alignment horizontal="center" vertical="center" wrapText="1"/>
    </xf>
    <xf numFmtId="179" fontId="277" fillId="8" borderId="2" xfId="0" applyNumberFormat="1" applyFont="1" applyFill="1" applyBorder="1" applyAlignment="1">
      <alignment horizontal="center" vertical="center"/>
    </xf>
    <xf numFmtId="10" fontId="277" fillId="8" borderId="2" xfId="0" applyNumberFormat="1" applyFont="1" applyFill="1" applyBorder="1" applyAlignment="1">
      <alignment horizontal="center" vertical="center"/>
    </xf>
    <xf numFmtId="176" fontId="277" fillId="8" borderId="2" xfId="0" applyNumberFormat="1" applyFont="1" applyFill="1" applyBorder="1" applyAlignment="1">
      <alignment horizontal="center" vertical="center" wrapText="1"/>
    </xf>
    <xf numFmtId="0" fontId="276" fillId="0" borderId="2" xfId="0" applyFont="1" applyBorder="1" applyAlignment="1">
      <alignment horizontal="center" vertical="center"/>
    </xf>
    <xf numFmtId="176" fontId="276" fillId="8" borderId="2" xfId="0" applyNumberFormat="1" applyFont="1" applyFill="1" applyBorder="1" applyAlignment="1">
      <alignment horizontal="center" vertical="center"/>
    </xf>
    <xf numFmtId="10" fontId="277" fillId="8" borderId="2" xfId="16" applyNumberFormat="1" applyFont="1" applyFill="1" applyBorder="1" applyAlignment="1">
      <alignment horizontal="center" vertical="center"/>
    </xf>
    <xf numFmtId="0" fontId="278" fillId="8" borderId="2" xfId="6" applyFont="1" applyFill="1" applyBorder="1" applyAlignment="1">
      <alignment horizontal="center" vertical="center"/>
    </xf>
    <xf numFmtId="0" fontId="277" fillId="8" borderId="2" xfId="0" applyFont="1" applyFill="1" applyBorder="1">
      <alignment vertical="center"/>
    </xf>
    <xf numFmtId="10" fontId="276" fillId="8" borderId="2" xfId="16" applyNumberFormat="1" applyFont="1" applyFill="1" applyBorder="1" applyAlignment="1">
      <alignment horizontal="center" vertical="center"/>
    </xf>
    <xf numFmtId="0" fontId="276" fillId="8" borderId="2" xfId="0" applyFont="1" applyFill="1" applyBorder="1" applyAlignment="1">
      <alignment horizontal="center" vertical="center"/>
    </xf>
    <xf numFmtId="2" fontId="277" fillId="8" borderId="2" xfId="0" applyNumberFormat="1" applyFont="1" applyFill="1" applyBorder="1" applyAlignment="1">
      <alignment horizontal="center" vertical="center"/>
    </xf>
    <xf numFmtId="177" fontId="277" fillId="8" borderId="2" xfId="0" applyNumberFormat="1" applyFont="1" applyFill="1" applyBorder="1" applyAlignment="1">
      <alignment horizontal="center" vertical="center"/>
    </xf>
    <xf numFmtId="9" fontId="277" fillId="8" borderId="2" xfId="0" applyNumberFormat="1" applyFont="1" applyFill="1" applyBorder="1" applyAlignment="1">
      <alignment horizontal="center" vertical="center"/>
    </xf>
    <xf numFmtId="0" fontId="279" fillId="0" borderId="2" xfId="0" applyFont="1" applyBorder="1" applyAlignment="1">
      <alignment horizontal="center" vertical="center"/>
    </xf>
    <xf numFmtId="0" fontId="0" fillId="6" borderId="0" xfId="0" applyFill="1" applyAlignment="1"/>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6" fontId="11" fillId="6" borderId="2" xfId="0" applyNumberFormat="1" applyFont="1" applyFill="1" applyBorder="1" applyAlignment="1" applyProtection="1">
      <alignment horizontal="center" vertical="center" wrapText="1"/>
      <protection locked="0"/>
    </xf>
    <xf numFmtId="177" fontId="76" fillId="18" borderId="2" xfId="2" applyNumberFormat="1" applyFont="1" applyFill="1" applyBorder="1" applyAlignment="1" applyProtection="1">
      <alignment horizontal="center" vertical="center"/>
      <protection locked="0"/>
    </xf>
    <xf numFmtId="177" fontId="71"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9" fontId="71" fillId="18" borderId="5" xfId="0" applyNumberFormat="1" applyFont="1" applyFill="1" applyBorder="1" applyAlignment="1" applyProtection="1">
      <alignment horizontal="center" vertical="center"/>
      <protection locked="0"/>
    </xf>
    <xf numFmtId="0" fontId="71" fillId="6" borderId="11" xfId="0" applyFont="1" applyFill="1" applyBorder="1" applyAlignment="1" applyProtection="1">
      <alignment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7" fillId="8" borderId="2" xfId="0" applyFont="1" applyFill="1" applyBorder="1" applyAlignment="1">
      <alignment horizontal="center" vertical="center"/>
    </xf>
    <xf numFmtId="0" fontId="279" fillId="0" borderId="2" xfId="0" applyFont="1" applyBorder="1" applyAlignment="1">
      <alignment horizontal="center" vertical="center"/>
    </xf>
    <xf numFmtId="0" fontId="277" fillId="8" borderId="5" xfId="0" applyFont="1" applyFill="1" applyBorder="1" applyAlignment="1">
      <alignment horizontal="center" vertical="center"/>
    </xf>
    <xf numFmtId="0" fontId="277" fillId="8" borderId="9" xfId="0" applyFont="1" applyFill="1" applyBorder="1" applyAlignment="1">
      <alignment horizontal="center" vertical="center"/>
    </xf>
    <xf numFmtId="0" fontId="277" fillId="8" borderId="10" xfId="0" applyFont="1" applyFill="1" applyBorder="1" applyAlignment="1">
      <alignment horizontal="center" vertical="center"/>
    </xf>
    <xf numFmtId="0" fontId="277" fillId="8" borderId="3" xfId="0" applyFont="1" applyFill="1" applyBorder="1" applyAlignment="1">
      <alignment horizontal="center" vertical="center"/>
    </xf>
    <xf numFmtId="0" fontId="277" fillId="8" borderId="21" xfId="0" applyFont="1" applyFill="1" applyBorder="1" applyAlignment="1">
      <alignment horizontal="center" vertical="center"/>
    </xf>
    <xf numFmtId="0" fontId="276" fillId="8" borderId="10" xfId="0" applyFont="1" applyFill="1" applyBorder="1" applyAlignment="1">
      <alignment horizontal="center" vertical="center"/>
    </xf>
    <xf numFmtId="0" fontId="276" fillId="8" borderId="3" xfId="0" applyFont="1" applyFill="1" applyBorder="1" applyAlignment="1">
      <alignment horizontal="center" vertical="center"/>
    </xf>
    <xf numFmtId="0" fontId="276" fillId="8" borderId="21" xfId="0" applyFont="1" applyFill="1" applyBorder="1" applyAlignment="1">
      <alignment horizontal="center" vertical="center"/>
    </xf>
    <xf numFmtId="0" fontId="275" fillId="19" borderId="2" xfId="0" applyFont="1" applyFill="1" applyBorder="1" applyAlignment="1">
      <alignment horizontal="center" vertical="center" wrapText="1"/>
    </xf>
    <xf numFmtId="0" fontId="276" fillId="19" borderId="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9" fontId="71" fillId="0" borderId="0" xfId="0" applyNumberFormat="1" applyFont="1" applyProtection="1">
      <alignment vertical="center"/>
      <protection locked="0"/>
    </xf>
    <xf numFmtId="177" fontId="81" fillId="0" borderId="2" xfId="2" applyNumberFormat="1" applyFont="1" applyFill="1" applyBorder="1" applyAlignment="1" applyProtection="1">
      <alignment vertical="center"/>
      <protection locked="0"/>
    </xf>
    <xf numFmtId="0" fontId="145" fillId="0" borderId="0" xfId="0" applyFont="1" applyAlignment="1"/>
    <xf numFmtId="177" fontId="11" fillId="0" borderId="0" xfId="2" applyNumberFormat="1" applyFont="1" applyFill="1" applyBorder="1" applyAlignment="1" applyProtection="1">
      <alignment vertical="center"/>
      <protection locked="0" hidden="1"/>
    </xf>
    <xf numFmtId="181" fontId="76" fillId="0" borderId="0" xfId="16" applyNumberFormat="1" applyFont="1" applyProtection="1">
      <alignment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5</xdr:col>
      <xdr:colOff>980162</xdr:colOff>
      <xdr:row>86</xdr:row>
      <xdr:rowOff>65938</xdr:rowOff>
    </xdr:to>
    <xdr:pic>
      <xdr:nvPicPr>
        <xdr:cNvPr id="2" name="图片 1"/>
        <xdr:cNvPicPr>
          <a:picLocks noChangeAspect="1"/>
        </xdr:cNvPicPr>
      </xdr:nvPicPr>
      <xdr:blipFill>
        <a:blip xmlns:r="http://schemas.openxmlformats.org/officeDocument/2006/relationships" r:embed="rId1"/>
        <a:stretch>
          <a:fillRect/>
        </a:stretch>
      </xdr:blipFill>
      <xdr:spPr>
        <a:xfrm>
          <a:off x="3028950" y="8915400"/>
          <a:ext cx="7304762" cy="5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4920;&#21335;&#22320;&#2235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1335;&#36890;&#28023;&#38376;&#20303;&#23429;-&#21271;&#22320;&#2235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Sheet5"/>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住宅 (叠拼)"/>
      <sheetName val="不动产收益法"/>
      <sheetName val="不动产收益法 (高层仓库)"/>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铺 仓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95894</v>
          </cell>
          <cell r="E3">
            <v>198178.55000000002</v>
          </cell>
        </row>
      </sheetData>
      <sheetData sheetId="14"/>
      <sheetData sheetId="15"/>
      <sheetData sheetId="16"/>
      <sheetData sheetId="17">
        <row r="19">
          <cell r="G19">
            <v>68243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剩余法-现房"/>
      <sheetName val="Sheet4"/>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Sheet1"/>
      <sheetName val="剩余法-待开发"/>
      <sheetName val="不动产比较法-住宅 (叠拼)"/>
      <sheetName val="不动产比较法-住宅"/>
      <sheetName val="不动产比较法-商业"/>
      <sheetName val="不动产比较法-办公"/>
      <sheetName val="不动产比较法-工业"/>
      <sheetName val="不动产比较法-车位"/>
      <sheetName val="不动产比较法-仓储"/>
      <sheetName val="存贷款利率"/>
      <sheetName val="不动产收益法 (车库)"/>
      <sheetName val="不动产收益法 (高层仓促)"/>
      <sheetName val="不动产收益法"/>
      <sheetName val="土地案例"/>
    </sheetNames>
    <sheetDataSet>
      <sheetData sheetId="0"/>
      <sheetData sheetId="1"/>
      <sheetData sheetId="2"/>
      <sheetData sheetId="3"/>
      <sheetData sheetId="4"/>
      <sheetData sheetId="5"/>
      <sheetData sheetId="6"/>
      <sheetData sheetId="7"/>
      <sheetData sheetId="8"/>
      <sheetData sheetId="9">
        <row r="13">
          <cell r="B13" t="str">
            <v>城镇住宅用地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105380平方米。根据《建设工程规划许可证》[]、《出让合同》[]，估价对象规划建筑面积为302223.06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2019年7月26日（评估专业人员勘察现场之日）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根据《国有土地使用证》[]，估价对象（分摊）出让国有建设用地使用权面积为105380平方米。根据《建设工程规划许可证》[]、《出让合同》[]，估价对象规划建筑面积为302223.06平方米。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15日、商业2059年8月15日地下车库2069年8月15日、地下仓储2069年8月15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7月26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估价期日：2019年7月26日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105380</v>
      </c>
    </row>
    <row r="44" spans="1:2">
      <c r="A44" s="2833" t="s">
        <v>2740</v>
      </c>
      <c r="B44" s="2834" t="str">
        <f>'预评函-2'!O3</f>
        <v>规划建筑面积/㎡</v>
      </c>
    </row>
    <row r="45" spans="1:2">
      <c r="A45" s="2833" t="s">
        <v>2722</v>
      </c>
      <c r="B45" s="2834">
        <f>'预评函-2'!O5</f>
        <v>302223.06</v>
      </c>
    </row>
    <row r="46" spans="1:2">
      <c r="A46" s="2833" t="s">
        <v>2723</v>
      </c>
      <c r="B46" s="2834">
        <f ca="1">'预评函-2'!P5</f>
        <v>9668</v>
      </c>
    </row>
    <row r="47" spans="1:2">
      <c r="A47" s="2833" t="s">
        <v>2724</v>
      </c>
      <c r="B47" s="2834">
        <f ca="1">'预评函-2'!Q5</f>
        <v>3371</v>
      </c>
    </row>
    <row r="48" spans="1:2">
      <c r="A48" s="2833" t="s">
        <v>2725</v>
      </c>
      <c r="B48" s="2834">
        <f ca="1">'预评函-2'!R5</f>
        <v>101882</v>
      </c>
    </row>
    <row r="49" spans="1:2">
      <c r="A49" s="2833" t="s">
        <v>2741</v>
      </c>
      <c r="B49" s="2834" t="str">
        <f>'预评函-2'!A6</f>
        <v>抵押价格</v>
      </c>
    </row>
    <row r="50" spans="1:2">
      <c r="A50" s="2833" t="s">
        <v>2726</v>
      </c>
      <c r="B50" s="2834">
        <f ca="1">'预评函-2'!R6</f>
        <v>101882</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56" t="str">
        <f>IF(B10="北京市","北京市",C10)&amp;F10&amp;B16&amp;"国有建设用地使用权"&amp;B9&amp;"预评估"</f>
        <v>出让国有建设用地使用权预评估</v>
      </c>
      <c r="C1" s="3257"/>
      <c r="D1" s="3257"/>
      <c r="E1" s="3257"/>
      <c r="F1" s="3257"/>
      <c r="G1" s="3257"/>
      <c r="H1" s="3257"/>
      <c r="I1" s="3258"/>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43672</v>
      </c>
      <c r="C3" s="1647" t="s">
        <v>1995</v>
      </c>
      <c r="D3" s="1646">
        <v>43672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62" t="s">
        <v>1944</v>
      </c>
      <c r="E8" s="1828" t="s">
        <v>3275</v>
      </c>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63"/>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59"/>
      <c r="C12" s="3260"/>
      <c r="D12" s="3261"/>
      <c r="E12" s="1683" t="s">
        <v>2061</v>
      </c>
      <c r="F12" s="3277" t="s">
        <v>2890</v>
      </c>
      <c r="G12" s="3278"/>
      <c r="H12" s="3278"/>
      <c r="I12" s="3279"/>
      <c r="J12" s="1678"/>
      <c r="K12" s="1758"/>
      <c r="L12" s="1707"/>
      <c r="M12" s="1707"/>
      <c r="N12" s="1678"/>
      <c r="O12" s="1679"/>
      <c r="P12" s="1678"/>
      <c r="Q12" s="1678"/>
      <c r="R12" s="1678"/>
      <c r="S12" s="1678"/>
      <c r="T12" s="1678"/>
      <c r="U12" s="1678"/>
    </row>
    <row r="13" spans="1:21">
      <c r="A13" s="1671" t="s">
        <v>2059</v>
      </c>
      <c r="B13" s="3259"/>
      <c r="C13" s="3260"/>
      <c r="D13" s="3261"/>
      <c r="E13" s="1683" t="s">
        <v>2061</v>
      </c>
      <c r="F13" s="3277" t="s">
        <v>2891</v>
      </c>
      <c r="G13" s="3278"/>
      <c r="H13" s="3278"/>
      <c r="I13" s="3279"/>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2999</v>
      </c>
      <c r="F16" s="1706"/>
      <c r="G16" s="1706" t="s">
        <v>35</v>
      </c>
      <c r="H16" s="1706" t="s">
        <v>3053</v>
      </c>
      <c r="I16" s="1670" t="s">
        <v>1954</v>
      </c>
      <c r="J16" s="1678"/>
      <c r="K16" s="2420" t="str">
        <f>IF(D17="","",D16&amp;TEXT(D17,"yyyy年m月d日;;"))</f>
        <v>住宅2089年8月15日</v>
      </c>
      <c r="L16" s="1683" t="str">
        <f>IF(OR(K16="",M16=""),"","、")</f>
        <v>、</v>
      </c>
      <c r="M16" s="2420" t="str">
        <f>IF(E17="","",E16&amp;TEXT(E17,"yyyy年m月d日;;"))</f>
        <v>商业2059年8月15日</v>
      </c>
      <c r="N16" s="1683" t="str">
        <f>IF(OR(M16="",O16=""),"","、")</f>
        <v/>
      </c>
      <c r="O16" s="2420" t="str">
        <f>IF(F17="","",F16&amp;TEXT(F17,"yyyy年m月d日;;"))</f>
        <v/>
      </c>
      <c r="P16" s="1683" t="str">
        <f>IF(OR(O16="",Q16=""),"","、")</f>
        <v/>
      </c>
      <c r="Q16" s="2420" t="str">
        <f>IF(G17="","",G16&amp;TEXT(G17,"yyyy年m月d日;;"))</f>
        <v>地下车库2069年8月15日</v>
      </c>
      <c r="R16" s="1683" t="str">
        <f>IF(OR(Q16="",S16=""),"","、")</f>
        <v>、</v>
      </c>
      <c r="S16" s="2420" t="str">
        <f>IF(H17="","",H16&amp;TEXT(H17,"yyyy年m月d日;;"))</f>
        <v>地下仓储2069年8月15日</v>
      </c>
      <c r="T16" s="1683" t="str">
        <f>IF(OR(S16="",U16=""),"","、")</f>
        <v/>
      </c>
      <c r="U16" s="2420" t="str">
        <f>IF(I17="","",I16&amp;TEXT(I17,"yyyy年m月d日;;"))</f>
        <v/>
      </c>
    </row>
    <row r="17" spans="1:21">
      <c r="A17" s="1747"/>
      <c r="B17" s="1666"/>
      <c r="C17" s="1667" t="s">
        <v>1955</v>
      </c>
      <c r="D17" s="3196">
        <v>69260</v>
      </c>
      <c r="E17" s="1684">
        <v>58302</v>
      </c>
      <c r="F17" s="1684"/>
      <c r="G17" s="1684">
        <v>61955</v>
      </c>
      <c r="H17" s="1684">
        <v>61955</v>
      </c>
      <c r="I17" s="1684"/>
      <c r="J17" s="1678"/>
      <c r="K17" s="2419" t="str">
        <f>CONCATENATE(K16,L16,M16,N16,O16,P16,Q16,R16,S16,T16,,U16)</f>
        <v>住宅2089年8月15日、商业2059年8月15日地下车库2069年8月15日、地下仓储2069年8月15日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v>50</v>
      </c>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f>IF(B16="出让",IF(G17="","",ROUNDDOWN(MIN((G17-$D$3)/365,G18),2)),G18)</f>
        <v>50</v>
      </c>
      <c r="H19" s="1669">
        <f>IF(B16="出让",IF(H17="","",ROUNDDOWN(MIN((H17-$D$3)/365,H18),2)),H18)</f>
        <v>50</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74"/>
      <c r="E20" s="3275"/>
      <c r="F20" s="3275"/>
      <c r="G20" s="3275"/>
      <c r="H20" s="3275"/>
      <c r="I20" s="3276"/>
      <c r="J20" s="1678"/>
      <c r="K20" s="1758"/>
      <c r="L20" s="1707"/>
      <c r="M20" s="1707"/>
      <c r="N20" s="1678"/>
      <c r="O20" s="1679"/>
      <c r="P20" s="1678"/>
      <c r="Q20" s="1678"/>
      <c r="R20" s="1678"/>
      <c r="S20" s="1678"/>
      <c r="T20" s="1678"/>
      <c r="U20" s="1678"/>
    </row>
    <row r="21" spans="1:21">
      <c r="A21" s="1747" t="s">
        <v>1958</v>
      </c>
      <c r="B21" s="1748" t="s">
        <v>1959</v>
      </c>
      <c r="C21" s="1743">
        <f>'数据-汇总表'!E3</f>
        <v>302223.06</v>
      </c>
      <c r="D21" s="1744" t="s">
        <v>1960</v>
      </c>
      <c r="E21" s="3264" t="s">
        <v>1998</v>
      </c>
      <c r="F21" s="3265"/>
      <c r="G21" s="3265"/>
      <c r="H21" s="3265"/>
      <c r="I21" s="3266"/>
      <c r="J21" s="1678"/>
      <c r="K21" s="1758"/>
      <c r="L21" s="1707"/>
      <c r="M21" s="1707"/>
      <c r="N21" s="1678"/>
      <c r="O21" s="1679"/>
      <c r="P21" s="1678"/>
      <c r="Q21" s="1678"/>
      <c r="R21" s="1678"/>
      <c r="S21" s="1678"/>
      <c r="T21" s="1678"/>
      <c r="U21" s="1678"/>
    </row>
    <row r="22" spans="1:21">
      <c r="A22" s="3096" t="s">
        <v>952</v>
      </c>
      <c r="B22" s="1645" t="s">
        <v>1961</v>
      </c>
      <c r="C22" s="1670">
        <f>'数据-汇总表'!D3</f>
        <v>105380</v>
      </c>
      <c r="D22" s="1671" t="s">
        <v>1960</v>
      </c>
      <c r="E22" s="3264" t="s">
        <v>2892</v>
      </c>
      <c r="F22" s="3265"/>
      <c r="G22" s="3265"/>
      <c r="H22" s="3265"/>
      <c r="I22" s="3266"/>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67" t="s">
        <v>1966</v>
      </c>
      <c r="C24" s="3268"/>
      <c r="D24" s="3269" t="s">
        <v>1967</v>
      </c>
      <c r="E24" s="3270"/>
      <c r="F24" s="1692" t="s">
        <v>1968</v>
      </c>
      <c r="G24" s="1678"/>
      <c r="H24" s="1678"/>
      <c r="I24" s="1691"/>
      <c r="J24" s="1678"/>
      <c r="K24" s="3255"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5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5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82" t="s">
        <v>2001</v>
      </c>
      <c r="B31" s="1748" t="s">
        <v>2002</v>
      </c>
      <c r="C31" s="3280"/>
      <c r="D31" s="3281"/>
      <c r="E31" s="1678"/>
      <c r="F31" s="1678"/>
      <c r="G31" s="1678"/>
      <c r="H31" s="1678"/>
      <c r="I31" s="1691"/>
      <c r="J31" s="1678"/>
      <c r="K31" s="2422"/>
      <c r="L31" s="1678"/>
      <c r="M31" s="1678"/>
      <c r="N31" s="1678"/>
      <c r="O31" s="1678"/>
      <c r="P31" s="1678"/>
      <c r="Q31" s="1678"/>
      <c r="R31" s="1678"/>
      <c r="S31" s="1678"/>
      <c r="T31" s="1678"/>
      <c r="U31" s="1678"/>
    </row>
    <row r="32" spans="1:21">
      <c r="A32" s="3282"/>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2"/>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3"/>
      <c r="B34" s="1645" t="s">
        <v>2005</v>
      </c>
      <c r="C34" s="3284"/>
      <c r="D34" s="3285"/>
      <c r="E34" s="1678"/>
      <c r="F34" s="1678"/>
      <c r="G34" s="1678"/>
      <c r="H34" s="1678"/>
      <c r="I34" s="1691"/>
      <c r="J34" s="1678"/>
      <c r="K34" s="2422"/>
      <c r="L34" s="1678"/>
      <c r="M34" s="1678"/>
      <c r="N34" s="1678"/>
      <c r="O34" s="1678"/>
      <c r="P34" s="1678"/>
      <c r="Q34" s="1678"/>
      <c r="R34" s="1678"/>
      <c r="S34" s="1678"/>
      <c r="T34" s="1678"/>
      <c r="U34" s="1678"/>
    </row>
    <row r="35" spans="1:21">
      <c r="A35" s="3286" t="s">
        <v>847</v>
      </c>
      <c r="B35" s="1706"/>
      <c r="C35" s="1760" t="str">
        <f>IF(B35="场地平整","——","具体情况：")</f>
        <v>具体情况：</v>
      </c>
      <c r="D35" s="3288"/>
      <c r="E35" s="3289"/>
      <c r="F35" s="3289"/>
      <c r="G35" s="3289"/>
      <c r="H35" s="3289"/>
      <c r="I35" s="3290"/>
      <c r="J35" s="1678"/>
      <c r="K35" s="1759"/>
      <c r="L35" s="1707"/>
      <c r="M35" s="1707"/>
      <c r="N35" s="1678"/>
      <c r="O35" s="1679"/>
      <c r="P35" s="1678"/>
      <c r="Q35" s="1678"/>
      <c r="R35" s="1678"/>
      <c r="S35" s="1678"/>
      <c r="T35" s="1678"/>
      <c r="U35" s="1678"/>
    </row>
    <row r="36" spans="1:21">
      <c r="A36" s="3282"/>
      <c r="B36" s="3291" t="s">
        <v>2054</v>
      </c>
      <c r="C36" s="3292"/>
      <c r="D36" s="1776"/>
      <c r="E36" s="3293"/>
      <c r="F36" s="3293"/>
      <c r="G36" s="1671" t="str">
        <f>IF(B35="场地未平整","估价结果处理","")</f>
        <v/>
      </c>
      <c r="H36" s="3294"/>
      <c r="I36" s="3294"/>
      <c r="J36" s="1678"/>
      <c r="K36" s="1759"/>
      <c r="L36" s="1707"/>
      <c r="M36" s="1707"/>
      <c r="N36" s="1678"/>
      <c r="O36" s="1679"/>
      <c r="P36" s="1678"/>
      <c r="Q36" s="1678"/>
      <c r="R36" s="1678"/>
      <c r="S36" s="1678"/>
      <c r="T36" s="1678"/>
      <c r="U36" s="1678"/>
    </row>
    <row r="37" spans="1:21" ht="28.5">
      <c r="A37" s="3282"/>
      <c r="B37" s="327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2"/>
      <c r="B38" s="3272"/>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83"/>
      <c r="B39" s="327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54" t="s">
        <v>1985</v>
      </c>
      <c r="T40" s="1715" t="str">
        <f>NUMBERSTRING(7-K40,1)&amp;"通"</f>
        <v>七通</v>
      </c>
      <c r="U40" s="1678"/>
    </row>
    <row r="41" spans="1:21">
      <c r="A41" s="1647"/>
      <c r="B41" s="3287" t="s">
        <v>1721</v>
      </c>
      <c r="C41" s="3287"/>
      <c r="D41" s="3287"/>
      <c r="E41" s="3287"/>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4"/>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R22" sqref="R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105379.99999999988</v>
      </c>
      <c r="B3" s="22">
        <f>IF(C3="否",G5-AT5,G5)</f>
        <v>302223.06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302223.06</v>
      </c>
      <c r="H5" s="27">
        <f t="shared" ref="H5:AT5" si="0">SUM(H13:H641)</f>
        <v>282007.33</v>
      </c>
      <c r="I5" s="27">
        <f t="shared" si="0"/>
        <v>167854.67</v>
      </c>
      <c r="J5" s="27">
        <f t="shared" si="0"/>
        <v>0</v>
      </c>
      <c r="K5" s="27">
        <f t="shared" si="0"/>
        <v>47476.27</v>
      </c>
      <c r="L5" s="27">
        <f t="shared" si="0"/>
        <v>0</v>
      </c>
      <c r="M5" s="27">
        <f t="shared" si="0"/>
        <v>1947.33</v>
      </c>
      <c r="N5" s="27">
        <f t="shared" si="0"/>
        <v>0</v>
      </c>
      <c r="O5" s="27">
        <f t="shared" si="0"/>
        <v>6458.14</v>
      </c>
      <c r="P5" s="27">
        <f t="shared" si="0"/>
        <v>0</v>
      </c>
      <c r="Q5" s="27">
        <f t="shared" si="0"/>
        <v>11074.19</v>
      </c>
      <c r="R5" s="27">
        <f t="shared" si="0"/>
        <v>0</v>
      </c>
      <c r="S5" s="27">
        <f t="shared" si="0"/>
        <v>47196.729999999996</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20215.73</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4019.7300000000005</v>
      </c>
      <c r="AM5" s="27">
        <f t="shared" si="0"/>
        <v>0</v>
      </c>
      <c r="AN5" s="27">
        <f t="shared" si="0"/>
        <v>0</v>
      </c>
      <c r="AO5" s="27">
        <f t="shared" si="0"/>
        <v>0</v>
      </c>
      <c r="AP5" s="27">
        <f t="shared" si="0"/>
        <v>0</v>
      </c>
      <c r="AQ5" s="27">
        <f t="shared" si="0"/>
        <v>0</v>
      </c>
      <c r="AR5" s="27">
        <f t="shared" si="0"/>
        <v>16196</v>
      </c>
      <c r="AS5" s="27">
        <f t="shared" si="0"/>
        <v>0</v>
      </c>
      <c r="AT5" s="27">
        <f t="shared" si="0"/>
        <v>0</v>
      </c>
      <c r="AU5" s="988"/>
      <c r="AV5" s="26" t="s">
        <v>168</v>
      </c>
      <c r="AW5" s="989"/>
      <c r="AX5" s="989"/>
      <c r="AY5" s="28" t="s">
        <v>3</v>
      </c>
      <c r="AZ5" s="29">
        <f t="shared" ref="AZ5:BT5" si="1">SUM(AZ13:AZ641)</f>
        <v>302223.06</v>
      </c>
      <c r="BA5" s="29">
        <f t="shared" si="1"/>
        <v>282007.33</v>
      </c>
      <c r="BB5" s="29">
        <f t="shared" si="1"/>
        <v>167854.67</v>
      </c>
      <c r="BC5" s="29">
        <f t="shared" si="1"/>
        <v>47476.27</v>
      </c>
      <c r="BD5" s="29">
        <f t="shared" si="1"/>
        <v>1947.33</v>
      </c>
      <c r="BE5" s="29">
        <f t="shared" si="1"/>
        <v>6458.14</v>
      </c>
      <c r="BF5" s="29">
        <f t="shared" si="1"/>
        <v>11074.19</v>
      </c>
      <c r="BG5" s="29">
        <f t="shared" si="1"/>
        <v>47196.729999999996</v>
      </c>
      <c r="BH5" s="29">
        <f t="shared" si="1"/>
        <v>0</v>
      </c>
      <c r="BI5" s="29">
        <f t="shared" si="1"/>
        <v>0</v>
      </c>
      <c r="BJ5" s="29">
        <f t="shared" si="1"/>
        <v>0</v>
      </c>
      <c r="BK5" s="29">
        <f t="shared" si="1"/>
        <v>0</v>
      </c>
      <c r="BL5" s="29">
        <f t="shared" si="1"/>
        <v>20215.73</v>
      </c>
      <c r="BM5" s="29">
        <f t="shared" si="1"/>
        <v>0</v>
      </c>
      <c r="BN5" s="29">
        <f t="shared" si="1"/>
        <v>0</v>
      </c>
      <c r="BO5" s="29">
        <f t="shared" si="1"/>
        <v>0</v>
      </c>
      <c r="BP5" s="29">
        <f t="shared" si="1"/>
        <v>0</v>
      </c>
      <c r="BQ5" s="29">
        <f t="shared" si="1"/>
        <v>4019.7300000000005</v>
      </c>
      <c r="BR5" s="29">
        <f t="shared" si="1"/>
        <v>0</v>
      </c>
      <c r="BS5" s="29">
        <f t="shared" si="1"/>
        <v>0</v>
      </c>
      <c r="BT5" s="30">
        <f t="shared" si="1"/>
        <v>16196</v>
      </c>
    </row>
    <row r="6" spans="1:72" s="37" customFormat="1" ht="12.75">
      <c r="A6" s="26" t="s">
        <v>169</v>
      </c>
      <c r="B6" s="31"/>
      <c r="C6" s="31"/>
      <c r="D6" s="32"/>
      <c r="E6" s="27">
        <f>H6+AC6+AT6</f>
        <v>105380.00000000001</v>
      </c>
      <c r="F6" s="27" t="s">
        <v>1</v>
      </c>
      <c r="G6" s="27" t="s">
        <v>2</v>
      </c>
      <c r="H6" s="33">
        <f>SUMIF(I$12:AB$12,"总值",I6:AB6)</f>
        <v>98331.12000000001</v>
      </c>
      <c r="I6" s="27">
        <f t="shared" ref="I6:AB6" si="2">ROUND($A$3*I5/$B$3,2)</f>
        <v>58528.05</v>
      </c>
      <c r="J6" s="27">
        <f t="shared" si="2"/>
        <v>0</v>
      </c>
      <c r="K6" s="27">
        <f t="shared" si="2"/>
        <v>16554.16</v>
      </c>
      <c r="L6" s="27">
        <f t="shared" si="2"/>
        <v>0</v>
      </c>
      <c r="M6" s="27">
        <f t="shared" si="2"/>
        <v>679</v>
      </c>
      <c r="N6" s="27">
        <f t="shared" si="2"/>
        <v>0</v>
      </c>
      <c r="O6" s="27">
        <f t="shared" si="2"/>
        <v>2251.84</v>
      </c>
      <c r="P6" s="27">
        <f t="shared" si="2"/>
        <v>0</v>
      </c>
      <c r="Q6" s="27">
        <f t="shared" si="2"/>
        <v>3861.38</v>
      </c>
      <c r="R6" s="27">
        <f t="shared" si="2"/>
        <v>0</v>
      </c>
      <c r="S6" s="27">
        <f t="shared" si="2"/>
        <v>16456.689999999999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7048.88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1401.61</v>
      </c>
      <c r="AM6" s="27">
        <f t="shared" si="3"/>
        <v>0</v>
      </c>
      <c r="AN6" s="27">
        <f t="shared" si="3"/>
        <v>0</v>
      </c>
      <c r="AO6" s="27">
        <f t="shared" si="3"/>
        <v>0</v>
      </c>
      <c r="AP6" s="27">
        <f t="shared" si="3"/>
        <v>0</v>
      </c>
      <c r="AQ6" s="27">
        <f t="shared" si="3"/>
        <v>0</v>
      </c>
      <c r="AR6" s="27">
        <f t="shared" si="3"/>
        <v>5647.27</v>
      </c>
      <c r="AS6" s="27">
        <f t="shared" si="3"/>
        <v>0</v>
      </c>
      <c r="AT6" s="33">
        <f>IF(C3="是",ROUND($A$3*AT5/$B$3,2),0)</f>
        <v>0</v>
      </c>
      <c r="AU6" s="34"/>
      <c r="AV6" s="26" t="s">
        <v>169</v>
      </c>
      <c r="AW6" s="31"/>
      <c r="AX6" s="31"/>
      <c r="AY6" s="35">
        <f>IF(AY3&gt;0,AY3,ROUND($A$3*AZ5/$B$3,2))</f>
        <v>105380</v>
      </c>
      <c r="AZ6" s="27" t="s">
        <v>3</v>
      </c>
      <c r="BA6" s="27">
        <f>ROUND($AY$6*BA5/$AZ$5,2)</f>
        <v>98331.12</v>
      </c>
      <c r="BB6" s="27">
        <f>ROUND($AY$6*BB5/$AZ$5,2)</f>
        <v>58528.05</v>
      </c>
      <c r="BC6" s="27">
        <f t="shared" ref="BC6:BH6" si="4">ROUND($AY$6*BC5/$AZ$5,2)</f>
        <v>16554.16</v>
      </c>
      <c r="BD6" s="27">
        <f t="shared" si="4"/>
        <v>679</v>
      </c>
      <c r="BE6" s="27">
        <f t="shared" si="4"/>
        <v>2251.84</v>
      </c>
      <c r="BF6" s="27">
        <f t="shared" si="4"/>
        <v>3861.38</v>
      </c>
      <c r="BG6" s="27">
        <f t="shared" si="4"/>
        <v>16456.689999999999</v>
      </c>
      <c r="BH6" s="27">
        <f t="shared" si="4"/>
        <v>0</v>
      </c>
      <c r="BI6" s="27">
        <f t="shared" ref="BI6:BT6" si="5">ROUND($AY$6*BI5/$AZ$5,2)</f>
        <v>0</v>
      </c>
      <c r="BJ6" s="27">
        <f t="shared" si="5"/>
        <v>0</v>
      </c>
      <c r="BK6" s="27">
        <f t="shared" si="5"/>
        <v>0</v>
      </c>
      <c r="BL6" s="27">
        <f t="shared" si="5"/>
        <v>7048.88</v>
      </c>
      <c r="BM6" s="27">
        <f t="shared" si="5"/>
        <v>0</v>
      </c>
      <c r="BN6" s="27">
        <f t="shared" si="5"/>
        <v>0</v>
      </c>
      <c r="BO6" s="27">
        <f t="shared" si="5"/>
        <v>0</v>
      </c>
      <c r="BP6" s="27">
        <f t="shared" si="5"/>
        <v>0</v>
      </c>
      <c r="BQ6" s="27">
        <f t="shared" si="5"/>
        <v>1401.61</v>
      </c>
      <c r="BR6" s="27">
        <f t="shared" si="5"/>
        <v>0</v>
      </c>
      <c r="BS6" s="27">
        <f t="shared" si="5"/>
        <v>0</v>
      </c>
      <c r="BT6" s="36">
        <f t="shared" si="5"/>
        <v>5647.27</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3000</v>
      </c>
      <c r="J9" s="51"/>
      <c r="K9" s="2971" t="s">
        <v>3000</v>
      </c>
      <c r="L9" s="51"/>
      <c r="M9" s="2971" t="s">
        <v>3000</v>
      </c>
      <c r="N9" s="51"/>
      <c r="O9" s="59" t="s">
        <v>3003</v>
      </c>
      <c r="P9" s="51"/>
      <c r="Q9" s="59" t="s">
        <v>3003</v>
      </c>
      <c r="R9" s="51"/>
      <c r="S9" s="59" t="s">
        <v>3003</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923</v>
      </c>
      <c r="L10" s="51"/>
      <c r="M10" s="2973" t="s">
        <v>2999</v>
      </c>
      <c r="N10" s="51"/>
      <c r="O10" s="66" t="s">
        <v>3004</v>
      </c>
      <c r="P10" s="51"/>
      <c r="Q10" s="66" t="s">
        <v>3004</v>
      </c>
      <c r="R10" s="51"/>
      <c r="S10" s="66" t="s">
        <v>3005</v>
      </c>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3002</v>
      </c>
      <c r="J11" s="71"/>
      <c r="K11" s="2972" t="s">
        <v>3001</v>
      </c>
      <c r="L11" s="71"/>
      <c r="M11" s="70"/>
      <c r="N11" s="71"/>
      <c r="O11" s="70" t="s">
        <v>3002</v>
      </c>
      <c r="P11" s="71"/>
      <c r="Q11" s="70" t="s">
        <v>3001</v>
      </c>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商业</v>
      </c>
      <c r="BE11" s="50" t="str">
        <f>O10</f>
        <v>仓储</v>
      </c>
      <c r="BF11" s="50" t="str">
        <f>Q10</f>
        <v>仓储</v>
      </c>
      <c r="BG11" s="50" t="str">
        <f>S10</f>
        <v>车库</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叠拼</v>
      </c>
      <c r="BD12" s="79">
        <f>M11</f>
        <v>0</v>
      </c>
      <c r="BE12" s="50" t="str">
        <f>O11</f>
        <v>平层住宅</v>
      </c>
      <c r="BF12" s="50" t="str">
        <f>Q11</f>
        <v>叠拼</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65576.92</v>
      </c>
      <c r="F13" s="81"/>
      <c r="G13" s="82">
        <f t="shared" ref="G13:G20" si="7">H13+AC13+AT13</f>
        <v>188070.40000000002</v>
      </c>
      <c r="H13" s="33">
        <f t="shared" ref="H13:H20" si="8">SUMIF(I$12:AB$12,"总值",I13:AB13)</f>
        <v>167854.67</v>
      </c>
      <c r="I13" s="2970">
        <f>Sheet1!D7+Sheet1!D8</f>
        <v>167854.67</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20215.73</v>
      </c>
      <c r="AD13" s="2974"/>
      <c r="AE13" s="2974"/>
      <c r="AF13" s="2974"/>
      <c r="AG13" s="2974"/>
      <c r="AH13" s="2974"/>
      <c r="AI13" s="2974"/>
      <c r="AJ13" s="2974"/>
      <c r="AK13" s="2974"/>
      <c r="AL13" s="2974">
        <f>Sheet1!D11+Sheet1!D12+Sheet1!D13+Sheet1!D14+Sheet1!D15+Sheet1!D16+Sheet1!D17+Sheet1!D18+Sheet1!D19</f>
        <v>4019.7300000000005</v>
      </c>
      <c r="AM13" s="2974"/>
      <c r="AN13" s="2974"/>
      <c r="AO13" s="2974"/>
      <c r="AP13" s="2974"/>
      <c r="AQ13" s="2974"/>
      <c r="AR13" s="3218">
        <f>Sheet1!D27</f>
        <v>16196</v>
      </c>
      <c r="AS13" s="2974"/>
      <c r="AT13" s="2975"/>
      <c r="AU13" s="2976"/>
      <c r="AV13" s="17">
        <f t="shared" ref="AV13:AX20" si="10">A13</f>
        <v>0</v>
      </c>
      <c r="AW13" s="17">
        <f t="shared" si="10"/>
        <v>0</v>
      </c>
      <c r="AX13" s="17">
        <f t="shared" si="10"/>
        <v>0</v>
      </c>
      <c r="AY13" s="996">
        <f t="shared" ref="AY13:AY20" si="11">ROUND($AY$6*AZ13/$AZ$5,2)</f>
        <v>65576.92</v>
      </c>
      <c r="AZ13" s="27">
        <f t="shared" ref="AZ13:AZ20" si="12">BA13+BL13</f>
        <v>188070.40000000002</v>
      </c>
      <c r="BA13" s="27">
        <f t="shared" ref="BA13:BA20" si="13">SUM(BB13:BK13)</f>
        <v>167854.67</v>
      </c>
      <c r="BB13" s="27">
        <f t="shared" ref="BB13:BB20" si="14">IF($D13="是",I13-J13,0)</f>
        <v>167854.67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20215.73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4019.7300000000005</v>
      </c>
      <c r="BR13" s="27">
        <f t="shared" ref="BR13:BR20" si="30">IF($D13="是",AN13-AO13,0)</f>
        <v>0</v>
      </c>
      <c r="BS13" s="27">
        <f t="shared" ref="BS13:BS20" si="31">IF($D13="是",AP13-AQ13,0)</f>
        <v>0</v>
      </c>
      <c r="BT13" s="36">
        <f t="shared" ref="BT13:BT20" si="32">IF($D13="是",AR13-AS13,0)</f>
        <v>16196</v>
      </c>
    </row>
    <row r="14" spans="1:72" s="18" customFormat="1" ht="12.75">
      <c r="A14" s="2966"/>
      <c r="B14" s="2966"/>
      <c r="C14" s="2968"/>
      <c r="D14" s="2967" t="s">
        <v>1678</v>
      </c>
      <c r="E14" s="27">
        <f t="shared" si="6"/>
        <v>16554.16</v>
      </c>
      <c r="F14" s="81"/>
      <c r="G14" s="82">
        <f t="shared" si="7"/>
        <v>47476.27</v>
      </c>
      <c r="H14" s="33">
        <f t="shared" si="8"/>
        <v>47476.27</v>
      </c>
      <c r="I14" s="2970"/>
      <c r="J14" s="2970"/>
      <c r="K14" s="2970">
        <f>Sheet1!D9</f>
        <v>47476.27</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16554.16</v>
      </c>
      <c r="AZ14" s="27">
        <f t="shared" si="12"/>
        <v>47476.27</v>
      </c>
      <c r="BA14" s="27">
        <f t="shared" si="13"/>
        <v>47476.27</v>
      </c>
      <c r="BB14" s="27">
        <f t="shared" si="14"/>
        <v>0</v>
      </c>
      <c r="BC14" s="27">
        <f t="shared" si="15"/>
        <v>47476.27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679</v>
      </c>
      <c r="F15" s="81"/>
      <c r="G15" s="82">
        <f t="shared" si="7"/>
        <v>1947.33</v>
      </c>
      <c r="H15" s="33">
        <f t="shared" si="8"/>
        <v>1947.33</v>
      </c>
      <c r="I15" s="2970"/>
      <c r="J15" s="2970"/>
      <c r="K15" s="2970"/>
      <c r="L15" s="2970"/>
      <c r="M15" s="2970">
        <f>Sheet1!D20</f>
        <v>1947.33</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679</v>
      </c>
      <c r="AZ15" s="27">
        <f t="shared" si="12"/>
        <v>1947.33</v>
      </c>
      <c r="BA15" s="27">
        <f t="shared" si="13"/>
        <v>1947.33</v>
      </c>
      <c r="BB15" s="27">
        <f t="shared" si="14"/>
        <v>0</v>
      </c>
      <c r="BC15" s="27">
        <f t="shared" si="15"/>
        <v>0</v>
      </c>
      <c r="BD15" s="27">
        <f t="shared" si="16"/>
        <v>1947.33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2251.84</v>
      </c>
      <c r="F16" s="81"/>
      <c r="G16" s="82">
        <f t="shared" si="7"/>
        <v>6458.14</v>
      </c>
      <c r="H16" s="33">
        <f t="shared" si="8"/>
        <v>6458.14</v>
      </c>
      <c r="I16" s="2970"/>
      <c r="J16" s="2970"/>
      <c r="K16" s="2970"/>
      <c r="L16" s="2970"/>
      <c r="M16" s="2970"/>
      <c r="N16" s="83"/>
      <c r="O16" s="83">
        <f>Sheet1!D23+Sheet1!D24</f>
        <v>6458.14</v>
      </c>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2251.84</v>
      </c>
      <c r="AZ16" s="27">
        <f t="shared" si="12"/>
        <v>6458.14</v>
      </c>
      <c r="BA16" s="27">
        <f t="shared" si="13"/>
        <v>6458.14</v>
      </c>
      <c r="BB16" s="27">
        <f t="shared" si="14"/>
        <v>0</v>
      </c>
      <c r="BC16" s="27">
        <f t="shared" si="15"/>
        <v>0</v>
      </c>
      <c r="BD16" s="27">
        <f t="shared" si="16"/>
        <v>0</v>
      </c>
      <c r="BE16" s="27">
        <f t="shared" si="17"/>
        <v>6458.14</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3861.38</v>
      </c>
      <c r="F17" s="81"/>
      <c r="G17" s="82">
        <f t="shared" si="7"/>
        <v>11074.19</v>
      </c>
      <c r="H17" s="33">
        <f t="shared" si="8"/>
        <v>11074.19</v>
      </c>
      <c r="I17" s="2970"/>
      <c r="J17" s="2970"/>
      <c r="K17" s="2970"/>
      <c r="L17" s="2970"/>
      <c r="M17" s="2970"/>
      <c r="N17" s="83"/>
      <c r="O17" s="83"/>
      <c r="P17" s="83"/>
      <c r="Q17" s="83">
        <f>Sheet1!D25</f>
        <v>11074.19</v>
      </c>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3861.38</v>
      </c>
      <c r="AZ17" s="27">
        <f t="shared" si="12"/>
        <v>11074.19</v>
      </c>
      <c r="BA17" s="27">
        <f t="shared" si="13"/>
        <v>11074.19</v>
      </c>
      <c r="BB17" s="27">
        <f t="shared" si="14"/>
        <v>0</v>
      </c>
      <c r="BC17" s="27">
        <f t="shared" si="15"/>
        <v>0</v>
      </c>
      <c r="BD17" s="27">
        <f t="shared" si="16"/>
        <v>0</v>
      </c>
      <c r="BE17" s="27">
        <f t="shared" si="17"/>
        <v>0</v>
      </c>
      <c r="BF17" s="27">
        <f t="shared" si="18"/>
        <v>11074.19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t="s">
        <v>1678</v>
      </c>
      <c r="E18" s="87">
        <f t="shared" si="6"/>
        <v>16456.689999999999</v>
      </c>
      <c r="F18" s="88"/>
      <c r="G18" s="89">
        <f t="shared" si="7"/>
        <v>47196.729999999996</v>
      </c>
      <c r="H18" s="90">
        <f t="shared" si="8"/>
        <v>47196.729999999996</v>
      </c>
      <c r="I18" s="1391"/>
      <c r="J18" s="91"/>
      <c r="K18" s="1391"/>
      <c r="L18" s="91"/>
      <c r="M18" s="91"/>
      <c r="N18" s="91"/>
      <c r="O18" s="91"/>
      <c r="P18" s="91"/>
      <c r="Q18" s="91"/>
      <c r="R18" s="91"/>
      <c r="S18" s="91">
        <f>Sheet1!D26</f>
        <v>47196.729999999996</v>
      </c>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16456.689999999999</v>
      </c>
      <c r="AZ18" s="87">
        <f t="shared" si="12"/>
        <v>47196.729999999996</v>
      </c>
      <c r="BA18" s="87">
        <f t="shared" si="13"/>
        <v>47196.729999999996</v>
      </c>
      <c r="BB18" s="87">
        <f t="shared" si="14"/>
        <v>0</v>
      </c>
      <c r="BC18" s="87">
        <f t="shared" si="15"/>
        <v>0</v>
      </c>
      <c r="BD18" s="87">
        <f t="shared" si="16"/>
        <v>0</v>
      </c>
      <c r="BE18" s="87">
        <f t="shared" si="17"/>
        <v>0</v>
      </c>
      <c r="BF18" s="87">
        <f t="shared" si="18"/>
        <v>0</v>
      </c>
      <c r="BG18" s="87">
        <f t="shared" si="19"/>
        <v>47196.729999999996</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5" t="s">
        <v>0</v>
      </c>
      <c r="B1" s="3295" t="s">
        <v>4</v>
      </c>
      <c r="C1" s="3295" t="s">
        <v>5</v>
      </c>
      <c r="D1" s="3296" t="s">
        <v>40</v>
      </c>
      <c r="E1" s="3296" t="s">
        <v>41</v>
      </c>
      <c r="F1" s="3296"/>
      <c r="G1" s="3296"/>
      <c r="H1" s="3296"/>
      <c r="I1" s="3296"/>
      <c r="J1" s="3296"/>
      <c r="K1" s="3296"/>
      <c r="L1" s="3296"/>
      <c r="M1" s="3296"/>
    </row>
    <row r="2" spans="1:13" ht="27" customHeight="1">
      <c r="A2" s="3295"/>
      <c r="B2" s="3295"/>
      <c r="C2" s="3295"/>
      <c r="D2" s="3296"/>
      <c r="E2" s="3296" t="s">
        <v>24</v>
      </c>
      <c r="F2" s="3296" t="s">
        <v>25</v>
      </c>
      <c r="G2" s="3296"/>
      <c r="H2" s="3296"/>
      <c r="I2" s="3296"/>
      <c r="J2" s="3296" t="s">
        <v>26</v>
      </c>
      <c r="K2" s="3296"/>
      <c r="L2" s="3296"/>
      <c r="M2" s="3296"/>
    </row>
    <row r="3" spans="1:13" ht="28.5">
      <c r="A3" s="3295"/>
      <c r="B3" s="3295"/>
      <c r="C3" s="3295"/>
      <c r="D3" s="3296"/>
      <c r="E3" s="32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6" t="s">
        <v>42</v>
      </c>
      <c r="B9" s="3296"/>
      <c r="C9" s="32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election activeCell="D23" sqref="D23:D24"/>
    </sheetView>
  </sheetViews>
  <sheetFormatPr defaultRowHeight="13.5"/>
  <cols>
    <col min="3" max="3" width="32.625" customWidth="1"/>
    <col min="4" max="4" width="38.375" customWidth="1"/>
    <col min="6" max="6" width="25.875" customWidth="1"/>
  </cols>
  <sheetData>
    <row r="1" spans="1:6" ht="18.75">
      <c r="A1" s="3307" t="s">
        <v>3006</v>
      </c>
      <c r="B1" s="3308"/>
      <c r="C1" s="3308"/>
      <c r="D1" s="3308"/>
      <c r="E1" s="3308"/>
      <c r="F1" s="3308"/>
    </row>
    <row r="2" spans="1:6" ht="18.75">
      <c r="A2" s="3297" t="s">
        <v>2376</v>
      </c>
      <c r="B2" s="3297"/>
      <c r="C2" s="3297"/>
      <c r="D2" s="3197" t="s">
        <v>3007</v>
      </c>
      <c r="E2" s="3197" t="s">
        <v>3008</v>
      </c>
      <c r="F2" s="3197" t="s">
        <v>3009</v>
      </c>
    </row>
    <row r="3" spans="1:6" ht="18.75">
      <c r="A3" s="3297" t="s">
        <v>3010</v>
      </c>
      <c r="B3" s="3297"/>
      <c r="C3" s="3297"/>
      <c r="D3" s="3198">
        <v>105380</v>
      </c>
      <c r="E3" s="3199" t="s">
        <v>3011</v>
      </c>
      <c r="F3" s="3197"/>
    </row>
    <row r="4" spans="1:6" ht="18.75">
      <c r="A4" s="3297" t="s">
        <v>3012</v>
      </c>
      <c r="B4" s="3297"/>
      <c r="C4" s="3297"/>
      <c r="D4" s="3198">
        <f>D5+D21</f>
        <v>302223.06</v>
      </c>
      <c r="E4" s="3199" t="s">
        <v>3011</v>
      </c>
      <c r="F4" s="3200"/>
    </row>
    <row r="5" spans="1:6" ht="18.75">
      <c r="A5" s="3297" t="s">
        <v>3013</v>
      </c>
      <c r="B5" s="3297"/>
      <c r="C5" s="3297"/>
      <c r="D5" s="3198">
        <f>D6+D10+D20</f>
        <v>221298</v>
      </c>
      <c r="E5" s="3199" t="s">
        <v>3011</v>
      </c>
      <c r="F5" s="3200">
        <v>221298</v>
      </c>
    </row>
    <row r="6" spans="1:6" ht="18.75">
      <c r="A6" s="3301" t="s">
        <v>3014</v>
      </c>
      <c r="B6" s="3297" t="s">
        <v>923</v>
      </c>
      <c r="C6" s="3297"/>
      <c r="D6" s="3198">
        <f>D7+D8+D9</f>
        <v>215330.94</v>
      </c>
      <c r="E6" s="3199" t="s">
        <v>3011</v>
      </c>
      <c r="F6" s="3197"/>
    </row>
    <row r="7" spans="1:6" ht="18.75">
      <c r="A7" s="3302"/>
      <c r="B7" s="3301" t="s">
        <v>3014</v>
      </c>
      <c r="C7" s="3197" t="s">
        <v>3015</v>
      </c>
      <c r="D7" s="3198">
        <v>125876.77</v>
      </c>
      <c r="E7" s="3199" t="s">
        <v>3011</v>
      </c>
      <c r="F7" s="3197"/>
    </row>
    <row r="8" spans="1:6" ht="18.75">
      <c r="A8" s="3302"/>
      <c r="B8" s="3302"/>
      <c r="C8" s="3197" t="s">
        <v>3016</v>
      </c>
      <c r="D8" s="3198">
        <v>41977.9</v>
      </c>
      <c r="E8" s="3199" t="s">
        <v>3011</v>
      </c>
      <c r="F8" s="3201"/>
    </row>
    <row r="9" spans="1:6" ht="18.75">
      <c r="A9" s="3302"/>
      <c r="B9" s="3302"/>
      <c r="C9" s="3197" t="s">
        <v>3017</v>
      </c>
      <c r="D9" s="3198">
        <v>47476.27</v>
      </c>
      <c r="E9" s="3199" t="s">
        <v>3011</v>
      </c>
      <c r="F9" s="3201"/>
    </row>
    <row r="10" spans="1:6" ht="18.75">
      <c r="A10" s="3302"/>
      <c r="B10" s="3297" t="s">
        <v>3018</v>
      </c>
      <c r="C10" s="3297"/>
      <c r="D10" s="3198">
        <f>D11+D12+D13+D14+D15+D16+D17+D18+D19</f>
        <v>4019.7300000000005</v>
      </c>
      <c r="E10" s="3199" t="s">
        <v>3011</v>
      </c>
      <c r="F10" s="3197"/>
    </row>
    <row r="11" spans="1:6" ht="18.75">
      <c r="A11" s="3302"/>
      <c r="B11" s="3304" t="s">
        <v>3014</v>
      </c>
      <c r="C11" s="3197" t="s">
        <v>3019</v>
      </c>
      <c r="D11" s="3198">
        <v>1236.29</v>
      </c>
      <c r="E11" s="3199" t="s">
        <v>3011</v>
      </c>
      <c r="F11" s="3197" t="s">
        <v>3020</v>
      </c>
    </row>
    <row r="12" spans="1:6" ht="18.75">
      <c r="A12" s="3302"/>
      <c r="B12" s="3305"/>
      <c r="C12" s="3197" t="s">
        <v>3021</v>
      </c>
      <c r="D12" s="3198">
        <v>800.09</v>
      </c>
      <c r="E12" s="3199" t="s">
        <v>3011</v>
      </c>
      <c r="F12" s="3197"/>
    </row>
    <row r="13" spans="1:6" ht="18.75">
      <c r="A13" s="3302"/>
      <c r="B13" s="3305"/>
      <c r="C13" s="3197" t="s">
        <v>3022</v>
      </c>
      <c r="D13" s="3198">
        <v>551.59</v>
      </c>
      <c r="E13" s="3199" t="s">
        <v>3011</v>
      </c>
      <c r="F13" s="3197" t="s">
        <v>3023</v>
      </c>
    </row>
    <row r="14" spans="1:6" ht="18.75">
      <c r="A14" s="3302"/>
      <c r="B14" s="3305"/>
      <c r="C14" s="3197" t="s">
        <v>3024</v>
      </c>
      <c r="D14" s="3198">
        <v>150.54</v>
      </c>
      <c r="E14" s="3199" t="s">
        <v>3011</v>
      </c>
      <c r="F14" s="3202"/>
    </row>
    <row r="15" spans="1:6" ht="18.75">
      <c r="A15" s="3302"/>
      <c r="B15" s="3305"/>
      <c r="C15" s="3203" t="s">
        <v>3025</v>
      </c>
      <c r="D15" s="3198">
        <v>180.39</v>
      </c>
      <c r="E15" s="3199" t="s">
        <v>3011</v>
      </c>
      <c r="F15" s="3202"/>
    </row>
    <row r="16" spans="1:6" ht="18.75">
      <c r="A16" s="3302"/>
      <c r="B16" s="3305"/>
      <c r="C16" s="3203" t="s">
        <v>3026</v>
      </c>
      <c r="D16" s="3198">
        <v>62.05</v>
      </c>
      <c r="E16" s="3199" t="s">
        <v>3011</v>
      </c>
      <c r="F16" s="3202"/>
    </row>
    <row r="17" spans="1:6" ht="18.75">
      <c r="A17" s="3302"/>
      <c r="B17" s="3305"/>
      <c r="C17" s="3203" t="s">
        <v>3027</v>
      </c>
      <c r="D17" s="3198">
        <v>40.78</v>
      </c>
      <c r="E17" s="3199" t="s">
        <v>3011</v>
      </c>
      <c r="F17" s="3202"/>
    </row>
    <row r="18" spans="1:6" ht="18.75">
      <c r="A18" s="3302"/>
      <c r="B18" s="3305"/>
      <c r="C18" s="3203" t="s">
        <v>3028</v>
      </c>
      <c r="D18" s="3198">
        <v>18</v>
      </c>
      <c r="E18" s="3199" t="s">
        <v>3011</v>
      </c>
      <c r="F18" s="3202"/>
    </row>
    <row r="19" spans="1:6" ht="18.75">
      <c r="A19" s="3302"/>
      <c r="B19" s="3306"/>
      <c r="C19" s="3203" t="s">
        <v>3029</v>
      </c>
      <c r="D19" s="3198">
        <v>980</v>
      </c>
      <c r="E19" s="3199" t="s">
        <v>3011</v>
      </c>
      <c r="F19" s="3202"/>
    </row>
    <row r="20" spans="1:6" ht="18.75">
      <c r="A20" s="3303"/>
      <c r="B20" s="3299" t="s">
        <v>3030</v>
      </c>
      <c r="C20" s="3300"/>
      <c r="D20" s="3204">
        <v>1947.33</v>
      </c>
      <c r="E20" s="3199" t="s">
        <v>3011</v>
      </c>
      <c r="F20" s="3205"/>
    </row>
    <row r="21" spans="1:6" ht="18.75">
      <c r="A21" s="3297" t="s">
        <v>3031</v>
      </c>
      <c r="B21" s="3297"/>
      <c r="C21" s="3297"/>
      <c r="D21" s="3204">
        <v>80925.06</v>
      </c>
      <c r="E21" s="3199" t="s">
        <v>3011</v>
      </c>
      <c r="F21" s="3206"/>
    </row>
    <row r="22" spans="1:6" ht="18.75">
      <c r="A22" s="3297" t="s">
        <v>3014</v>
      </c>
      <c r="B22" s="3299" t="s">
        <v>3032</v>
      </c>
      <c r="C22" s="3300"/>
      <c r="D22" s="3204">
        <f>D23+D24+D25</f>
        <v>17532.330000000002</v>
      </c>
      <c r="E22" s="3199" t="s">
        <v>3011</v>
      </c>
      <c r="F22" s="3206"/>
    </row>
    <row r="23" spans="1:6" ht="18.75">
      <c r="A23" s="3297"/>
      <c r="B23" s="3297" t="s">
        <v>3014</v>
      </c>
      <c r="C23" s="3197" t="s">
        <v>3033</v>
      </c>
      <c r="D23" s="3204">
        <v>5735.04</v>
      </c>
      <c r="E23" s="3199" t="s">
        <v>3011</v>
      </c>
      <c r="F23" s="3206"/>
    </row>
    <row r="24" spans="1:6" ht="18.75">
      <c r="A24" s="3297"/>
      <c r="B24" s="3297"/>
      <c r="C24" s="3197" t="s">
        <v>3034</v>
      </c>
      <c r="D24" s="3204">
        <v>723.1</v>
      </c>
      <c r="E24" s="3199" t="s">
        <v>3011</v>
      </c>
      <c r="F24" s="3206"/>
    </row>
    <row r="25" spans="1:6" ht="18.75">
      <c r="A25" s="3297"/>
      <c r="B25" s="3297"/>
      <c r="C25" s="3197" t="s">
        <v>3035</v>
      </c>
      <c r="D25" s="3204">
        <v>11074.19</v>
      </c>
      <c r="E25" s="3199" t="s">
        <v>3011</v>
      </c>
      <c r="F25" s="3206"/>
    </row>
    <row r="26" spans="1:6" ht="18.75">
      <c r="A26" s="3297"/>
      <c r="B26" s="3297" t="s">
        <v>3036</v>
      </c>
      <c r="C26" s="3297"/>
      <c r="D26" s="3204">
        <f>D21-D22-D27</f>
        <v>47196.729999999996</v>
      </c>
      <c r="E26" s="3199" t="s">
        <v>3011</v>
      </c>
      <c r="F26" s="3206"/>
    </row>
    <row r="27" spans="1:6" ht="18.75">
      <c r="A27" s="3297"/>
      <c r="B27" s="3297" t="s">
        <v>3037</v>
      </c>
      <c r="C27" s="3297"/>
      <c r="D27" s="3204">
        <v>16196</v>
      </c>
      <c r="E27" s="3199" t="s">
        <v>3011</v>
      </c>
      <c r="F27" s="3206"/>
    </row>
    <row r="28" spans="1:6" ht="18.75">
      <c r="A28" s="3297" t="s">
        <v>3038</v>
      </c>
      <c r="B28" s="3297"/>
      <c r="C28" s="3297"/>
      <c r="D28" s="3204">
        <v>25926.959999999999</v>
      </c>
      <c r="E28" s="3199" t="s">
        <v>3011</v>
      </c>
      <c r="F28" s="3207"/>
    </row>
    <row r="29" spans="1:6" ht="18.75">
      <c r="A29" s="3297" t="s">
        <v>3039</v>
      </c>
      <c r="B29" s="3297"/>
      <c r="C29" s="3297"/>
      <c r="D29" s="3208">
        <f>D28/D3</f>
        <v>0.24603302334408805</v>
      </c>
      <c r="E29" s="3209" t="s">
        <v>3040</v>
      </c>
      <c r="F29" s="3197" t="s">
        <v>3041</v>
      </c>
    </row>
    <row r="30" spans="1:6" ht="18.75">
      <c r="A30" s="3297" t="s">
        <v>3042</v>
      </c>
      <c r="B30" s="3297"/>
      <c r="C30" s="3297"/>
      <c r="D30" s="3208">
        <v>0.3</v>
      </c>
      <c r="E30" s="3209" t="s">
        <v>3040</v>
      </c>
      <c r="F30" s="3197" t="s">
        <v>3043</v>
      </c>
    </row>
    <row r="31" spans="1:6" ht="18.75">
      <c r="A31" s="3297" t="s">
        <v>2032</v>
      </c>
      <c r="B31" s="3297"/>
      <c r="C31" s="3297"/>
      <c r="D31" s="3198">
        <v>2.0999999999999992</v>
      </c>
      <c r="E31" s="3197" t="s">
        <v>3040</v>
      </c>
      <c r="F31" s="3210" t="s">
        <v>3044</v>
      </c>
    </row>
    <row r="32" spans="1:6" ht="18.75">
      <c r="A32" s="3297" t="s">
        <v>3045</v>
      </c>
      <c r="B32" s="3297"/>
      <c r="C32" s="3297"/>
      <c r="D32" s="3211">
        <v>1733</v>
      </c>
      <c r="E32" s="3199" t="s">
        <v>3046</v>
      </c>
      <c r="F32" s="3197"/>
    </row>
    <row r="33" spans="1:6" ht="18.75">
      <c r="A33" s="3297" t="s">
        <v>3047</v>
      </c>
      <c r="B33" s="3297"/>
      <c r="C33" s="3297"/>
      <c r="D33" s="3211">
        <v>2418</v>
      </c>
      <c r="E33" s="3199" t="s">
        <v>3048</v>
      </c>
      <c r="F33" s="3202"/>
    </row>
    <row r="34" spans="1:6" ht="18.75">
      <c r="A34" s="3297" t="s">
        <v>3014</v>
      </c>
      <c r="B34" s="3297" t="s">
        <v>3049</v>
      </c>
      <c r="C34" s="3297"/>
      <c r="D34" s="3211">
        <v>241</v>
      </c>
      <c r="E34" s="3199" t="s">
        <v>3048</v>
      </c>
      <c r="F34" s="3212">
        <v>0.1</v>
      </c>
    </row>
    <row r="35" spans="1:6" ht="18.75">
      <c r="A35" s="3297"/>
      <c r="B35" s="3297" t="s">
        <v>3050</v>
      </c>
      <c r="C35" s="3297"/>
      <c r="D35" s="3211">
        <f>D33-D34</f>
        <v>2177</v>
      </c>
      <c r="E35" s="3199" t="s">
        <v>3048</v>
      </c>
      <c r="F35" s="3197"/>
    </row>
    <row r="36" spans="1:6" ht="18.75">
      <c r="A36" s="3298" t="s">
        <v>3051</v>
      </c>
      <c r="B36" s="3298"/>
      <c r="C36" s="3298"/>
      <c r="D36" s="3211">
        <v>4606</v>
      </c>
      <c r="E36" s="3213" t="s">
        <v>3048</v>
      </c>
      <c r="F36" s="3213"/>
    </row>
  </sheetData>
  <mergeCells count="27">
    <mergeCell ref="A1:F1"/>
    <mergeCell ref="A2:C2"/>
    <mergeCell ref="A3:C3"/>
    <mergeCell ref="A4:C4"/>
    <mergeCell ref="A5:C5"/>
    <mergeCell ref="B20:C20"/>
    <mergeCell ref="A21:C21"/>
    <mergeCell ref="A22:A27"/>
    <mergeCell ref="B22:C22"/>
    <mergeCell ref="B23:B25"/>
    <mergeCell ref="B26:C26"/>
    <mergeCell ref="B27:C27"/>
    <mergeCell ref="A6:A20"/>
    <mergeCell ref="B6:C6"/>
    <mergeCell ref="B7:B9"/>
    <mergeCell ref="B10:C10"/>
    <mergeCell ref="B11:B19"/>
    <mergeCell ref="A34:A35"/>
    <mergeCell ref="B34:C34"/>
    <mergeCell ref="B35:C35"/>
    <mergeCell ref="A36:C36"/>
    <mergeCell ref="A28:C28"/>
    <mergeCell ref="A29:C29"/>
    <mergeCell ref="A30:C30"/>
    <mergeCell ref="A31:C31"/>
    <mergeCell ref="A32:C32"/>
    <mergeCell ref="A33:C3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topLeftCell="A7" zoomScale="90" zoomScaleNormal="90" zoomScaleSheetLayoutView="90" workbookViewId="0">
      <selection activeCell="M38" sqref="M38"/>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8" t="s">
        <v>203</v>
      </c>
      <c r="B2" s="3318"/>
      <c r="C2" s="3318"/>
      <c r="D2" s="1960" t="s">
        <v>204</v>
      </c>
      <c r="E2" s="106" t="s">
        <v>205</v>
      </c>
      <c r="F2" s="1969"/>
      <c r="G2" s="1194"/>
      <c r="H2" s="1195"/>
      <c r="I2" s="1196" t="s">
        <v>857</v>
      </c>
      <c r="J2" s="1969"/>
      <c r="K2" s="1969"/>
      <c r="L2" s="1969"/>
    </row>
    <row r="3" spans="1:16" ht="15.75" thickBot="1">
      <c r="A3" s="3319" t="s">
        <v>206</v>
      </c>
      <c r="B3" s="3319"/>
      <c r="C3" s="3319"/>
      <c r="D3" s="107">
        <f>'数据-基础表'!AY6</f>
        <v>105380</v>
      </c>
      <c r="E3" s="107">
        <f>'数据-基础表'!AZ5</f>
        <v>302223.06</v>
      </c>
      <c r="F3" s="1969"/>
      <c r="G3" s="280" t="s">
        <v>858</v>
      </c>
      <c r="H3" s="275" t="s">
        <v>859</v>
      </c>
      <c r="I3" s="1961">
        <f>ROUND('数据-基础表'!B3/'数据-基础表'!A3,2)</f>
        <v>2.87</v>
      </c>
      <c r="J3" s="1969"/>
      <c r="K3" s="1969"/>
      <c r="L3" s="1969"/>
    </row>
    <row r="4" spans="1:16" ht="15">
      <c r="A4" s="3320"/>
      <c r="B4" s="3321"/>
      <c r="C4" s="3322"/>
      <c r="D4" s="108" t="s">
        <v>204</v>
      </c>
      <c r="E4" s="109" t="s">
        <v>205</v>
      </c>
      <c r="F4" s="1969"/>
      <c r="G4" s="1197"/>
      <c r="H4" s="275" t="s">
        <v>860</v>
      </c>
      <c r="I4" s="1961">
        <f>ROUND(SUMIF('数据-基础表'!I9:AS9,"地上",'数据-基础表'!I5:AS5)/'数据-基础表'!A3,2)</f>
        <v>2.1</v>
      </c>
      <c r="J4" s="1969"/>
      <c r="K4" s="1969"/>
      <c r="L4" s="1969"/>
    </row>
    <row r="5" spans="1:16">
      <c r="A5" s="110" t="s">
        <v>207</v>
      </c>
      <c r="B5" s="3323" t="s">
        <v>230</v>
      </c>
      <c r="C5" s="3323"/>
      <c r="D5" s="111">
        <f>ROUND($D$3*E5/$E$3,2)</f>
        <v>75082.210000000006</v>
      </c>
      <c r="E5" s="112">
        <f>SUMIF('数据-基础表'!$11:$11,"住宅",'数据-基础表'!$5:$5)</f>
        <v>215330.94</v>
      </c>
      <c r="F5" s="1969"/>
      <c r="G5" s="280" t="s">
        <v>861</v>
      </c>
      <c r="H5" s="275" t="s">
        <v>859</v>
      </c>
      <c r="I5" s="1961">
        <f>ROUND(E31/D31,2)</f>
        <v>2.87</v>
      </c>
      <c r="J5" s="1969"/>
      <c r="K5" s="1969"/>
      <c r="L5" s="1969"/>
    </row>
    <row r="6" spans="1:16" ht="15" thickBot="1">
      <c r="A6" s="113"/>
      <c r="B6" s="3323" t="s">
        <v>208</v>
      </c>
      <c r="C6" s="3323"/>
      <c r="D6" s="111">
        <f>ROUND($D$3*E6/$E$3,2)</f>
        <v>30297.79</v>
      </c>
      <c r="E6" s="112">
        <f>E3-E5</f>
        <v>86892.12</v>
      </c>
      <c r="F6" s="1969"/>
      <c r="G6" s="1197"/>
      <c r="H6" s="275" t="s">
        <v>860</v>
      </c>
      <c r="I6" s="1961">
        <f>ROUND(F31/D31,2)</f>
        <v>2.1</v>
      </c>
      <c r="J6" s="1969"/>
      <c r="K6" s="1969"/>
      <c r="L6" s="1969"/>
    </row>
    <row r="7" spans="1:16" ht="15">
      <c r="A7" s="3315"/>
      <c r="B7" s="3316"/>
      <c r="C7" s="3317"/>
      <c r="D7" s="108" t="s">
        <v>204</v>
      </c>
      <c r="E7" s="114" t="s">
        <v>231</v>
      </c>
      <c r="F7" s="1969"/>
      <c r="G7" s="1152" t="s">
        <v>1645</v>
      </c>
      <c r="H7" s="1153"/>
      <c r="I7" s="1831"/>
      <c r="J7" s="1969"/>
      <c r="K7" s="1969"/>
      <c r="L7" s="1969"/>
    </row>
    <row r="8" spans="1:16">
      <c r="A8" s="110" t="s">
        <v>209</v>
      </c>
      <c r="B8" s="115" t="s">
        <v>210</v>
      </c>
      <c r="C8" s="111" t="s">
        <v>211</v>
      </c>
      <c r="D8" s="111">
        <f t="shared" ref="D8:D15" si="0">ROUND($D$3*E8/$E$3,2)</f>
        <v>75761.210000000006</v>
      </c>
      <c r="E8" s="116">
        <f>SUMIF('数据-基础表'!BB10:BK10,"地上",'数据-基础表'!BB5:BK5)</f>
        <v>217278.27</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6113.22</v>
      </c>
      <c r="E12" s="116">
        <f>SUMPRODUCT(('数据-基础表'!BB10:BK10="地下")*('数据-基础表'!BB11:BK11="仓储")*('数据-基础表'!BB5:BK5))</f>
        <v>17532.330000000002</v>
      </c>
      <c r="F12" s="1969"/>
      <c r="G12" s="1971"/>
      <c r="H12" s="1971"/>
      <c r="I12" s="1969"/>
      <c r="J12" s="1969"/>
      <c r="K12" s="1969"/>
      <c r="L12" s="1969"/>
    </row>
    <row r="13" spans="1:16">
      <c r="A13" s="117"/>
      <c r="B13" s="118"/>
      <c r="C13" s="2316" t="s">
        <v>2334</v>
      </c>
      <c r="D13" s="111">
        <f t="shared" si="0"/>
        <v>16456.689999999999</v>
      </c>
      <c r="E13" s="116">
        <f>SUMPRODUCT(('数据-基础表'!BB10:BK10="地下")*('数据-基础表'!BB11:BK11="车库")*('数据-基础表'!BB5:BK5))</f>
        <v>47196.729999999996</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98331.12000000001</v>
      </c>
      <c r="E16" s="120">
        <f>SUM(E8:E15)</f>
        <v>282007.32999999996</v>
      </c>
      <c r="F16" s="1969"/>
      <c r="G16" s="1971"/>
      <c r="H16" s="968" t="s">
        <v>219</v>
      </c>
      <c r="I16" s="969"/>
      <c r="J16" s="1969"/>
      <c r="K16" s="3309" t="s">
        <v>2566</v>
      </c>
      <c r="L16" s="3310"/>
      <c r="M16" s="3310"/>
      <c r="N16" s="3310"/>
      <c r="O16" s="3310"/>
      <c r="P16" s="3311"/>
    </row>
    <row r="17" spans="1:19" ht="15">
      <c r="A17" s="121" t="s">
        <v>216</v>
      </c>
      <c r="B17" s="122" t="s">
        <v>217</v>
      </c>
      <c r="C17" s="2283" t="s">
        <v>2313</v>
      </c>
      <c r="D17" s="108" t="s">
        <v>204</v>
      </c>
      <c r="E17" s="124" t="s">
        <v>205</v>
      </c>
      <c r="F17" s="125"/>
      <c r="G17" s="1362"/>
      <c r="H17" s="970" t="s">
        <v>218</v>
      </c>
      <c r="I17" s="971" t="s">
        <v>2312</v>
      </c>
      <c r="J17" s="1969"/>
      <c r="K17" s="3312" t="s">
        <v>2567</v>
      </c>
      <c r="L17" s="3313"/>
      <c r="M17" s="3314"/>
      <c r="N17" s="3312" t="s">
        <v>2568</v>
      </c>
      <c r="O17" s="3313"/>
      <c r="P17" s="3314"/>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923</v>
      </c>
      <c r="D19" s="111">
        <f t="shared" ref="D19:D26" si="1">ROUND($D$3*E19/$E$3,2)</f>
        <v>58528.05</v>
      </c>
      <c r="E19" s="134">
        <f t="shared" ref="E19:E26" si="2">SUM(F19:G19)</f>
        <v>167854.67</v>
      </c>
      <c r="F19" s="135">
        <f>'数据-基础表'!I13</f>
        <v>167854.67</v>
      </c>
      <c r="G19" s="1364"/>
      <c r="H19" s="974">
        <f>ROUND($D$3*I19/$E$3,2)</f>
        <v>4195.59</v>
      </c>
      <c r="I19" s="116">
        <f>IF($I$17="自定义",P19,M19)</f>
        <v>12032.68</v>
      </c>
      <c r="J19" s="1969"/>
      <c r="K19" s="2572">
        <f t="shared" ref="K19:K26" si="3">ROUND(E$28*E19/E$27,2)</f>
        <v>12032.68</v>
      </c>
      <c r="L19" s="275">
        <f t="shared" ref="L19:L26" si="4">ROUND(IF(COUNTIF(C19,"*住宅*")&gt;0,E$29*E19/E$32,0),2)</f>
        <v>0</v>
      </c>
      <c r="M19" s="2573">
        <f>K19+L19</f>
        <v>12032.68</v>
      </c>
      <c r="N19" s="2574"/>
      <c r="O19" s="2575"/>
      <c r="P19" s="2576">
        <f>N19+O19</f>
        <v>0</v>
      </c>
      <c r="R19" s="275">
        <f t="shared" ref="R19:S26" si="5">D19+H19</f>
        <v>62723.64</v>
      </c>
      <c r="S19" s="2286">
        <f t="shared" si="5"/>
        <v>179887.35</v>
      </c>
    </row>
    <row r="20" spans="1:19">
      <c r="A20" s="138"/>
      <c r="B20" s="115" t="s">
        <v>226</v>
      </c>
      <c r="C20" s="2977" t="s">
        <v>3001</v>
      </c>
      <c r="D20" s="111">
        <f t="shared" si="1"/>
        <v>16554.16</v>
      </c>
      <c r="E20" s="134">
        <f t="shared" si="2"/>
        <v>47476.27</v>
      </c>
      <c r="F20" s="135">
        <f>'数据-基础表'!K14</f>
        <v>47476.27</v>
      </c>
      <c r="G20" s="1364"/>
      <c r="H20" s="974">
        <f t="shared" ref="H20:H26" si="6">ROUND($D$3*I20/$E$3,2)</f>
        <v>1186.69</v>
      </c>
      <c r="I20" s="116">
        <f t="shared" ref="I20:I26" si="7">IF($I$17="自定义",P20,M20)</f>
        <v>3403.34</v>
      </c>
      <c r="J20" s="1969"/>
      <c r="K20" s="2572">
        <f t="shared" si="3"/>
        <v>3403.34</v>
      </c>
      <c r="L20" s="275">
        <f t="shared" si="4"/>
        <v>0</v>
      </c>
      <c r="M20" s="2573">
        <f t="shared" ref="M20:M26" si="8">K20+L20</f>
        <v>3403.34</v>
      </c>
      <c r="N20" s="2574"/>
      <c r="O20" s="2575"/>
      <c r="P20" s="2576">
        <f t="shared" ref="P20:P26" si="9">N20+O20</f>
        <v>0</v>
      </c>
      <c r="R20" s="275">
        <f t="shared" si="5"/>
        <v>17740.849999999999</v>
      </c>
      <c r="S20" s="2286">
        <f t="shared" si="5"/>
        <v>50879.61</v>
      </c>
    </row>
    <row r="21" spans="1:19">
      <c r="A21" s="138"/>
      <c r="B21" s="115" t="s">
        <v>226</v>
      </c>
      <c r="C21" s="2977" t="s">
        <v>2999</v>
      </c>
      <c r="D21" s="111">
        <f t="shared" si="1"/>
        <v>679</v>
      </c>
      <c r="E21" s="134">
        <f t="shared" si="2"/>
        <v>1947.33</v>
      </c>
      <c r="F21" s="135">
        <f>'数据-基础表'!M15</f>
        <v>1947.33</v>
      </c>
      <c r="G21" s="1364"/>
      <c r="H21" s="974">
        <f t="shared" si="6"/>
        <v>48.67</v>
      </c>
      <c r="I21" s="116">
        <f t="shared" si="7"/>
        <v>139.59</v>
      </c>
      <c r="J21" s="1969"/>
      <c r="K21" s="2572">
        <f t="shared" si="3"/>
        <v>139.59</v>
      </c>
      <c r="L21" s="275">
        <f t="shared" si="4"/>
        <v>0</v>
      </c>
      <c r="M21" s="2573">
        <f t="shared" si="8"/>
        <v>139.59</v>
      </c>
      <c r="N21" s="2574"/>
      <c r="O21" s="2575"/>
      <c r="P21" s="2576">
        <f t="shared" si="9"/>
        <v>0</v>
      </c>
      <c r="R21" s="275">
        <f t="shared" si="5"/>
        <v>727.67</v>
      </c>
      <c r="S21" s="2286">
        <f t="shared" si="5"/>
        <v>2086.92</v>
      </c>
    </row>
    <row r="22" spans="1:19">
      <c r="A22" s="138"/>
      <c r="B22" s="115" t="s">
        <v>226</v>
      </c>
      <c r="C22" s="1361" t="s">
        <v>3005</v>
      </c>
      <c r="D22" s="111">
        <f t="shared" si="1"/>
        <v>16456.689999999999</v>
      </c>
      <c r="E22" s="134">
        <f t="shared" si="2"/>
        <v>47196.729999999996</v>
      </c>
      <c r="F22" s="140"/>
      <c r="G22" s="1365">
        <f>'数据-基础表'!S18</f>
        <v>47196.729999999996</v>
      </c>
      <c r="H22" s="974">
        <f t="shared" si="6"/>
        <v>1179.7</v>
      </c>
      <c r="I22" s="116">
        <f t="shared" si="7"/>
        <v>3383.3</v>
      </c>
      <c r="J22" s="1969"/>
      <c r="K22" s="2572">
        <f t="shared" si="3"/>
        <v>3383.3</v>
      </c>
      <c r="L22" s="275">
        <f t="shared" si="4"/>
        <v>0</v>
      </c>
      <c r="M22" s="2573">
        <f t="shared" si="8"/>
        <v>3383.3</v>
      </c>
      <c r="N22" s="2574"/>
      <c r="O22" s="2575"/>
      <c r="P22" s="2576">
        <f t="shared" si="9"/>
        <v>0</v>
      </c>
      <c r="R22" s="275">
        <f t="shared" si="5"/>
        <v>17636.39</v>
      </c>
      <c r="S22" s="2286">
        <f t="shared" si="5"/>
        <v>50580.03</v>
      </c>
    </row>
    <row r="23" spans="1:19">
      <c r="A23" s="138"/>
      <c r="B23" s="115" t="s">
        <v>226</v>
      </c>
      <c r="C23" s="139" t="s">
        <v>3052</v>
      </c>
      <c r="D23" s="111">
        <f>ROUND($D$3*E23/$E$3,2)</f>
        <v>2251.84</v>
      </c>
      <c r="E23" s="134">
        <f>SUM(F23:G23)</f>
        <v>6458.14</v>
      </c>
      <c r="F23" s="140"/>
      <c r="G23" s="1365">
        <f>'数据-基础表'!O16</f>
        <v>6458.14</v>
      </c>
      <c r="H23" s="974">
        <f>ROUND($D$3*I23/$E$3,2)</f>
        <v>161.41999999999999</v>
      </c>
      <c r="I23" s="116">
        <f t="shared" si="7"/>
        <v>462.95</v>
      </c>
      <c r="J23" s="1969"/>
      <c r="K23" s="2572">
        <f t="shared" si="3"/>
        <v>462.95</v>
      </c>
      <c r="L23" s="275">
        <f t="shared" si="4"/>
        <v>0</v>
      </c>
      <c r="M23" s="2573">
        <f t="shared" si="8"/>
        <v>462.95</v>
      </c>
      <c r="N23" s="2574"/>
      <c r="O23" s="2575"/>
      <c r="P23" s="2576">
        <f t="shared" si="9"/>
        <v>0</v>
      </c>
      <c r="R23" s="275">
        <f t="shared" si="5"/>
        <v>2413.2600000000002</v>
      </c>
      <c r="S23" s="2286">
        <f t="shared" si="5"/>
        <v>6921.09</v>
      </c>
    </row>
    <row r="24" spans="1:19">
      <c r="A24" s="138"/>
      <c r="B24" s="115" t="s">
        <v>226</v>
      </c>
      <c r="C24" s="3538" t="s">
        <v>3278</v>
      </c>
      <c r="D24" s="111">
        <f>ROUND($D$3*E24/$E$3,2)</f>
        <v>3861.38</v>
      </c>
      <c r="E24" s="134">
        <f>SUM(F24:G24)</f>
        <v>11074.19</v>
      </c>
      <c r="F24" s="140"/>
      <c r="G24" s="1365">
        <f>'数据-基础表'!Q17</f>
        <v>11074.19</v>
      </c>
      <c r="H24" s="974">
        <f>ROUND($D$3*I24/$E$3,2)</f>
        <v>276.8</v>
      </c>
      <c r="I24" s="116">
        <f t="shared" si="7"/>
        <v>793.85</v>
      </c>
      <c r="J24" s="1969"/>
      <c r="K24" s="2572">
        <f t="shared" si="3"/>
        <v>793.85</v>
      </c>
      <c r="L24" s="275">
        <f t="shared" si="4"/>
        <v>0</v>
      </c>
      <c r="M24" s="2573">
        <f t="shared" si="8"/>
        <v>793.85</v>
      </c>
      <c r="N24" s="2574"/>
      <c r="O24" s="2575"/>
      <c r="P24" s="2576">
        <f t="shared" si="9"/>
        <v>0</v>
      </c>
      <c r="R24" s="275">
        <f t="shared" si="5"/>
        <v>4138.18</v>
      </c>
      <c r="S24" s="2286">
        <f t="shared" si="5"/>
        <v>11868.04</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98331.12000000001</v>
      </c>
      <c r="E27" s="143">
        <f>IF(SUM(E19:E26)='数据-基础表'!BA5,SUM(E19:E26),IF(F27="地上面积有误","面积有误","地下面积有误"))</f>
        <v>282007.33</v>
      </c>
      <c r="F27" s="134">
        <f>IF(SUM(F19:F26)=E8,SUM(F19:F26),"地上面积有误")</f>
        <v>217278.27</v>
      </c>
      <c r="G27" s="112">
        <f>SUM(G19:G26)</f>
        <v>64729.06</v>
      </c>
      <c r="H27" s="975">
        <f>SUM(H19:H26)</f>
        <v>7048.8700000000008</v>
      </c>
      <c r="I27" s="976">
        <f>SUM(I19:I26)</f>
        <v>20215.71</v>
      </c>
      <c r="J27" s="1969"/>
      <c r="K27" s="2581">
        <f>SUM(K19:K26)</f>
        <v>20215.71</v>
      </c>
      <c r="L27" s="2582">
        <f>SUM(L19:L26)</f>
        <v>0</v>
      </c>
      <c r="M27" s="2583">
        <f>SUM(M19:M26)</f>
        <v>20215.71</v>
      </c>
      <c r="N27" s="2581">
        <f t="shared" ref="N27:O27" si="10">SUM(N19:N26)</f>
        <v>0</v>
      </c>
      <c r="O27" s="2582">
        <f t="shared" si="10"/>
        <v>0</v>
      </c>
      <c r="P27" s="2584">
        <f>SUM(P19:P26)</f>
        <v>0</v>
      </c>
      <c r="R27" s="2290" t="str">
        <f>IF(SUM(R19:R26)=$D$3,SUM(R19:R26),SUM(R19:R26)&amp;"误差"&amp;ROUND(SUM(R19:R26)-$D$3,2))</f>
        <v>105379.99误差-0.01</v>
      </c>
      <c r="S27" s="275" t="str">
        <f>IF(SUM(S19:S26)=$E$3,SUM(S19:S26),SUM(S19:S26)&amp;"误差"&amp;ROUND(SUM(S19:S26)-E3,2))</f>
        <v>302223.04误差-0.02</v>
      </c>
    </row>
    <row r="28" spans="1:19">
      <c r="A28" s="138"/>
      <c r="B28" s="115" t="s">
        <v>227</v>
      </c>
      <c r="C28" s="136" t="s">
        <v>228</v>
      </c>
      <c r="D28" s="111">
        <f>ROUND($D$3*E28/$E$3,2)</f>
        <v>7048.88</v>
      </c>
      <c r="E28" s="134">
        <f>SUM(F28:G28)</f>
        <v>20215.73</v>
      </c>
      <c r="F28" s="144">
        <f>'数据-基础表'!BQ5+'数据-基础表'!BS5</f>
        <v>4019.7300000000005</v>
      </c>
      <c r="G28" s="145">
        <f>'数据-基础表'!BR5+'数据-基础表'!BT5</f>
        <v>16196</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7048.88</v>
      </c>
      <c r="E30" s="134">
        <f>SUM(E28:E29)</f>
        <v>20215.73</v>
      </c>
      <c r="F30" s="134">
        <f>SUM(F28:F29)</f>
        <v>4019.7300000000005</v>
      </c>
      <c r="G30" s="112">
        <f>SUM(G28:G29)</f>
        <v>16196</v>
      </c>
      <c r="H30" s="1969"/>
      <c r="I30" s="1969"/>
      <c r="J30" s="1969"/>
      <c r="K30" s="1969"/>
      <c r="L30" s="1969"/>
    </row>
    <row r="31" spans="1:19" ht="32.25" customHeight="1" thickBot="1">
      <c r="A31" s="1366"/>
      <c r="B31" s="1367" t="s">
        <v>229</v>
      </c>
      <c r="C31" s="2315" t="s">
        <v>2322</v>
      </c>
      <c r="D31" s="1368">
        <f>D27+D30</f>
        <v>105380.00000000001</v>
      </c>
      <c r="E31" s="1368">
        <f>E27+E30</f>
        <v>302223.06</v>
      </c>
      <c r="F31" s="1369">
        <f>F27+F30</f>
        <v>221298</v>
      </c>
      <c r="G31" s="1370">
        <f>G27+G30</f>
        <v>80925.06</v>
      </c>
      <c r="H31" s="1969"/>
      <c r="I31" s="1969"/>
      <c r="J31" s="1969"/>
      <c r="K31" s="1969"/>
      <c r="L31" s="1969"/>
    </row>
    <row r="32" spans="1:19">
      <c r="A32" s="1969"/>
      <c r="B32" s="2327" t="s">
        <v>2321</v>
      </c>
      <c r="C32" s="2611"/>
      <c r="D32" s="1197"/>
      <c r="E32" s="1197">
        <f>SUMIF(C19:C26,"*住宅*",E19:E26)</f>
        <v>167854.67</v>
      </c>
      <c r="F32" s="1197"/>
      <c r="G32" s="1197"/>
    </row>
    <row r="33" spans="4:9">
      <c r="D33" s="1973"/>
    </row>
    <row r="35" spans="4:9">
      <c r="E35" s="3540" t="s">
        <v>923</v>
      </c>
      <c r="F35" s="3541">
        <f>E19/$E$31</f>
        <v>0.55539994201633724</v>
      </c>
      <c r="I35" s="3537"/>
    </row>
    <row r="36" spans="4:9">
      <c r="E36" s="3540" t="s">
        <v>3001</v>
      </c>
      <c r="F36" s="3541">
        <f t="shared" ref="F36:F40" si="11">E20/$E$31</f>
        <v>0.15709016380153121</v>
      </c>
    </row>
    <row r="37" spans="4:9">
      <c r="E37" s="3540" t="s">
        <v>2999</v>
      </c>
      <c r="F37" s="3541">
        <f t="shared" si="11"/>
        <v>6.4433534621745935E-3</v>
      </c>
    </row>
    <row r="38" spans="4:9">
      <c r="E38" s="3540" t="s">
        <v>3005</v>
      </c>
      <c r="F38" s="3541">
        <f t="shared" si="11"/>
        <v>0.15616521783612408</v>
      </c>
    </row>
    <row r="39" spans="4:9">
      <c r="E39" s="3540" t="s">
        <v>3052</v>
      </c>
      <c r="F39" s="3541">
        <f t="shared" si="11"/>
        <v>2.1368786352702538E-2</v>
      </c>
    </row>
    <row r="40" spans="4:9">
      <c r="E40" s="3540" t="s">
        <v>3052</v>
      </c>
      <c r="F40" s="3541">
        <f t="shared" si="11"/>
        <v>3.6642438866180495E-2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2" sqref="M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43672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69260</v>
      </c>
      <c r="F6" s="174">
        <f>SUMIF(项目基本情况!D$15:I$15,C6,项目基本情况!D$19:I$19)</f>
        <v>70</v>
      </c>
      <c r="G6" s="175">
        <f>IF(ISERROR(ROUND(POWER(1+H6,D6-F6)*(POWER(1+H6,F6)-1)/(POWER(1+H6,D6)-1),3)),0,ROUND(POWER(1+H6,D6-F6)*(POWER(1+H6,F6)-1)/(POWER(1+H6,D6)-1),3))</f>
        <v>1</v>
      </c>
      <c r="H6" s="2978">
        <v>4.4999999999999998E-2</v>
      </c>
      <c r="I6" s="2978">
        <v>0.05</v>
      </c>
      <c r="J6" s="176">
        <v>8.5000000000000006E-2</v>
      </c>
      <c r="K6" s="179">
        <f>SUMIF('数据-汇总表'!C$19:C$33,'数据-取费表'!A6,'数据-汇总表'!E$19:E$33)</f>
        <v>167854.67</v>
      </c>
      <c r="L6" s="3219">
        <v>3400</v>
      </c>
      <c r="M6" s="177">
        <f t="shared" ref="M6:M14" si="0">ROUND(K6*L6/10000,0)</f>
        <v>57071</v>
      </c>
      <c r="N6" s="2979">
        <v>0</v>
      </c>
      <c r="O6" s="177">
        <f>IF($N$5="成新度","——",ROUND(M6*N6,0))</f>
        <v>0</v>
      </c>
      <c r="P6" s="178">
        <f>IF($N$5="成新度","——",M6-O6)</f>
        <v>57071</v>
      </c>
      <c r="Q6" s="2980">
        <v>0.2</v>
      </c>
      <c r="R6" s="179">
        <f>SUMIF('数据-汇总表'!C$19:C$33,A6,'数据-汇总表'!R$19:R$33)</f>
        <v>62723.64</v>
      </c>
      <c r="S6" s="132">
        <f>IF('数据-汇总表'!$I$17="按面积比例",SUMIF('数据-汇总表'!C$19:C$33,A6,'数据-汇总表'!K$19:K$33),SUMIF('数据-汇总表'!C$19:C$33,A6,'数据-汇总表'!N$19:N$33))</f>
        <v>12032.68</v>
      </c>
      <c r="T6" s="2219">
        <f>IF($T$4="按面积比例",IF(ISERROR(ROUND($M$14*S6/S$16,0)),"0",ROUND($M$14*S6/S$16,0)),"需自行计算录入")</f>
        <v>3008</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叠拼</v>
      </c>
      <c r="B7" s="2322" t="str">
        <f t="shared" ref="B7:B13" si="1">IF(A7=0,"","经营性")</f>
        <v>经营性</v>
      </c>
      <c r="C7" s="173" t="s">
        <v>923</v>
      </c>
      <c r="D7" s="2293">
        <f>SUMIF(项目基本情况!D$15:I$15,C7,项目基本情况!D$18:I$18)</f>
        <v>70</v>
      </c>
      <c r="E7" s="2294">
        <f>IF(B7="","",SUMIF(项目基本情况!D$15:I$15,C7,项目基本情况!D$17:I$17))</f>
        <v>69260</v>
      </c>
      <c r="F7" s="174">
        <f>SUMIF(项目基本情况!D$15:I$15,C7,项目基本情况!D$19:I$19)</f>
        <v>70</v>
      </c>
      <c r="G7" s="175">
        <f t="shared" ref="G7:G11" si="2">IF(ISERROR(ROUND(POWER(1+H7,D7-F7)*(POWER(1+H7,F7)-1)/(POWER(1+H7,D7)-1),3)),0,ROUND(POWER(1+H7,D7-F7)*(POWER(1+H7,F7)-1)/(POWER(1+H7,D7)-1),3))</f>
        <v>1</v>
      </c>
      <c r="H7" s="2978">
        <v>4.4999999999999998E-2</v>
      </c>
      <c r="I7" s="2978">
        <v>0.05</v>
      </c>
      <c r="J7" s="176">
        <v>8.5000000000000006E-2</v>
      </c>
      <c r="K7" s="179">
        <f>SUMIF('数据-汇总表'!C$19:C$33,'数据-取费表'!A7,'数据-汇总表'!E$19:E$33)</f>
        <v>47476.27</v>
      </c>
      <c r="L7" s="3219">
        <v>3000</v>
      </c>
      <c r="M7" s="177">
        <f t="shared" si="0"/>
        <v>14243</v>
      </c>
      <c r="N7" s="2979">
        <v>0</v>
      </c>
      <c r="O7" s="177">
        <f t="shared" ref="O7:O14" si="3">IF($N$5="成新度","——",ROUND(M7*N7,0))</f>
        <v>0</v>
      </c>
      <c r="P7" s="178">
        <f t="shared" ref="P7:P14" si="4">IF($N$5="成新度","——",M7-O7)</f>
        <v>14243</v>
      </c>
      <c r="Q7" s="3221">
        <v>0.25</v>
      </c>
      <c r="R7" s="179">
        <f>SUMIF('数据-汇总表'!C$19:C$33,A7,'数据-汇总表'!R$19:R$33)</f>
        <v>17740.849999999999</v>
      </c>
      <c r="S7" s="132">
        <f>IF('数据-汇总表'!$I$17="按面积比例",SUMIF('数据-汇总表'!C$19:C$33,A7,'数据-汇总表'!K$19:K$33),SUMIF('数据-汇总表'!C$19:C$33,A7,'数据-汇总表'!N$19:N$33))</f>
        <v>3403.34</v>
      </c>
      <c r="T7" s="2219">
        <f t="shared" ref="T7:T13" si="5">IF($T$4="按面积比例",IF(ISERROR(ROUND($M$14*S7/S$16,0)),"0",ROUND($M$14*S7/S$16,0)),"需自行计算录入")</f>
        <v>851</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0.95399999999999996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商业</v>
      </c>
      <c r="B8" s="2322" t="str">
        <f t="shared" si="1"/>
        <v>经营性</v>
      </c>
      <c r="C8" s="173" t="s">
        <v>2999</v>
      </c>
      <c r="D8" s="2293">
        <f>SUMIF(项目基本情况!D$15:I$15,C8,项目基本情况!D$18:I$18)</f>
        <v>40</v>
      </c>
      <c r="E8" s="2294">
        <f>IF(B8="","",SUMIF(项目基本情况!D$15:I$15,C8,项目基本情况!D$17:I$17))</f>
        <v>58302</v>
      </c>
      <c r="F8" s="174">
        <f>SUMIF(项目基本情况!D$15:I$15,C8,项目基本情况!D$19:I$19)</f>
        <v>40</v>
      </c>
      <c r="G8" s="175">
        <f t="shared" si="2"/>
        <v>1</v>
      </c>
      <c r="H8" s="2978">
        <v>0.05</v>
      </c>
      <c r="I8" s="2978">
        <v>5.5E-2</v>
      </c>
      <c r="J8" s="176">
        <v>8.5000000000000006E-2</v>
      </c>
      <c r="K8" s="179">
        <f>SUMIF('数据-汇总表'!C$19:C$33,'数据-取费表'!A8,'数据-汇总表'!E$19:E$33)</f>
        <v>1947.33</v>
      </c>
      <c r="L8" s="3219">
        <v>3000</v>
      </c>
      <c r="M8" s="177">
        <f>ROUND(K8*L8/10000,0)</f>
        <v>584</v>
      </c>
      <c r="N8" s="2979">
        <v>0</v>
      </c>
      <c r="O8" s="177">
        <f t="shared" si="3"/>
        <v>0</v>
      </c>
      <c r="P8" s="178">
        <f t="shared" si="4"/>
        <v>584</v>
      </c>
      <c r="Q8" s="3221">
        <v>0.2</v>
      </c>
      <c r="R8" s="179">
        <f>SUMIF('数据-汇总表'!C$19:C$33,A8,'数据-汇总表'!R$19:R$33)</f>
        <v>727.67</v>
      </c>
      <c r="S8" s="132">
        <f>IF('数据-汇总表'!$I$17="按面积比例",SUMIF('数据-汇总表'!C$19:C$33,A8,'数据-汇总表'!K$19:K$33),SUMIF('数据-汇总表'!C$19:C$33,A8,'数据-汇总表'!N$19:N$33))</f>
        <v>139.59</v>
      </c>
      <c r="T8" s="2219">
        <f t="shared" si="5"/>
        <v>35</v>
      </c>
      <c r="U8" s="3223">
        <v>1.8</v>
      </c>
      <c r="V8" s="181">
        <v>0.03</v>
      </c>
      <c r="W8" s="181">
        <v>0.1</v>
      </c>
      <c r="X8" s="2306"/>
      <c r="Y8" s="182">
        <v>1</v>
      </c>
      <c r="Z8" s="183"/>
      <c r="AA8" s="176"/>
      <c r="AB8" s="176"/>
      <c r="AC8" s="2309"/>
      <c r="AD8" s="184"/>
      <c r="AE8" s="972">
        <f t="shared" ca="1" si="6"/>
        <v>36.5</v>
      </c>
      <c r="AF8" s="141"/>
      <c r="AG8" s="1209">
        <f t="shared" si="7"/>
        <v>0</v>
      </c>
      <c r="AH8" s="141"/>
      <c r="AI8" s="187">
        <v>365</v>
      </c>
      <c r="AJ8" s="188"/>
      <c r="AK8" s="189">
        <v>1.4999999999999999E-2</v>
      </c>
      <c r="AL8" s="190">
        <v>1.5E-3</v>
      </c>
      <c r="AM8" s="2354">
        <v>0.01</v>
      </c>
      <c r="AN8" s="2356" t="s">
        <v>3258</v>
      </c>
      <c r="AO8" s="1985"/>
      <c r="AP8" s="1200">
        <f t="shared" si="8"/>
        <v>0.85799999999999998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t="str">
        <f>'数据-汇总表'!C22</f>
        <v>车库</v>
      </c>
      <c r="B9" s="2322" t="str">
        <f t="shared" si="1"/>
        <v>经营性</v>
      </c>
      <c r="C9" s="173" t="s">
        <v>3005</v>
      </c>
      <c r="D9" s="2293">
        <f>SUMIF(项目基本情况!D$15:I$15,C9,项目基本情况!D$18:I$18)</f>
        <v>50</v>
      </c>
      <c r="E9" s="2294">
        <f>IF(B9="","",SUMIF(项目基本情况!D$15:I$15,C9,项目基本情况!D$17:I$17))</f>
        <v>61955</v>
      </c>
      <c r="F9" s="174">
        <f>SUMIF(项目基本情况!D$15:I$15,C9,项目基本情况!D$19:I$19)</f>
        <v>50</v>
      </c>
      <c r="G9" s="175">
        <f t="shared" si="2"/>
        <v>1</v>
      </c>
      <c r="H9" s="176">
        <v>0.04</v>
      </c>
      <c r="I9" s="176">
        <v>4.4999999999999998E-2</v>
      </c>
      <c r="J9" s="176">
        <v>8.5000000000000006E-2</v>
      </c>
      <c r="K9" s="179">
        <f>SUMIF('数据-汇总表'!C$19:C$33,'数据-取费表'!A9,'数据-汇总表'!E$19:E$33)</f>
        <v>47196.729999999996</v>
      </c>
      <c r="L9" s="3220">
        <v>2500</v>
      </c>
      <c r="M9" s="177">
        <f t="shared" si="0"/>
        <v>11799</v>
      </c>
      <c r="N9" s="194">
        <v>0</v>
      </c>
      <c r="O9" s="177">
        <f t="shared" si="3"/>
        <v>0</v>
      </c>
      <c r="P9" s="178">
        <f t="shared" si="4"/>
        <v>11799</v>
      </c>
      <c r="Q9" s="3222">
        <v>0.05</v>
      </c>
      <c r="R9" s="179">
        <f>SUMIF('数据-汇总表'!C$19:C$33,A9,'数据-汇总表'!R$19:R$33)</f>
        <v>17636.39</v>
      </c>
      <c r="S9" s="132">
        <f>IF('数据-汇总表'!$I$17="按面积比例",SUMIF('数据-汇总表'!C$19:C$33,A9,'数据-汇总表'!K$19:K$33),SUMIF('数据-汇总表'!C$19:C$33,A9,'数据-汇总表'!N$19:N$33))</f>
        <v>3383.3</v>
      </c>
      <c r="T9" s="2219">
        <f t="shared" si="5"/>
        <v>846</v>
      </c>
      <c r="U9" s="180">
        <v>0.5</v>
      </c>
      <c r="V9" s="181">
        <v>0.03</v>
      </c>
      <c r="W9" s="181">
        <v>0.1</v>
      </c>
      <c r="X9" s="2306"/>
      <c r="Y9" s="182">
        <v>1</v>
      </c>
      <c r="Z9" s="183"/>
      <c r="AA9" s="176"/>
      <c r="AB9" s="176"/>
      <c r="AC9" s="2309"/>
      <c r="AD9" s="184"/>
      <c r="AE9" s="972">
        <f t="shared" ca="1" si="6"/>
        <v>46.5</v>
      </c>
      <c r="AF9" s="141"/>
      <c r="AG9" s="1209">
        <f t="shared" si="7"/>
        <v>0</v>
      </c>
      <c r="AH9" s="141"/>
      <c r="AI9" s="187">
        <v>365</v>
      </c>
      <c r="AJ9" s="188"/>
      <c r="AK9" s="189">
        <v>1.4999999999999999E-2</v>
      </c>
      <c r="AL9" s="190">
        <v>1.5E-3</v>
      </c>
      <c r="AM9" s="2354">
        <v>0.01</v>
      </c>
      <c r="AN9" s="2356" t="s">
        <v>3259</v>
      </c>
      <c r="AO9" s="1985"/>
      <c r="AP9" s="1200">
        <f t="shared" si="8"/>
        <v>0.85899999999999999</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t="str">
        <f>'数据-汇总表'!C23</f>
        <v>高层仓储</v>
      </c>
      <c r="B10" s="2322" t="str">
        <f t="shared" si="1"/>
        <v>经营性</v>
      </c>
      <c r="C10" s="173" t="s">
        <v>3004</v>
      </c>
      <c r="D10" s="2293">
        <f>SUMIF(项目基本情况!D$15:I$15,C10,项目基本情况!D$18:I$18)</f>
        <v>50</v>
      </c>
      <c r="E10" s="2294">
        <f>IF(B10="","",SUMIF(项目基本情况!D$15:I$15,C10,项目基本情况!D$17:I$17))</f>
        <v>61955</v>
      </c>
      <c r="F10" s="174">
        <f>SUMIF(项目基本情况!D$15:I$15,C10,项目基本情况!D$19:I$19)</f>
        <v>50</v>
      </c>
      <c r="G10" s="175">
        <f t="shared" si="2"/>
        <v>1</v>
      </c>
      <c r="H10" s="176">
        <v>4.4999999999999998E-2</v>
      </c>
      <c r="I10" s="176">
        <v>0.05</v>
      </c>
      <c r="J10" s="176">
        <v>8.5000000000000006E-2</v>
      </c>
      <c r="K10" s="179">
        <f>SUMIF('数据-汇总表'!C$19:C$33,'数据-取费表'!A10,'数据-汇总表'!E$19:E$33)</f>
        <v>6458.14</v>
      </c>
      <c r="L10" s="3220">
        <v>2500</v>
      </c>
      <c r="M10" s="177">
        <f t="shared" si="0"/>
        <v>1615</v>
      </c>
      <c r="N10" s="194">
        <v>0</v>
      </c>
      <c r="O10" s="177">
        <f t="shared" si="3"/>
        <v>0</v>
      </c>
      <c r="P10" s="178">
        <f t="shared" si="4"/>
        <v>1615</v>
      </c>
      <c r="Q10" s="192">
        <v>0.05</v>
      </c>
      <c r="R10" s="179">
        <f>SUMIF('数据-汇总表'!C$19:C$33,A10,'数据-汇总表'!R$19:R$33)</f>
        <v>2413.2600000000002</v>
      </c>
      <c r="S10" s="132">
        <f>IF('数据-汇总表'!$I$17="按面积比例",SUMIF('数据-汇总表'!C$19:C$33,A10,'数据-汇总表'!K$19:K$33),SUMIF('数据-汇总表'!C$19:C$33,A10,'数据-汇总表'!N$19:N$33))</f>
        <v>462.95</v>
      </c>
      <c r="T10" s="2219">
        <f t="shared" si="5"/>
        <v>116</v>
      </c>
      <c r="U10" s="180">
        <v>0.5</v>
      </c>
      <c r="V10" s="181">
        <v>0.03</v>
      </c>
      <c r="W10" s="181">
        <v>0.1</v>
      </c>
      <c r="X10" s="2306"/>
      <c r="Y10" s="182">
        <v>1</v>
      </c>
      <c r="Z10" s="183"/>
      <c r="AA10" s="176"/>
      <c r="AB10" s="176"/>
      <c r="AC10" s="2309"/>
      <c r="AD10" s="184"/>
      <c r="AE10" s="972">
        <f t="shared" ca="1" si="6"/>
        <v>46.5</v>
      </c>
      <c r="AF10" s="141"/>
      <c r="AG10" s="1209">
        <f t="shared" si="7"/>
        <v>0</v>
      </c>
      <c r="AH10" s="141"/>
      <c r="AI10" s="187">
        <v>365</v>
      </c>
      <c r="AJ10" s="188"/>
      <c r="AK10" s="189">
        <v>1.4999999999999999E-2</v>
      </c>
      <c r="AL10" s="190">
        <v>1.5E-3</v>
      </c>
      <c r="AM10" s="2354">
        <v>0.01</v>
      </c>
      <c r="AN10" s="2356" t="s">
        <v>3260</v>
      </c>
      <c r="AO10" s="1985"/>
      <c r="AP10" s="1200">
        <f t="shared" si="8"/>
        <v>0.88900000000000001</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t="str">
        <f>'数据-汇总表'!C24</f>
        <v>叠拼仓储</v>
      </c>
      <c r="B11" s="2322" t="str">
        <f t="shared" si="1"/>
        <v>经营性</v>
      </c>
      <c r="C11" s="173" t="s">
        <v>3004</v>
      </c>
      <c r="D11" s="2293">
        <f>SUMIF(项目基本情况!D$15:I$15,C11,项目基本情况!D$18:I$18)</f>
        <v>50</v>
      </c>
      <c r="E11" s="2294">
        <f>IF(B11="","",SUMIF(项目基本情况!D$15:I$15,C11,项目基本情况!D$17:I$17))</f>
        <v>61955</v>
      </c>
      <c r="F11" s="174">
        <f>SUMIF(项目基本情况!D$15:I$15,C11,项目基本情况!D$19:I$19)</f>
        <v>50</v>
      </c>
      <c r="G11" s="175">
        <f t="shared" si="2"/>
        <v>1</v>
      </c>
      <c r="H11" s="176">
        <v>4.4999999999999998E-2</v>
      </c>
      <c r="I11" s="176">
        <v>0.05</v>
      </c>
      <c r="J11" s="176">
        <v>8.5000000000000006E-2</v>
      </c>
      <c r="K11" s="179">
        <f>SUMIF('数据-汇总表'!C$19:C$33,'数据-取费表'!A11,'数据-汇总表'!E$19:E$33)</f>
        <v>11074.19</v>
      </c>
      <c r="L11" s="3220">
        <v>2500</v>
      </c>
      <c r="M11" s="177">
        <f t="shared" si="0"/>
        <v>2769</v>
      </c>
      <c r="N11" s="194">
        <v>0</v>
      </c>
      <c r="O11" s="177">
        <f t="shared" si="3"/>
        <v>0</v>
      </c>
      <c r="P11" s="178">
        <f t="shared" si="4"/>
        <v>2769</v>
      </c>
      <c r="Q11" s="192">
        <v>0.05</v>
      </c>
      <c r="R11" s="179">
        <f>SUMIF('数据-汇总表'!C$19:C$33,A11,'数据-汇总表'!R$19:R$33)</f>
        <v>4138.18</v>
      </c>
      <c r="S11" s="132">
        <f>IF('数据-汇总表'!$I$17="按面积比例",SUMIF('数据-汇总表'!C$19:C$33,A11,'数据-汇总表'!K$19:K$33),SUMIF('数据-汇总表'!C$19:C$33,A11,'数据-汇总表'!N$19:N$33))</f>
        <v>793.85</v>
      </c>
      <c r="T11" s="2219">
        <f t="shared" si="5"/>
        <v>198</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0.88900000000000001</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20215.73</v>
      </c>
      <c r="L14" s="193">
        <v>2500</v>
      </c>
      <c r="M14" s="177">
        <f t="shared" si="0"/>
        <v>5054</v>
      </c>
      <c r="N14" s="194">
        <v>0</v>
      </c>
      <c r="O14" s="177">
        <f t="shared" si="3"/>
        <v>0</v>
      </c>
      <c r="P14" s="178">
        <f t="shared" si="4"/>
        <v>5054</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302223.06</v>
      </c>
      <c r="L16" s="206">
        <f>ROUND(M16*10000/SUM(K6:K14),0)</f>
        <v>3082</v>
      </c>
      <c r="M16" s="206">
        <f>SUM(M6:M14)</f>
        <v>93135</v>
      </c>
      <c r="N16" s="207">
        <f>ROUND(SUMPRODUCT(M6:M14,N6:N14)/M16,3)</f>
        <v>0</v>
      </c>
      <c r="O16" s="206">
        <f>SUM(O6:O14)</f>
        <v>0</v>
      </c>
      <c r="P16" s="206">
        <f>SUM(P6:P14)</f>
        <v>93135</v>
      </c>
      <c r="Q16" s="208">
        <f>ROUND(SUMPRODUCT(Q6:Q13,K6:K13)/SUMPRODUCT((Q6:Q13&gt;0)*(K6:K13)),2)</f>
        <v>0.17</v>
      </c>
      <c r="R16" s="2296">
        <f>SUM(R6:R13)</f>
        <v>105379.98999999999</v>
      </c>
      <c r="S16" s="209">
        <f>SUM(S6:S13)</f>
        <v>20215.71</v>
      </c>
      <c r="T16" s="210">
        <f>IF(SUMIF(T6:T13,"&lt;9E307")=M14,SUMIF(T6:T13,"&lt;9E307"),"有误，请检查")</f>
        <v>5054</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0.93300000000000005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90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v>6</v>
      </c>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v>4</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v>2</v>
      </c>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4" t="s">
        <v>1663</v>
      </c>
      <c r="B1" s="3325"/>
      <c r="C1" s="3325"/>
      <c r="D1" s="3325"/>
      <c r="E1" s="3325"/>
      <c r="F1" s="3325"/>
      <c r="G1" s="3325"/>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7" sqref="D27"/>
    </sheetView>
  </sheetViews>
  <sheetFormatPr defaultColWidth="14.625" defaultRowHeight="13.5"/>
  <cols>
    <col min="1" max="1" width="24.375" customWidth="1"/>
  </cols>
  <sheetData>
    <row r="1" spans="1:9" ht="16.5">
      <c r="A1" s="2996" t="s">
        <v>2844</v>
      </c>
      <c r="B1" s="2996">
        <f>SUM(B14:B23)</f>
        <v>500401.61</v>
      </c>
      <c r="C1" s="2997"/>
      <c r="D1" s="2997"/>
      <c r="E1" s="2997"/>
      <c r="F1" s="2997"/>
    </row>
    <row r="2" spans="1:9" ht="16.5">
      <c r="A2" s="2996" t="s">
        <v>2845</v>
      </c>
      <c r="B2" s="2996">
        <f>SUM(C14:C23)</f>
        <v>201274</v>
      </c>
      <c r="C2" s="2997"/>
      <c r="D2" s="2997"/>
      <c r="E2" s="2997"/>
      <c r="F2" s="2997"/>
    </row>
    <row r="3" spans="1:9" ht="16.5">
      <c r="A3" s="2996" t="s">
        <v>2846</v>
      </c>
      <c r="B3" s="2998">
        <f>项目基本情况!D3</f>
        <v>43672</v>
      </c>
      <c r="C3" s="2997"/>
      <c r="D3" s="2997"/>
      <c r="E3" s="2997"/>
      <c r="F3" s="2997"/>
    </row>
    <row r="4" spans="1:9" ht="33">
      <c r="A4" s="2996" t="s">
        <v>2847</v>
      </c>
      <c r="B4" s="2996" t="s">
        <v>2848</v>
      </c>
      <c r="C4" s="2996" t="s">
        <v>2849</v>
      </c>
      <c r="D4" s="2996" t="s">
        <v>2850</v>
      </c>
      <c r="E4" s="2997"/>
      <c r="F4" s="2997"/>
    </row>
    <row r="5" spans="1:9" ht="16.5">
      <c r="A5" s="2996" t="s">
        <v>2851</v>
      </c>
      <c r="B5" s="2996">
        <f ca="1">SUM(D14:D23)</f>
        <v>170125</v>
      </c>
      <c r="C5" s="2996">
        <f ca="1">ROUND(B5*10000/$B$1,0)</f>
        <v>3400</v>
      </c>
      <c r="D5" s="2996">
        <f ca="1">ROUND(B5*10000/$B$2,0)</f>
        <v>8452</v>
      </c>
      <c r="E5" s="2997"/>
      <c r="F5" s="2997"/>
    </row>
    <row r="6" spans="1:9" ht="16.5">
      <c r="A6" s="2996" t="s">
        <v>2852</v>
      </c>
      <c r="B6" s="2996">
        <f ca="1">SUM(G14:G23)</f>
        <v>170125</v>
      </c>
      <c r="C6" s="2996">
        <f t="shared" ref="C6:C8" ca="1" si="0">ROUND(B6*10000/$B$1,0)</f>
        <v>3400</v>
      </c>
      <c r="D6" s="2996">
        <f t="shared" ref="D6:D8" ca="1" si="1">ROUND(B6*10000/$B$2,0)</f>
        <v>8452</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302223.06</v>
      </c>
      <c r="C14" s="3000">
        <f>结果表!K38</f>
        <v>105380</v>
      </c>
      <c r="D14" s="3000">
        <f ca="1">结果表!C42</f>
        <v>101882</v>
      </c>
      <c r="E14" s="3000">
        <f ca="1">ROUND(D14*10000/B14,0)</f>
        <v>3371</v>
      </c>
      <c r="F14" s="3000">
        <f ca="1">ROUND(D14*10000/C14,0)</f>
        <v>9668</v>
      </c>
      <c r="G14" s="3000">
        <f ca="1">结果表!C44</f>
        <v>101882</v>
      </c>
      <c r="H14" s="3000" t="str">
        <f>结果表!C45</f>
        <v>——</v>
      </c>
      <c r="I14" s="3000" t="str">
        <f>结果表!C46</f>
        <v>——</v>
      </c>
    </row>
    <row r="15" spans="1:9" ht="16.5">
      <c r="A15" s="3003" t="s">
        <v>2861</v>
      </c>
      <c r="B15" s="3004">
        <f>'[1]数据-汇总表'!$E$3</f>
        <v>198178.55000000002</v>
      </c>
      <c r="C15" s="3004">
        <f>'[1]数据-汇总表'!$D$3</f>
        <v>95894</v>
      </c>
      <c r="D15" s="3004">
        <f ca="1">[1]结果表!$G$19</f>
        <v>68243</v>
      </c>
      <c r="E15" s="3000">
        <f t="shared" ref="E15:E23" ca="1" si="2">ROUND(D15*10000/B15,0)</f>
        <v>3444</v>
      </c>
      <c r="F15" s="3000">
        <f t="shared" ref="F15:F23" ca="1" si="3">ROUND(D15*10000/C15,0)</f>
        <v>7117</v>
      </c>
      <c r="G15" s="3001">
        <f ca="1">D15</f>
        <v>68243</v>
      </c>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71" t="str">
        <f>项目基本情况!K2</f>
        <v>出让国有建设用地使用权</v>
      </c>
      <c r="B2" s="3372"/>
      <c r="C2" s="3373"/>
      <c r="D2" s="3373"/>
      <c r="E2" s="3373"/>
      <c r="F2" s="3373"/>
      <c r="G2" s="3372"/>
      <c r="H2" s="3372"/>
      <c r="I2" s="3374"/>
      <c r="J2" s="2015"/>
      <c r="K2" s="2014"/>
      <c r="L2" s="2014"/>
      <c r="M2" s="2014"/>
      <c r="N2" s="2014"/>
      <c r="O2" s="2014"/>
      <c r="P2" s="2014"/>
      <c r="Q2" s="2014"/>
      <c r="R2" s="2014"/>
      <c r="S2" s="2014"/>
      <c r="T2" s="2014"/>
      <c r="U2" s="2014"/>
      <c r="V2" s="2014"/>
    </row>
    <row r="3" spans="1:22" ht="14.25">
      <c r="A3" s="3382" t="s">
        <v>298</v>
      </c>
      <c r="B3" s="3383"/>
      <c r="C3" s="3383"/>
      <c r="D3" s="3383"/>
      <c r="E3" s="3383"/>
      <c r="F3" s="3383"/>
      <c r="G3" s="3383"/>
      <c r="H3" s="3383"/>
      <c r="I3" s="3383"/>
      <c r="J3" s="2015"/>
      <c r="K3" s="2014"/>
      <c r="L3" s="2014"/>
      <c r="M3" s="2014"/>
      <c r="N3" s="2014"/>
      <c r="O3" s="2014"/>
      <c r="P3" s="2014"/>
      <c r="Q3" s="2014"/>
      <c r="R3" s="2014"/>
      <c r="S3" s="2014"/>
      <c r="T3" s="2014"/>
      <c r="U3" s="2014"/>
      <c r="V3" s="2014"/>
    </row>
    <row r="4" spans="1:22" ht="14.25">
      <c r="A4" s="258" t="s">
        <v>299</v>
      </c>
      <c r="B4" s="259" t="s">
        <v>300</v>
      </c>
      <c r="C4" s="260" t="s">
        <v>3261</v>
      </c>
      <c r="D4" s="260" t="s">
        <v>3262</v>
      </c>
      <c r="E4" s="3346" t="s">
        <v>301</v>
      </c>
      <c r="F4" s="3388"/>
      <c r="G4" s="3388"/>
      <c r="H4" s="3388"/>
      <c r="I4" s="334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75" t="s">
        <v>302</v>
      </c>
      <c r="B5" s="3376">
        <v>25</v>
      </c>
      <c r="C5" s="3384"/>
      <c r="D5" s="3387"/>
      <c r="E5" s="261" t="s">
        <v>303</v>
      </c>
      <c r="F5" s="262"/>
      <c r="G5" s="262"/>
      <c r="H5" s="262"/>
      <c r="I5" s="263"/>
      <c r="J5" s="2015"/>
      <c r="K5" s="2014"/>
      <c r="L5" s="2014"/>
      <c r="M5" s="2014"/>
      <c r="N5" s="2014"/>
      <c r="O5" s="2014"/>
      <c r="P5" s="2014"/>
      <c r="Q5" s="2014"/>
      <c r="R5" s="2014"/>
      <c r="S5" s="2014"/>
      <c r="T5" s="2014"/>
      <c r="U5" s="2014"/>
      <c r="V5" s="2014"/>
    </row>
    <row r="6" spans="1:22" ht="14.25">
      <c r="A6" s="3375"/>
      <c r="B6" s="3376"/>
      <c r="C6" s="3385"/>
      <c r="D6" s="3387"/>
      <c r="E6" s="261" t="s">
        <v>304</v>
      </c>
      <c r="F6" s="262"/>
      <c r="G6" s="262"/>
      <c r="H6" s="262"/>
      <c r="I6" s="263"/>
      <c r="J6" s="2015"/>
      <c r="K6" s="2014"/>
      <c r="L6" s="2014"/>
      <c r="M6" s="2014"/>
      <c r="N6" s="2014"/>
      <c r="O6" s="2014"/>
      <c r="P6" s="2014"/>
      <c r="Q6" s="2014"/>
      <c r="R6" s="2014"/>
      <c r="S6" s="2014"/>
      <c r="T6" s="2014"/>
      <c r="U6" s="2014"/>
      <c r="V6" s="2014"/>
    </row>
    <row r="7" spans="1:22" ht="14.25">
      <c r="A7" s="3375"/>
      <c r="B7" s="3376"/>
      <c r="C7" s="3386"/>
      <c r="D7" s="3387"/>
      <c r="E7" s="261" t="s">
        <v>305</v>
      </c>
      <c r="F7" s="262"/>
      <c r="G7" s="262"/>
      <c r="H7" s="262"/>
      <c r="I7" s="263"/>
      <c r="J7" s="2015"/>
      <c r="K7" s="2014"/>
      <c r="L7" s="2014"/>
      <c r="M7" s="2014"/>
      <c r="N7" s="2014"/>
      <c r="O7" s="2014"/>
      <c r="P7" s="2014"/>
      <c r="Q7" s="2014"/>
      <c r="R7" s="2014"/>
      <c r="S7" s="2014"/>
      <c r="T7" s="2014"/>
      <c r="U7" s="2014"/>
      <c r="V7" s="2014"/>
    </row>
    <row r="8" spans="1:22" ht="14.25">
      <c r="A8" s="3375" t="s">
        <v>306</v>
      </c>
      <c r="B8" s="3376">
        <v>15</v>
      </c>
      <c r="C8" s="3384"/>
      <c r="D8" s="3387"/>
      <c r="E8" s="261" t="s">
        <v>307</v>
      </c>
      <c r="F8" s="262"/>
      <c r="G8" s="262"/>
      <c r="H8" s="262"/>
      <c r="I8" s="263"/>
      <c r="J8" s="2015"/>
      <c r="K8" s="2014"/>
      <c r="L8" s="2014"/>
      <c r="M8" s="2014"/>
      <c r="N8" s="2014"/>
      <c r="O8" s="2014"/>
      <c r="P8" s="2014"/>
      <c r="Q8" s="2014"/>
      <c r="R8" s="2014"/>
      <c r="S8" s="2014"/>
      <c r="T8" s="2014"/>
      <c r="U8" s="2014"/>
      <c r="V8" s="2014"/>
    </row>
    <row r="9" spans="1:22" ht="14.25">
      <c r="A9" s="3375"/>
      <c r="B9" s="3376"/>
      <c r="C9" s="3386"/>
      <c r="D9" s="3387"/>
      <c r="E9" s="261" t="s">
        <v>308</v>
      </c>
      <c r="F9" s="262"/>
      <c r="G9" s="262"/>
      <c r="H9" s="262"/>
      <c r="I9" s="263"/>
      <c r="J9" s="2015"/>
      <c r="K9" s="2014"/>
      <c r="L9" s="2014"/>
      <c r="M9" s="2014"/>
      <c r="N9" s="2014"/>
      <c r="O9" s="2014"/>
      <c r="P9" s="2014"/>
      <c r="Q9" s="2014"/>
      <c r="R9" s="2014"/>
      <c r="S9" s="2014"/>
      <c r="T9" s="2014"/>
      <c r="U9" s="2014"/>
      <c r="V9" s="2014"/>
    </row>
    <row r="10" spans="1:22" ht="14.25">
      <c r="A10" s="3375" t="s">
        <v>309</v>
      </c>
      <c r="B10" s="3376">
        <v>15</v>
      </c>
      <c r="C10" s="3384"/>
      <c r="D10" s="338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75"/>
      <c r="B11" s="3376"/>
      <c r="C11" s="3386"/>
      <c r="D11" s="338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75" t="s">
        <v>312</v>
      </c>
      <c r="B12" s="3376">
        <v>15</v>
      </c>
      <c r="C12" s="3384"/>
      <c r="D12" s="338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75"/>
      <c r="B13" s="3376"/>
      <c r="C13" s="3386"/>
      <c r="D13" s="338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75" t="s">
        <v>315</v>
      </c>
      <c r="B14" s="3376">
        <v>30</v>
      </c>
      <c r="C14" s="3384">
        <v>5</v>
      </c>
      <c r="D14" s="338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75"/>
      <c r="B15" s="3376"/>
      <c r="C15" s="3385"/>
      <c r="D15" s="338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75"/>
      <c r="B16" s="3376"/>
      <c r="C16" s="3386"/>
      <c r="D16" s="338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114419</v>
      </c>
      <c r="D19" s="271">
        <f ca="1">SUMIF(INDIRECT("'"&amp;D4&amp;"'"&amp;"!A:A"),结果表!B19,INDIRECT("'"&amp;D4&amp;"'"&amp;"!B:B"))</f>
        <v>89345</v>
      </c>
      <c r="E19" s="268" t="s">
        <v>323</v>
      </c>
      <c r="F19" s="269" t="s">
        <v>322</v>
      </c>
      <c r="G19" s="272">
        <f ca="1">ROUND(C19*$C$18+D19*$D$18,0)</f>
        <v>101882</v>
      </c>
      <c r="H19" s="273" t="s">
        <v>324</v>
      </c>
      <c r="I19" s="311"/>
      <c r="J19" s="2014"/>
      <c r="K19" s="2014">
        <f ca="1">G19/'数据-汇总表'!F31</f>
        <v>0.46038373595784871</v>
      </c>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3786</v>
      </c>
      <c r="D20" s="277">
        <f ca="1">SUMIF(INDIRECT("'"&amp;D4&amp;"'"&amp;"!A:A"),结果表!B20,INDIRECT("'"&amp;D4&amp;"'"&amp;"!B:B"))</f>
        <v>2956</v>
      </c>
      <c r="E20" s="274"/>
      <c r="F20" s="275" t="s">
        <v>325</v>
      </c>
      <c r="G20" s="278">
        <f ca="1">ROUND(C20*$C$18+D20*$D$18,0)</f>
        <v>3371</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10858</v>
      </c>
      <c r="D21" s="151">
        <f ca="1">SUMIF(INDIRECT("'"&amp;D4&amp;"'"&amp;"!A:A"),结果表!B21,INDIRECT("'"&amp;D4&amp;"'"&amp;"!B:B"))</f>
        <v>8478</v>
      </c>
      <c r="E21" s="274"/>
      <c r="F21" s="280" t="s">
        <v>327</v>
      </c>
      <c r="G21" s="282">
        <f ca="1">ROUND(C21*$C$18+D21*$D$18,0)</f>
        <v>9668</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0.28064245341093508</v>
      </c>
      <c r="E22" s="284"/>
      <c r="F22" s="285"/>
      <c r="G22" s="286">
        <f ca="1">ROUND(G19/('数据-汇总表'!D3/666.67),0)</f>
        <v>645</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90"/>
      <c r="B25" s="1317" t="s">
        <v>331</v>
      </c>
      <c r="C25" s="290">
        <f>IF(B30=0,0,C30)</f>
        <v>0</v>
      </c>
      <c r="D25" s="291"/>
      <c r="E25" s="311"/>
      <c r="F25" s="311"/>
      <c r="G25" s="311"/>
      <c r="H25" s="311"/>
      <c r="I25" s="311"/>
      <c r="J25" s="2014"/>
      <c r="K25" s="1251" t="str">
        <f ca="1">项目基本情况!B16&amp;"国有建设用地使用权价格："&amp;O38&amp;"万元"</f>
        <v>出让国有建设用地使用权价格：101882万元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大写金额：人民币壹拾亿壹仟捌佰捌拾贰万元整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单位面积地价：9668元/平方米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楼面地价：3371元/平方米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抵押价格：101882万元</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 ca="1">IF(K29="——","——","大写金额：人民币"&amp;NUMBERSTRING(INT(O39*10000),2)&amp;"元整")</f>
        <v>大写金额：人民币壹拾亿壹仟捌佰捌拾贰万元整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101882</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3371</v>
      </c>
      <c r="D33" s="1382" t="s">
        <v>1691</v>
      </c>
      <c r="E33" s="3348"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9668</v>
      </c>
      <c r="D34" s="1384" t="s">
        <v>1691</v>
      </c>
      <c r="E34" s="3349"/>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645</v>
      </c>
      <c r="D35" s="1387" t="s">
        <v>1693</v>
      </c>
      <c r="E35" s="3350"/>
      <c r="F35" s="301" t="s">
        <v>342</v>
      </c>
      <c r="G35" s="982"/>
      <c r="H35" s="981" t="s">
        <v>343</v>
      </c>
      <c r="I35" s="311"/>
      <c r="J35" s="2014"/>
      <c r="K35" s="3354" t="s">
        <v>350</v>
      </c>
      <c r="L35" s="3354" t="s">
        <v>351</v>
      </c>
      <c r="M35" s="1260" t="s">
        <v>352</v>
      </c>
      <c r="N35" s="3354" t="s">
        <v>353</v>
      </c>
      <c r="O35" s="3354" t="s">
        <v>354</v>
      </c>
      <c r="P35" s="2014"/>
      <c r="V35" s="2014"/>
    </row>
    <row r="36" spans="1:26" ht="16.5" customHeight="1">
      <c r="A36" s="303" t="s">
        <v>344</v>
      </c>
      <c r="B36" s="304" t="s">
        <v>333</v>
      </c>
      <c r="C36" s="305" t="s">
        <v>345</v>
      </c>
      <c r="D36" s="305" t="s">
        <v>346</v>
      </c>
      <c r="E36" s="306" t="s">
        <v>347</v>
      </c>
      <c r="F36" s="311"/>
      <c r="G36" s="311"/>
      <c r="H36" s="311"/>
      <c r="I36" s="311"/>
      <c r="J36" s="2016"/>
      <c r="K36" s="3355"/>
      <c r="L36" s="3355"/>
      <c r="M36" s="1262" t="s">
        <v>355</v>
      </c>
      <c r="N36" s="3355"/>
      <c r="O36" s="3355"/>
      <c r="P36" s="2014"/>
      <c r="V36" s="2014"/>
    </row>
    <row r="37" spans="1:26" ht="16.5" customHeight="1" thickBot="1">
      <c r="A37" s="1256" t="s">
        <v>348</v>
      </c>
      <c r="B37" s="307"/>
      <c r="C37" s="294"/>
      <c r="D37" s="294"/>
      <c r="E37" s="295"/>
      <c r="F37" s="311"/>
      <c r="G37" s="311"/>
      <c r="H37" s="311"/>
      <c r="I37" s="311"/>
      <c r="J37" s="2016"/>
      <c r="K37" s="3356"/>
      <c r="L37" s="3356"/>
      <c r="M37" s="1263"/>
      <c r="N37" s="3356"/>
      <c r="O37" s="3356"/>
      <c r="P37" s="2014"/>
      <c r="V37" s="2014"/>
    </row>
    <row r="38" spans="1:26" ht="16.5" customHeight="1" thickBot="1">
      <c r="A38" s="1256" t="s">
        <v>349</v>
      </c>
      <c r="B38" s="307"/>
      <c r="C38" s="294"/>
      <c r="D38" s="294"/>
      <c r="E38" s="295"/>
      <c r="F38" s="311"/>
      <c r="G38" s="311"/>
      <c r="H38" s="311"/>
      <c r="I38" s="311"/>
      <c r="J38" s="2016"/>
      <c r="K38" s="1264">
        <f>'数据-汇总表'!D3</f>
        <v>105380</v>
      </c>
      <c r="L38" s="1265">
        <f>'数据-汇总表'!E3</f>
        <v>302223.06</v>
      </c>
      <c r="M38" s="1265">
        <f ca="1">C34</f>
        <v>9668</v>
      </c>
      <c r="N38" s="1265">
        <f ca="1">C33</f>
        <v>3371</v>
      </c>
      <c r="O38" s="1266">
        <f ca="1">C32</f>
        <v>101882</v>
      </c>
      <c r="P38" s="2014"/>
      <c r="V38" s="2014"/>
    </row>
    <row r="39" spans="1:26" ht="16.5" customHeight="1" thickBot="1">
      <c r="A39" s="1261"/>
      <c r="B39" s="308"/>
      <c r="C39" s="309"/>
      <c r="D39" s="309"/>
      <c r="E39" s="310"/>
      <c r="F39" s="311"/>
      <c r="G39" s="311"/>
      <c r="H39" s="311"/>
      <c r="I39" s="311"/>
      <c r="J39" s="2016"/>
      <c r="K39" s="3331" t="str">
        <f>MID(A44,3,LEN(A44)-2)</f>
        <v>抵押价格</v>
      </c>
      <c r="L39" s="3332"/>
      <c r="M39" s="3332"/>
      <c r="N39" s="3333"/>
      <c r="O39" s="1389">
        <f ca="1">C44</f>
        <v>101882</v>
      </c>
      <c r="P39" s="2014"/>
      <c r="V39" s="2014"/>
    </row>
    <row r="40" spans="1:26" ht="19.5" thickBot="1">
      <c r="A40" s="104" t="s">
        <v>873</v>
      </c>
      <c r="B40" s="311"/>
      <c r="C40" s="311"/>
      <c r="D40" s="311"/>
      <c r="E40" s="311"/>
      <c r="F40" s="311"/>
      <c r="G40" s="311"/>
      <c r="H40" s="311"/>
      <c r="I40" s="311"/>
      <c r="J40" s="2016"/>
      <c r="K40" s="3331" t="str">
        <f t="shared" ref="K40:K41" si="0">MID(A45,3,LEN(A45)-2)</f>
        <v/>
      </c>
      <c r="L40" s="3332"/>
      <c r="M40" s="3332"/>
      <c r="N40" s="3333"/>
      <c r="O40" s="1389" t="str">
        <f>C45</f>
        <v>——</v>
      </c>
      <c r="P40" s="2014"/>
      <c r="V40" s="2014"/>
    </row>
    <row r="41" spans="1:26" ht="16.5" thickBot="1">
      <c r="A41" s="312" t="s">
        <v>356</v>
      </c>
      <c r="B41" s="313"/>
      <c r="C41" s="314" t="s">
        <v>357</v>
      </c>
      <c r="D41" s="315" t="s">
        <v>358</v>
      </c>
      <c r="E41" s="315" t="s">
        <v>359</v>
      </c>
      <c r="F41" s="316" t="s">
        <v>360</v>
      </c>
      <c r="G41" s="311"/>
      <c r="H41" s="311"/>
      <c r="I41" s="311"/>
      <c r="J41" s="2016"/>
      <c r="K41" s="3331" t="str">
        <f t="shared" si="0"/>
        <v/>
      </c>
      <c r="L41" s="3332"/>
      <c r="M41" s="3332"/>
      <c r="N41" s="3333"/>
      <c r="O41" s="1389" t="str">
        <f>C46</f>
        <v>——</v>
      </c>
      <c r="P41" s="2014"/>
      <c r="V41" s="2014"/>
    </row>
    <row r="42" spans="1:26" ht="29.25">
      <c r="A42" s="3391" t="s">
        <v>2067</v>
      </c>
      <c r="B42" s="3392"/>
      <c r="C42" s="264">
        <f ca="1">C32</f>
        <v>101882</v>
      </c>
      <c r="D42" s="317">
        <f ca="1">C33</f>
        <v>3371</v>
      </c>
      <c r="E42" s="317">
        <f ca="1">C34</f>
        <v>9668</v>
      </c>
      <c r="F42" s="318">
        <f ca="1">C35</f>
        <v>645</v>
      </c>
      <c r="G42" s="311"/>
      <c r="H42" s="311"/>
      <c r="I42" s="319"/>
      <c r="J42" s="2016"/>
      <c r="K42" s="1267" t="s">
        <v>361</v>
      </c>
      <c r="L42" s="2033" t="s">
        <v>362</v>
      </c>
      <c r="M42" s="1268" t="s">
        <v>363</v>
      </c>
      <c r="N42" s="2034" t="s">
        <v>364</v>
      </c>
      <c r="O42" s="2035" t="s">
        <v>365</v>
      </c>
      <c r="P42" s="2014"/>
      <c r="V42" s="2014"/>
    </row>
    <row r="43" spans="1:26" ht="30">
      <c r="A43" s="3401" t="s">
        <v>2730</v>
      </c>
      <c r="B43" s="3402"/>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114419</v>
      </c>
      <c r="M43" s="1271">
        <f>C18</f>
        <v>0.5</v>
      </c>
      <c r="N43" s="1272">
        <f ca="1">IF(N42="测算结果/万元",G19,G20)</f>
        <v>101882</v>
      </c>
      <c r="O43" s="1273">
        <f ca="1">IF(O42="最终结果/万元",C32,C33)</f>
        <v>101882</v>
      </c>
      <c r="P43" s="2014"/>
      <c r="V43" s="2014"/>
    </row>
    <row r="44" spans="1:26" ht="30.75" thickBot="1">
      <c r="A44" s="3391" t="str">
        <f>IF(OR(项目基本情况!E8="抵押价格",项目基本情况!E8="已注销及未注销"),"3.抵押价格","——")</f>
        <v>3.抵押价格</v>
      </c>
      <c r="B44" s="3392"/>
      <c r="C44" s="264">
        <f ca="1">IF(A44="——","——",C42-C43)</f>
        <v>101882</v>
      </c>
      <c r="D44" s="317">
        <f ca="1">ROUND(C44*10000/'数据-汇总表'!E3,0)</f>
        <v>3371</v>
      </c>
      <c r="E44" s="317">
        <f ca="1">ROUND(C44*10000/'数据-汇总表'!D3,0)</f>
        <v>9668</v>
      </c>
      <c r="F44" s="318">
        <f ca="1">ROUND(C44/('数据-汇总表'!D3/666.67),0)</f>
        <v>645</v>
      </c>
      <c r="G44" s="311"/>
      <c r="H44" s="311"/>
      <c r="I44" s="319"/>
      <c r="J44" s="2016"/>
      <c r="K44" s="1274" t="str">
        <f>D4</f>
        <v>剩余法-待开发</v>
      </c>
      <c r="L44" s="1275">
        <f ca="1">IF(L42="估价结果/万元",D19,D20)</f>
        <v>89345</v>
      </c>
      <c r="M44" s="1276">
        <f>D18</f>
        <v>0.5</v>
      </c>
      <c r="N44" s="1277"/>
      <c r="O44" s="1278"/>
      <c r="P44" s="2014"/>
      <c r="V44" s="2014"/>
    </row>
    <row r="45" spans="1:26" ht="15">
      <c r="A45" s="3396" t="str">
        <f>IF(项目基本情况!E8="已注销及未注销","4.抵押担保权已注销时的抵押价格",IF(项目基本情况!E8="已注销","3.抵押担保权已注销时的抵押价格","——"))</f>
        <v>——</v>
      </c>
      <c r="B45" s="339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93" t="str">
        <f>IF(项目基本情况!E9="抵押净值",IF(A45="——","4.抵押净值","5.抵押净值"),"——")</f>
        <v>——</v>
      </c>
      <c r="B46" s="339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9" t="s">
        <v>374</v>
      </c>
      <c r="B63" s="3360"/>
      <c r="C63" s="3361"/>
      <c r="D63" s="341">
        <f ca="1">ROUND(C42*F63,0)</f>
        <v>61129</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8" t="s">
        <v>378</v>
      </c>
      <c r="B64" s="3399"/>
      <c r="C64" s="3399"/>
      <c r="D64" s="3399"/>
      <c r="E64" s="3399"/>
      <c r="F64" s="3399"/>
      <c r="G64" s="340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95" t="s">
        <v>386</v>
      </c>
      <c r="B66" s="3366"/>
      <c r="C66" s="3366"/>
      <c r="D66" s="261">
        <f ca="1">IF(H66="情况1",0,IF(H66="情况2",D70,IF(H66="情况3",D71,IF(H66="情况4",D72))))</f>
        <v>3202</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35" t="s">
        <v>385</v>
      </c>
      <c r="M66" s="3336"/>
      <c r="N66" s="2423"/>
      <c r="O66" s="2424"/>
      <c r="P66" s="2425"/>
      <c r="Q66" s="2014"/>
      <c r="R66" s="2014"/>
      <c r="S66" s="2014"/>
      <c r="T66" s="2014"/>
      <c r="U66" s="2014"/>
      <c r="V66" s="2014"/>
    </row>
    <row r="67" spans="1:22" ht="25.5" customHeight="1">
      <c r="A67" s="352" t="s">
        <v>390</v>
      </c>
      <c r="B67" s="3378" t="s">
        <v>391</v>
      </c>
      <c r="C67" s="3378"/>
      <c r="D67" s="353">
        <v>0</v>
      </c>
      <c r="E67" s="41" t="s">
        <v>392</v>
      </c>
      <c r="F67" s="62" t="s">
        <v>21</v>
      </c>
      <c r="G67" s="3362"/>
      <c r="H67" s="311"/>
      <c r="I67" s="1288"/>
      <c r="J67" s="2021"/>
      <c r="K67" s="1962">
        <v>2</v>
      </c>
      <c r="L67" s="3334" t="s">
        <v>389</v>
      </c>
      <c r="M67" s="3334"/>
      <c r="N67" s="1321">
        <f>'数据-取费表'!B2</f>
        <v>43672</v>
      </c>
      <c r="O67" s="1321"/>
      <c r="P67" s="1321"/>
      <c r="Q67" s="2014"/>
      <c r="R67" s="2014"/>
      <c r="S67" s="2014"/>
      <c r="T67" s="2014"/>
      <c r="U67" s="2014"/>
      <c r="V67" s="2014"/>
    </row>
    <row r="68" spans="1:22" ht="25.5" customHeight="1">
      <c r="A68" s="354"/>
      <c r="B68" s="3378" t="s">
        <v>394</v>
      </c>
      <c r="C68" s="3378"/>
      <c r="D68" s="355"/>
      <c r="E68" s="77"/>
      <c r="F68" s="356"/>
      <c r="G68" s="3363"/>
      <c r="H68" s="311"/>
      <c r="I68" s="1288"/>
      <c r="J68" s="2021"/>
      <c r="K68" s="1962">
        <v>3</v>
      </c>
      <c r="L68" s="3334" t="s">
        <v>393</v>
      </c>
      <c r="M68" s="3334"/>
      <c r="N68" s="1289">
        <f ca="1">C42</f>
        <v>101882</v>
      </c>
      <c r="O68" s="1289"/>
      <c r="P68" s="1289"/>
      <c r="Q68" s="2014"/>
      <c r="R68" s="2014"/>
      <c r="S68" s="2014"/>
      <c r="T68" s="2014"/>
      <c r="U68" s="2014"/>
      <c r="V68" s="2014"/>
    </row>
    <row r="69" spans="1:22" ht="12" customHeight="1">
      <c r="A69" s="357"/>
      <c r="B69" s="3378" t="s">
        <v>395</v>
      </c>
      <c r="C69" s="3378"/>
      <c r="D69" s="358"/>
      <c r="E69" s="73"/>
      <c r="F69" s="356"/>
      <c r="G69" s="3364"/>
      <c r="H69" s="311"/>
      <c r="I69" s="1288"/>
      <c r="J69" s="2021"/>
      <c r="K69" s="1290">
        <v>4</v>
      </c>
      <c r="L69" s="3340" t="s">
        <v>2883</v>
      </c>
      <c r="M69" s="3341"/>
      <c r="N69" s="1291">
        <f ca="1">C44</f>
        <v>101882</v>
      </c>
      <c r="O69" s="1291"/>
      <c r="P69" s="1291"/>
      <c r="Q69" s="2014"/>
      <c r="R69" s="2014"/>
      <c r="S69" s="2014"/>
      <c r="T69" s="2014"/>
      <c r="U69" s="2014"/>
      <c r="V69" s="2014"/>
    </row>
    <row r="70" spans="1:22" ht="24" customHeight="1">
      <c r="A70" s="359" t="s">
        <v>396</v>
      </c>
      <c r="B70" s="3378" t="s">
        <v>397</v>
      </c>
      <c r="C70" s="3378"/>
      <c r="D70" s="358">
        <f ca="1">ROUND(D63*'数据-取费表'!B41/(1+'数据-取费表'!C42),0)</f>
        <v>3202</v>
      </c>
      <c r="E70" s="17" t="s">
        <v>398</v>
      </c>
      <c r="F70" s="360">
        <f>'数据-取费表'!B41</f>
        <v>5.5000000000000007E-2</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77" t="s">
        <v>405</v>
      </c>
      <c r="C71" s="3389"/>
      <c r="D71" s="358">
        <f ca="1">ROUND(D63*'数据-取费表'!B41/(1+'数据-取费表'!C42),0)</f>
        <v>3202</v>
      </c>
      <c r="E71" s="17" t="s">
        <v>398</v>
      </c>
      <c r="F71" s="360">
        <f>'数据-取费表'!B41</f>
        <v>5.5000000000000007E-2</v>
      </c>
      <c r="G71" s="361"/>
      <c r="H71" s="311"/>
      <c r="I71" s="1288"/>
      <c r="J71" s="2021"/>
      <c r="K71" s="3012" t="s">
        <v>399</v>
      </c>
      <c r="L71" s="3342" t="s">
        <v>400</v>
      </c>
      <c r="M71" s="3342"/>
      <c r="N71" s="3012" t="s">
        <v>401</v>
      </c>
      <c r="O71" s="3012" t="s">
        <v>402</v>
      </c>
      <c r="P71" s="3012" t="s">
        <v>403</v>
      </c>
      <c r="Q71" s="2014"/>
      <c r="R71" s="2014"/>
      <c r="S71" s="2014"/>
      <c r="T71" s="2014"/>
      <c r="U71" s="2014"/>
      <c r="V71" s="2014"/>
    </row>
    <row r="72" spans="1:22" ht="12" customHeight="1">
      <c r="A72" s="359" t="s">
        <v>407</v>
      </c>
      <c r="B72" s="3377" t="s">
        <v>408</v>
      </c>
      <c r="C72" s="3389"/>
      <c r="D72" s="358">
        <f ca="1">C86</f>
        <v>3092</v>
      </c>
      <c r="E72" s="73" t="s">
        <v>409</v>
      </c>
      <c r="F72" s="360">
        <f>'数据-取费表'!B41</f>
        <v>5.5000000000000007E-2</v>
      </c>
      <c r="G72" s="361"/>
      <c r="H72" s="1294"/>
      <c r="I72" s="1288"/>
      <c r="J72" s="2021"/>
      <c r="K72" s="1962">
        <v>1</v>
      </c>
      <c r="L72" s="3339" t="s">
        <v>406</v>
      </c>
      <c r="M72" s="3339"/>
      <c r="N72" s="1292">
        <f ca="1">D66</f>
        <v>3202</v>
      </c>
      <c r="O72" s="1845" t="str">
        <f>E66</f>
        <v>销售额×税（费）率</v>
      </c>
      <c r="P72" s="1293">
        <f>F66</f>
        <v>5.5000000000000007E-2</v>
      </c>
      <c r="Q72" s="2014"/>
      <c r="R72" s="2014"/>
      <c r="S72" s="2014"/>
      <c r="T72" s="2014"/>
      <c r="U72" s="2014"/>
      <c r="V72" s="2014"/>
    </row>
    <row r="73" spans="1:22" ht="24" customHeight="1">
      <c r="A73" s="3365" t="s">
        <v>411</v>
      </c>
      <c r="B73" s="3366"/>
      <c r="C73" s="3366"/>
      <c r="D73" s="362">
        <f>IF(H73="个人住宅",0,ROUND(D63*I73,0))</f>
        <v>0</v>
      </c>
      <c r="E73" s="17" t="s">
        <v>412</v>
      </c>
      <c r="F73" s="360" t="str">
        <f>IF(H73="正常",I73,"免征")</f>
        <v>免征</v>
      </c>
      <c r="G73" s="361"/>
      <c r="H73" s="191" t="s">
        <v>2455</v>
      </c>
      <c r="I73" s="360">
        <f>'数据-取费表'!B49</f>
        <v>5.0000000000000001E-4</v>
      </c>
      <c r="J73" s="2021"/>
      <c r="K73" s="1962">
        <v>2</v>
      </c>
      <c r="L73" s="3339" t="s">
        <v>410</v>
      </c>
      <c r="M73" s="3339"/>
      <c r="N73" s="1292">
        <f t="shared" ref="N73:P74" si="1">D73</f>
        <v>0</v>
      </c>
      <c r="O73" s="1845" t="str">
        <f t="shared" si="1"/>
        <v>销售额×税（费）率</v>
      </c>
      <c r="P73" s="1293" t="str">
        <f t="shared" si="1"/>
        <v>免征</v>
      </c>
      <c r="Q73" s="2014"/>
      <c r="R73" s="2014"/>
      <c r="S73" s="2014"/>
      <c r="T73" s="2014"/>
      <c r="U73" s="2014"/>
      <c r="V73" s="2014"/>
    </row>
    <row r="74" spans="1:22" ht="24.75">
      <c r="A74" s="3365" t="s">
        <v>415</v>
      </c>
      <c r="B74" s="3366"/>
      <c r="C74" s="3366"/>
      <c r="D74" s="362">
        <f ca="1">IF(H74="个人住宅",D75,D76)</f>
        <v>33999</v>
      </c>
      <c r="E74" s="17" t="s">
        <v>416</v>
      </c>
      <c r="F74" s="360" t="str">
        <f>IF(H74="正常",F76,"免征")</f>
        <v>——</v>
      </c>
      <c r="G74" s="983" t="s">
        <v>417</v>
      </c>
      <c r="H74" s="363" t="s">
        <v>413</v>
      </c>
      <c r="I74" s="42"/>
      <c r="J74" s="2021"/>
      <c r="K74" s="1962">
        <v>3</v>
      </c>
      <c r="L74" s="3339" t="s">
        <v>414</v>
      </c>
      <c r="M74" s="3339"/>
      <c r="N74" s="1292">
        <f t="shared" ca="1" si="1"/>
        <v>33999</v>
      </c>
      <c r="O74" s="1845" t="str">
        <f t="shared" si="1"/>
        <v>增值额×税（费）率</v>
      </c>
      <c r="P74" s="1295" t="str">
        <f t="shared" si="1"/>
        <v>——</v>
      </c>
      <c r="Q74" s="2014"/>
      <c r="R74" s="2014"/>
      <c r="S74" s="2014"/>
      <c r="T74" s="2014"/>
      <c r="U74" s="2014"/>
      <c r="V74" s="2014"/>
    </row>
    <row r="75" spans="1:22" ht="24">
      <c r="A75" s="359" t="s">
        <v>418</v>
      </c>
      <c r="B75" s="3346" t="s">
        <v>419</v>
      </c>
      <c r="C75" s="3347"/>
      <c r="D75" s="364">
        <v>0</v>
      </c>
      <c r="E75" s="41" t="s">
        <v>420</v>
      </c>
      <c r="F75" s="365"/>
      <c r="G75" s="361"/>
      <c r="H75" s="42"/>
      <c r="I75" s="42"/>
      <c r="J75" s="2021"/>
      <c r="K75" s="3005">
        <f>IF(H77="非个人房产","",4)</f>
        <v>4</v>
      </c>
      <c r="L75" s="3339" t="str">
        <f>IF(H77="非个人房产","——","个人所得税")</f>
        <v>个人所得税</v>
      </c>
      <c r="M75" s="3339"/>
      <c r="N75" s="1296">
        <f ca="1">D77</f>
        <v>611</v>
      </c>
      <c r="O75" s="1858" t="str">
        <f>E77</f>
        <v>销售额×税（费）率</v>
      </c>
      <c r="P75" s="1297">
        <f>F77</f>
        <v>0.01</v>
      </c>
      <c r="Q75" s="2014"/>
      <c r="R75" s="2014"/>
      <c r="S75" s="2014"/>
      <c r="T75" s="2014"/>
      <c r="U75" s="2014"/>
      <c r="V75" s="2014"/>
    </row>
    <row r="76" spans="1:22" ht="24.75">
      <c r="A76" s="359" t="s">
        <v>396</v>
      </c>
      <c r="B76" s="3346" t="s">
        <v>422</v>
      </c>
      <c r="C76" s="3388"/>
      <c r="D76" s="362">
        <f ca="1">IF(H76="转让取得",C99,C115)</f>
        <v>33999</v>
      </c>
      <c r="E76" s="17" t="s">
        <v>423</v>
      </c>
      <c r="F76" s="53" t="s">
        <v>21</v>
      </c>
      <c r="G76" s="361"/>
      <c r="H76" s="363" t="s">
        <v>424</v>
      </c>
      <c r="I76" s="42"/>
      <c r="J76" s="2021"/>
      <c r="K76" s="3005" t="str">
        <f>IF(项目基本情况!K6="上海银行",IF(K75="",4,K75+1),"")</f>
        <v/>
      </c>
      <c r="L76" s="3327" t="str">
        <f>IF(项目基本情况!K6="上海银行","其他处置费用","")</f>
        <v/>
      </c>
      <c r="M76" s="3328"/>
      <c r="N76" s="1292" t="str">
        <f>IF(项目基本情况!K6="上海银行",N89,"")</f>
        <v/>
      </c>
      <c r="O76" s="3329" t="str">
        <f>IF(项目基本情况!K6="上海银行","包含处置中涉及的律师、诉讼、拍卖、评估等费用","")</f>
        <v/>
      </c>
      <c r="P76" s="3330"/>
      <c r="Q76" s="2014"/>
      <c r="R76" s="2014"/>
      <c r="S76" s="2014"/>
      <c r="T76" s="2014"/>
      <c r="U76" s="2014"/>
      <c r="V76" s="2014"/>
    </row>
    <row r="77" spans="1:22" ht="26.25" thickBot="1">
      <c r="A77" s="3357" t="s">
        <v>426</v>
      </c>
      <c r="B77" s="3358"/>
      <c r="C77" s="3358"/>
      <c r="D77" s="366">
        <f ca="1">IF(H77="非个人房产","——",IF(H77="个人住宅",0,ROUND(D63*I77,0)))</f>
        <v>611</v>
      </c>
      <c r="E77" s="367" t="str">
        <f>IF(H77="非个人房产","——","销售额×税（费）率")</f>
        <v>销售额×税（费）率</v>
      </c>
      <c r="F77" s="368">
        <f>IF(H77="非个人房产","——",IF(H77="个人住宅","免征",I77))</f>
        <v>0.01</v>
      </c>
      <c r="G77" s="984" t="s">
        <v>417</v>
      </c>
      <c r="H77" s="363" t="s">
        <v>2884</v>
      </c>
      <c r="I77" s="369">
        <v>0.01</v>
      </c>
      <c r="J77" s="2021"/>
      <c r="K77" s="3353">
        <f>IF(AND(K75="",K76=""),4,IF(项目基本情况!K6="上海银行",K76+1,K75+1))</f>
        <v>5</v>
      </c>
      <c r="L77" s="3339" t="s">
        <v>2885</v>
      </c>
      <c r="M77" s="3011" t="s">
        <v>421</v>
      </c>
      <c r="N77" s="1298"/>
      <c r="O77" s="1299">
        <f ca="1">SUMIF(N72:N76,"&lt;9e307")</f>
        <v>37812</v>
      </c>
      <c r="P77" s="1300"/>
      <c r="Q77" s="3009">
        <f ca="1">O77/N69</f>
        <v>0.37113523487956657</v>
      </c>
      <c r="R77" s="2014"/>
      <c r="S77" s="2014"/>
      <c r="T77" s="2014"/>
      <c r="U77" s="2014"/>
      <c r="V77" s="2014"/>
    </row>
    <row r="78" spans="1:22" ht="12" customHeight="1">
      <c r="A78" s="1301"/>
      <c r="B78" s="311"/>
      <c r="C78" s="311"/>
      <c r="D78" s="311"/>
      <c r="E78" s="42"/>
      <c r="F78" s="42"/>
      <c r="G78" s="42"/>
      <c r="H78" s="1003"/>
      <c r="I78" s="311"/>
      <c r="J78" s="2021"/>
      <c r="K78" s="3353"/>
      <c r="L78" s="3339"/>
      <c r="M78" s="3011" t="s">
        <v>425</v>
      </c>
      <c r="N78" s="1298"/>
      <c r="O78" s="1299" t="str">
        <f ca="1">NUMBERSTRING(INT(O77*10000),2)&amp;"元整"</f>
        <v>叁亿柒仟捌佰壹拾贰万元整</v>
      </c>
      <c r="P78" s="1300"/>
      <c r="Q78" s="2014"/>
      <c r="R78" s="2014"/>
      <c r="S78" s="2014"/>
      <c r="T78" s="2014"/>
      <c r="U78" s="2014"/>
      <c r="V78" s="2014"/>
    </row>
    <row r="79" spans="1:22" ht="13.5" thickBot="1">
      <c r="A79" s="3343" t="s">
        <v>427</v>
      </c>
      <c r="B79" s="3343"/>
      <c r="C79" s="3343"/>
      <c r="D79" s="3343"/>
      <c r="E79" s="3343"/>
      <c r="F79" s="42"/>
      <c r="G79" s="42"/>
      <c r="H79" s="1003"/>
      <c r="I79" s="311"/>
      <c r="J79" s="2021"/>
      <c r="K79" s="3337">
        <f>K77+1</f>
        <v>6</v>
      </c>
      <c r="L79" s="3339" t="s">
        <v>2886</v>
      </c>
      <c r="M79" s="3011" t="s">
        <v>421</v>
      </c>
      <c r="N79" s="1298"/>
      <c r="O79" s="1299">
        <f ca="1">N69-O77</f>
        <v>64070</v>
      </c>
      <c r="P79" s="1300"/>
      <c r="Q79" s="2014"/>
      <c r="R79" s="2014"/>
      <c r="S79" s="2014"/>
      <c r="T79" s="2014"/>
      <c r="U79" s="2014"/>
      <c r="V79" s="2014"/>
    </row>
    <row r="80" spans="1:22" ht="25.5">
      <c r="A80" s="3344" t="s">
        <v>428</v>
      </c>
      <c r="B80" s="3345"/>
      <c r="C80" s="994"/>
      <c r="D80" s="994" t="s">
        <v>429</v>
      </c>
      <c r="E80" s="370" t="s">
        <v>430</v>
      </c>
      <c r="F80" s="42"/>
      <c r="G80" s="42"/>
      <c r="H80" s="1003"/>
      <c r="I80" s="311"/>
      <c r="J80" s="2014"/>
      <c r="K80" s="3338"/>
      <c r="L80" s="3339"/>
      <c r="M80" s="3011" t="s">
        <v>425</v>
      </c>
      <c r="N80" s="1298"/>
      <c r="O80" s="1299" t="str">
        <f ca="1">NUMBERSTRING(INT(O79*10000),2)&amp;"元整"</f>
        <v>陆亿肆仟零柒拾万元整</v>
      </c>
      <c r="P80" s="1300"/>
      <c r="Q80" s="2014"/>
      <c r="R80" s="2014"/>
      <c r="S80" s="2014"/>
      <c r="T80" s="2014"/>
      <c r="U80" s="2014"/>
      <c r="V80" s="2014"/>
    </row>
    <row r="81" spans="1:26" ht="13.5" thickBot="1">
      <c r="A81" s="381" t="s">
        <v>1823</v>
      </c>
      <c r="B81" s="371" t="s">
        <v>431</v>
      </c>
      <c r="C81" s="372">
        <f ca="1">ROUND((C82+C83)/(1+'数据-取费表'!C42),0)</f>
        <v>58218</v>
      </c>
      <c r="D81" s="373"/>
      <c r="E81" s="374"/>
      <c r="F81" s="42"/>
      <c r="G81" s="42"/>
      <c r="H81" s="1003"/>
      <c r="I81" s="311"/>
      <c r="J81" s="2014"/>
      <c r="K81" s="3005">
        <f>K79+1</f>
        <v>7</v>
      </c>
      <c r="L81" s="3351" t="s">
        <v>2887</v>
      </c>
      <c r="M81" s="3352"/>
      <c r="N81" s="1302"/>
      <c r="O81" s="1303">
        <f ca="1">ROUND(O79*10000/'数据-汇总表'!E3,0)</f>
        <v>2120</v>
      </c>
      <c r="P81" s="1304"/>
      <c r="Q81" s="2014"/>
      <c r="R81" s="2014"/>
      <c r="S81" s="2014"/>
      <c r="T81" s="2014"/>
      <c r="U81" s="2014"/>
      <c r="V81" s="2014"/>
    </row>
    <row r="82" spans="1:26" ht="13.5" thickTop="1">
      <c r="A82" s="375" t="s">
        <v>1824</v>
      </c>
      <c r="B82" s="376" t="s">
        <v>432</v>
      </c>
      <c r="C82" s="377">
        <f ca="1">D63</f>
        <v>61129</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26" t="s">
        <v>2874</v>
      </c>
      <c r="L83" s="3017" t="s">
        <v>2875</v>
      </c>
      <c r="M83" s="3007">
        <f ca="1">IF(N69&gt;10000,N69*0.5%,IF(AND(N69&gt;1000,N69&lt;=10000),N69*1%,IF(AND(N69&gt;100,N69&lt;=1000),N69*3%,IF(AND(N69&gt;10,N69&lt;=100),N69*5%,N69*8%))))</f>
        <v>509.41</v>
      </c>
      <c r="N83" s="53">
        <f ca="1">ROUND(M83,1)</f>
        <v>509.4</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26"/>
      <c r="L84" s="3017" t="s">
        <v>2876</v>
      </c>
      <c r="M84" s="3007">
        <f ca="1">IF(N69&gt;2000,N69*0.5%,IF(AND(N69&gt;1000,N69&lt;=2000),N69*0.6%,IF(AND(N69&gt;500,N69&lt;=1000),N69*0.7%,IF(AND(N69&gt;200,N69&lt;=500),N69*0.8%,IF(AND(N69&gt;100,N69&lt;=200),N69*0.9%,IF(AND(N69&gt;50,N69&lt;=100),N69*1%,IF(AND(N69&gt;20,N69&lt;=50),N69*1.5%,IF(AND(N69&gt;10,N69&lt;=20),N69*2%,IF(AND(N69&gt;1,N69&lt;=10),N69*2.5%)))))))))</f>
        <v>509.41</v>
      </c>
      <c r="N84" s="53">
        <f t="shared" ref="N84:N85" ca="1" si="2">ROUND(M84,1)</f>
        <v>509.4</v>
      </c>
      <c r="O84" s="2014" t="s">
        <v>2877</v>
      </c>
      <c r="P84" s="2014"/>
      <c r="Q84" s="2014"/>
      <c r="R84" s="2014"/>
      <c r="S84" s="2014"/>
      <c r="T84" s="2014"/>
      <c r="U84" s="2014"/>
      <c r="V84" s="2014"/>
    </row>
    <row r="85" spans="1:26" ht="12.75">
      <c r="A85" s="381" t="s">
        <v>1827</v>
      </c>
      <c r="B85" s="382" t="s">
        <v>435</v>
      </c>
      <c r="C85" s="385">
        <f ca="1">C81-C84</f>
        <v>56218</v>
      </c>
      <c r="D85" s="378" t="s">
        <v>19</v>
      </c>
      <c r="E85" s="379"/>
      <c r="F85" s="42"/>
      <c r="G85" s="42"/>
      <c r="H85" s="1003"/>
      <c r="I85" s="311"/>
      <c r="J85" s="2014"/>
      <c r="K85" s="3326"/>
      <c r="L85" s="3017" t="s">
        <v>2878</v>
      </c>
      <c r="M85" s="3007">
        <f ca="1">IF(N69&gt;1000,N69*0.1%,IF(AND(N69&gt;500,N69&lt;=1000),N69*0.5%,IF(AND(N69&gt;50,N69&lt;=500),N69*1%,IF(AND(N69&gt;1,N69&lt;=50),N69*1.5%))))</f>
        <v>101.88200000000001</v>
      </c>
      <c r="N85" s="53">
        <f t="shared" ca="1" si="2"/>
        <v>101.9</v>
      </c>
      <c r="O85" s="2014" t="s">
        <v>2877</v>
      </c>
      <c r="P85" s="2014"/>
      <c r="Q85" s="2014"/>
      <c r="R85" s="2014"/>
      <c r="S85" s="2014"/>
      <c r="T85" s="2014"/>
      <c r="U85" s="2014"/>
      <c r="V85" s="2014"/>
    </row>
    <row r="86" spans="1:26" ht="13.5" thickBot="1">
      <c r="A86" s="386" t="s">
        <v>1828</v>
      </c>
      <c r="B86" s="387" t="s">
        <v>436</v>
      </c>
      <c r="C86" s="388">
        <f ca="1">IF(C85&lt;=0,0,ROUND(C85*D86,0))</f>
        <v>3092</v>
      </c>
      <c r="D86" s="389">
        <f>'数据-取费表'!B41</f>
        <v>5.5000000000000007E-2</v>
      </c>
      <c r="E86" s="390"/>
      <c r="F86" s="42"/>
      <c r="G86" s="42"/>
      <c r="H86" s="1003"/>
      <c r="I86" s="311"/>
      <c r="J86" s="2014"/>
      <c r="K86" s="3326"/>
      <c r="L86" s="3017" t="s">
        <v>2879</v>
      </c>
      <c r="M86" s="3007">
        <f ca="1">N69*0.5%</f>
        <v>509.41</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6"/>
      <c r="L87" s="3017" t="s">
        <v>2881</v>
      </c>
      <c r="M87" s="3007">
        <f ca="1">IF(N69&gt;=10000,(8.25+(N69-10000)*0.01%),IF(AND(N69&gt;=8000,N69&lt;10000),(7.85+(N69-8000)*0.02%),IF(AND(N69&gt;=5000,N69&lt;8000),(6.65+(N69-5000)*0.04%),IF(AND(N69&gt;=2000,N69&lt;5000),(4.25+(PN69-2000)*0.08%),IF(AND(N69&gt;=1000,N69&lt;2000),(2.75+(N69-1000)*0.15%),IF(AND(N69&gt;=100,N69&lt;1000),(0.5+(N69-100)*0.25%),IF(AND(N69&gt;0,N69&lt;100),N69*0.5%)))))))</f>
        <v>17.438200000000002</v>
      </c>
      <c r="N87" s="53">
        <f ca="1">ROUND(M87*0.9,1)</f>
        <v>15.7</v>
      </c>
      <c r="O87" s="3010"/>
      <c r="P87" s="311"/>
      <c r="Q87" s="2014"/>
      <c r="R87" s="2014"/>
      <c r="S87" s="2014"/>
      <c r="T87" s="2014"/>
      <c r="U87" s="2014"/>
      <c r="V87" s="2014"/>
      <c r="W87" s="292"/>
      <c r="X87" s="292"/>
      <c r="Y87" s="292"/>
      <c r="Z87" s="292"/>
    </row>
    <row r="88" spans="1:26" s="1310" customFormat="1" ht="15" thickBot="1">
      <c r="A88" s="3380" t="s">
        <v>437</v>
      </c>
      <c r="B88" s="3381"/>
      <c r="C88" s="3381"/>
      <c r="D88" s="3381"/>
      <c r="E88" s="3381"/>
      <c r="F88" s="3381"/>
      <c r="G88" s="3381"/>
      <c r="H88" s="3381"/>
      <c r="I88" s="1311"/>
      <c r="J88" s="2022"/>
      <c r="K88" s="3326"/>
      <c r="L88" s="3017" t="s">
        <v>2882</v>
      </c>
      <c r="M88" s="3007">
        <f ca="1">IF(N69&gt;10000,N69*0.5%,IF(AND(N69&gt;5000,N69&lt;=10000),N69*1%,IF(AND(N69&gt;1000,N69&lt;=5000),N69*2%,IF(AND(N69&gt;200,N69&lt;=1000),N69*3%,N69*5%))))</f>
        <v>509.41</v>
      </c>
      <c r="N88" s="53">
        <f ca="1">ROUND(M88,1)</f>
        <v>509.4</v>
      </c>
      <c r="O88" s="3010"/>
      <c r="P88" s="11"/>
      <c r="Q88" s="2019"/>
      <c r="R88" s="2019"/>
      <c r="S88" s="2019"/>
      <c r="T88" s="2019"/>
      <c r="U88" s="2019"/>
      <c r="V88" s="2019"/>
      <c r="W88" s="2023"/>
      <c r="X88" s="2023"/>
      <c r="Y88" s="2023"/>
      <c r="Z88" s="2023"/>
    </row>
    <row r="89" spans="1:26" s="1310" customFormat="1" ht="14.25">
      <c r="A89" s="3344" t="s">
        <v>428</v>
      </c>
      <c r="B89" s="3345"/>
      <c r="C89" s="994"/>
      <c r="D89" s="994" t="s">
        <v>429</v>
      </c>
      <c r="E89" s="391" t="s">
        <v>438</v>
      </c>
      <c r="F89" s="392"/>
      <c r="G89" s="392"/>
      <c r="H89" s="393"/>
      <c r="I89" s="1312"/>
      <c r="J89" s="2024"/>
      <c r="K89" s="3326"/>
      <c r="L89" s="3017" t="s">
        <v>27</v>
      </c>
      <c r="M89" s="3008"/>
      <c r="N89" s="53">
        <f ca="1">ROUND(SUM(N83:N88),0)</f>
        <v>1646</v>
      </c>
      <c r="O89" s="3018">
        <f ca="1">N89/N69</f>
        <v>1.6155945112973833E-2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58218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2852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7" t="s">
        <v>447</v>
      </c>
      <c r="F94" s="3378"/>
      <c r="G94" s="3378"/>
      <c r="H94" s="337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291</v>
      </c>
      <c r="D96" s="406">
        <f>'数据-取费表'!B43</f>
        <v>5.000000000000001E-3</v>
      </c>
      <c r="E96" s="3367" t="s">
        <v>2428</v>
      </c>
      <c r="F96" s="3368"/>
      <c r="G96" s="3368"/>
      <c r="H96" s="336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55366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19.413043478260871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32221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80" t="s">
        <v>454</v>
      </c>
      <c r="B101" s="3381"/>
      <c r="C101" s="3381"/>
      <c r="D101" s="3381"/>
      <c r="E101" s="3381"/>
      <c r="F101" s="3381"/>
      <c r="G101" s="3381"/>
      <c r="H101" s="338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4" t="s">
        <v>428</v>
      </c>
      <c r="B102" s="334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58218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981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70" t="s">
        <v>462</v>
      </c>
      <c r="F109" s="3368"/>
      <c r="G109" s="3368"/>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70" t="s">
        <v>464</v>
      </c>
      <c r="F110" s="3368"/>
      <c r="G110" s="3368"/>
      <c r="H110" s="336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291</v>
      </c>
      <c r="D111" s="406">
        <f>'数据-取费表'!B43</f>
        <v>5.000000000000001E-3</v>
      </c>
      <c r="E111" s="3367" t="s">
        <v>2428</v>
      </c>
      <c r="F111" s="3368"/>
      <c r="G111" s="3368"/>
      <c r="H111" s="336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70" t="s">
        <v>2453</v>
      </c>
      <c r="F112" s="3368"/>
      <c r="G112" s="3368"/>
      <c r="H112" s="336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57237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58.345565749235476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33999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L44" sqref="L4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114419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3786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10858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724</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5" t="s">
        <v>522</v>
      </c>
      <c r="D6" s="3426"/>
      <c r="E6" s="3425" t="s">
        <v>523</v>
      </c>
      <c r="F6" s="3426"/>
      <c r="G6" s="3425" t="s">
        <v>524</v>
      </c>
      <c r="H6" s="3426"/>
      <c r="I6" s="3425" t="s">
        <v>525</v>
      </c>
      <c r="J6" s="3426"/>
      <c r="K6" s="514" t="s">
        <v>526</v>
      </c>
      <c r="L6" s="2119"/>
      <c r="M6" s="2118"/>
      <c r="N6" s="2118"/>
      <c r="O6" s="2120"/>
      <c r="P6" s="3427" t="s">
        <v>527</v>
      </c>
      <c r="Q6" s="3428"/>
      <c r="R6" s="3413" t="s">
        <v>523</v>
      </c>
      <c r="S6" s="3414"/>
      <c r="T6" s="3413" t="s">
        <v>524</v>
      </c>
      <c r="U6" s="3414"/>
      <c r="V6" s="3433" t="s">
        <v>525</v>
      </c>
      <c r="W6" s="3433"/>
      <c r="X6" s="1554"/>
      <c r="Y6" s="3413" t="s">
        <v>527</v>
      </c>
      <c r="Z6" s="3414"/>
      <c r="AA6" s="3408" t="s">
        <v>523</v>
      </c>
      <c r="AB6" s="3409" t="s">
        <v>524</v>
      </c>
      <c r="AC6" s="3408" t="s">
        <v>525</v>
      </c>
    </row>
    <row r="7" spans="1:30" ht="20.25">
      <c r="A7" s="515"/>
      <c r="B7" s="516"/>
      <c r="C7" s="3436" t="s">
        <v>2931</v>
      </c>
      <c r="D7" s="3437"/>
      <c r="E7" s="3436" t="str">
        <f>Sheet5!A2</f>
        <v>海门市南海路北、瑞江路西侧</v>
      </c>
      <c r="F7" s="3437"/>
      <c r="G7" s="3436" t="str">
        <f>Sheet5!A3</f>
        <v>海门市南海路南、富江路东/长江路东、青西河北侧</v>
      </c>
      <c r="H7" s="3437"/>
      <c r="I7" s="3436" t="str">
        <f>Sheet5!A23</f>
        <v>海门市长江路东、上海路北侧</v>
      </c>
      <c r="J7" s="3437"/>
      <c r="K7" s="514"/>
      <c r="L7" s="2119"/>
      <c r="M7" s="2118"/>
      <c r="N7" s="2118"/>
      <c r="O7" s="2120"/>
      <c r="P7" s="3429"/>
      <c r="Q7" s="3430"/>
      <c r="R7" s="3415"/>
      <c r="S7" s="3416"/>
      <c r="T7" s="3415"/>
      <c r="U7" s="3416"/>
      <c r="V7" s="3433"/>
      <c r="W7" s="3433"/>
      <c r="X7" s="1554"/>
      <c r="Y7" s="3415"/>
      <c r="Z7" s="3416"/>
      <c r="AA7" s="3409"/>
      <c r="AB7" s="3409"/>
      <c r="AC7" s="3409"/>
    </row>
    <row r="8" spans="1:30" ht="21" thickBot="1">
      <c r="A8" s="515"/>
      <c r="B8" s="516"/>
      <c r="C8" s="3438" t="s">
        <v>2935</v>
      </c>
      <c r="D8" s="3439"/>
      <c r="E8" s="3438" t="s">
        <v>2935</v>
      </c>
      <c r="F8" s="3439"/>
      <c r="G8" s="3434" t="s">
        <v>2935</v>
      </c>
      <c r="H8" s="3435"/>
      <c r="I8" s="3434" t="s">
        <v>2935</v>
      </c>
      <c r="J8" s="3435"/>
      <c r="K8" s="514" t="s">
        <v>528</v>
      </c>
      <c r="L8" s="2119"/>
      <c r="M8" s="2118"/>
      <c r="N8" s="2118"/>
      <c r="O8" s="2120"/>
      <c r="P8" s="3431"/>
      <c r="Q8" s="3432"/>
      <c r="R8" s="3415"/>
      <c r="S8" s="3416"/>
      <c r="T8" s="3417"/>
      <c r="U8" s="3418"/>
      <c r="V8" s="3433"/>
      <c r="W8" s="3433"/>
      <c r="X8" s="1554"/>
      <c r="Y8" s="3417"/>
      <c r="Z8" s="3418"/>
      <c r="AA8" s="3410"/>
      <c r="AB8" s="3410"/>
      <c r="AC8" s="3410"/>
    </row>
    <row r="9" spans="1:30" s="1216" customFormat="1" ht="21" thickBot="1">
      <c r="A9" s="2868"/>
      <c r="B9" s="2875" t="s">
        <v>529</v>
      </c>
      <c r="C9" s="2867">
        <f>'数据-取费表'!B2</f>
        <v>43672</v>
      </c>
      <c r="D9" s="520">
        <v>100</v>
      </c>
      <c r="E9" s="521" t="str">
        <f>Sheet5!H2</f>
        <v>2019-07-17</v>
      </c>
      <c r="F9" s="522">
        <f>SUMIF(72:72,YEAR(E9)&amp;"-"&amp;INT((MONTH(E9)+2)/3),73:73)</f>
        <v>100</v>
      </c>
      <c r="G9" s="521" t="str">
        <f>Sheet5!H3</f>
        <v>2019-06-05</v>
      </c>
      <c r="H9" s="520">
        <f>SUMIF(72:72,YEAR(G9)&amp;"-"&amp;INT((MONTH(G9)+2)/3),73:73)</f>
        <v>99</v>
      </c>
      <c r="I9" s="521" t="str">
        <f>Sheet5!H23</f>
        <v>2018-07-11</v>
      </c>
      <c r="J9" s="520">
        <f>SUMIF(72:72,YEAR(I9)&amp;"-"&amp;INT((MONTH(I9)+2)/3),73:73)</f>
        <v>96</v>
      </c>
      <c r="K9" s="524"/>
      <c r="L9" s="2121"/>
      <c r="M9" s="2118"/>
      <c r="N9" s="2118"/>
      <c r="O9" s="2122"/>
      <c r="P9" s="3411" t="s">
        <v>530</v>
      </c>
      <c r="Q9" s="3420"/>
      <c r="R9" s="1555" t="s">
        <v>8</v>
      </c>
      <c r="S9" s="1556">
        <f t="shared" ref="S9:S17" si="0">F9</f>
        <v>100</v>
      </c>
      <c r="T9" s="1555" t="s">
        <v>8</v>
      </c>
      <c r="U9" s="1556">
        <f t="shared" ref="U9:U17" si="1">H9</f>
        <v>99</v>
      </c>
      <c r="V9" s="1555" t="s">
        <v>8</v>
      </c>
      <c r="W9" s="1556">
        <f t="shared" ref="W9:W17" si="2">J9</f>
        <v>96</v>
      </c>
      <c r="X9" s="1557"/>
      <c r="Y9" s="3411" t="s">
        <v>530</v>
      </c>
      <c r="Z9" s="3412"/>
      <c r="AA9" s="1558">
        <f>D9/F9</f>
        <v>1</v>
      </c>
      <c r="AB9" s="1558">
        <f>D9/H9</f>
        <v>1.0101010101010102</v>
      </c>
      <c r="AC9" s="1558">
        <f>D9/J9</f>
        <v>1.0416666666666667</v>
      </c>
    </row>
    <row r="10" spans="1:30" s="1216" customFormat="1" ht="21" thickBot="1">
      <c r="A10" s="2869"/>
      <c r="B10" s="2876" t="s">
        <v>531</v>
      </c>
      <c r="C10" s="856" t="s">
        <v>532</v>
      </c>
      <c r="D10" s="520">
        <v>100</v>
      </c>
      <c r="E10" s="525" t="s">
        <v>3225</v>
      </c>
      <c r="F10" s="522">
        <f>SUMIF(75:75,E10,76:76)-SUMIF(75:75,C10,76:76)+100</f>
        <v>100</v>
      </c>
      <c r="G10" s="525" t="s">
        <v>3225</v>
      </c>
      <c r="H10" s="520">
        <f>SUMIF(75:75,G10,76:76)-SUMIF(75:75,C10,76:76)+100</f>
        <v>100</v>
      </c>
      <c r="I10" s="525" t="s">
        <v>3225</v>
      </c>
      <c r="J10" s="520">
        <f>SUMIF(75:75,I10,76:76)-SUMIF(75:75,C10,76:76)+100</f>
        <v>100</v>
      </c>
      <c r="K10" s="524"/>
      <c r="L10" s="2121"/>
      <c r="M10" s="2118"/>
      <c r="N10" s="2118"/>
      <c r="O10" s="2122"/>
      <c r="P10" s="3411" t="s">
        <v>533</v>
      </c>
      <c r="Q10" s="3412"/>
      <c r="R10" s="1555" t="s">
        <v>8</v>
      </c>
      <c r="S10" s="1556">
        <f t="shared" si="0"/>
        <v>100</v>
      </c>
      <c r="T10" s="1555" t="s">
        <v>8</v>
      </c>
      <c r="U10" s="1556">
        <f t="shared" si="1"/>
        <v>100</v>
      </c>
      <c r="V10" s="1555" t="s">
        <v>8</v>
      </c>
      <c r="W10" s="1556">
        <f t="shared" si="2"/>
        <v>100</v>
      </c>
      <c r="X10" s="1557"/>
      <c r="Y10" s="3411" t="s">
        <v>533</v>
      </c>
      <c r="Z10" s="3412"/>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9" t="s">
        <v>535</v>
      </c>
      <c r="Q11" s="1147" t="str">
        <f t="shared" ref="Q11:Q17" si="6">B11</f>
        <v>用途</v>
      </c>
      <c r="R11" s="1555" t="s">
        <v>8</v>
      </c>
      <c r="S11" s="1556">
        <f t="shared" si="0"/>
        <v>100</v>
      </c>
      <c r="T11" s="1555" t="s">
        <v>8</v>
      </c>
      <c r="U11" s="1556">
        <f t="shared" si="1"/>
        <v>100</v>
      </c>
      <c r="V11" s="1555" t="s">
        <v>8</v>
      </c>
      <c r="W11" s="1556">
        <f t="shared" si="2"/>
        <v>100</v>
      </c>
      <c r="X11" s="1557"/>
      <c r="Y11" s="3376"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19"/>
      <c r="Q12" s="1147" t="str">
        <f t="shared" si="6"/>
        <v>土地使用年限（年）</v>
      </c>
      <c r="R12" s="1555" t="s">
        <v>8</v>
      </c>
      <c r="S12" s="1556">
        <f t="shared" si="0"/>
        <v>100</v>
      </c>
      <c r="T12" s="1555" t="s">
        <v>8</v>
      </c>
      <c r="U12" s="1556">
        <f t="shared" si="1"/>
        <v>100</v>
      </c>
      <c r="V12" s="1555" t="s">
        <v>8</v>
      </c>
      <c r="W12" s="1556">
        <f t="shared" si="2"/>
        <v>100</v>
      </c>
      <c r="X12" s="1557"/>
      <c r="Y12" s="3376"/>
      <c r="Z12" s="1146" t="str">
        <f t="shared" si="7"/>
        <v>土地使用年限（年）</v>
      </c>
      <c r="AA12" s="1558">
        <f t="shared" si="3"/>
        <v>1</v>
      </c>
      <c r="AB12" s="1558">
        <f t="shared" si="4"/>
        <v>1</v>
      </c>
      <c r="AC12" s="1558">
        <f t="shared" si="5"/>
        <v>1</v>
      </c>
    </row>
    <row r="13" spans="1:30" ht="21" thickBot="1">
      <c r="A13" s="2872"/>
      <c r="B13" s="2876" t="s">
        <v>2758</v>
      </c>
      <c r="C13" s="534">
        <f>'数据-汇总表'!I6</f>
        <v>2.1</v>
      </c>
      <c r="D13" s="255">
        <v>100</v>
      </c>
      <c r="E13" s="533">
        <v>2.7</v>
      </c>
      <c r="F13" s="255">
        <f>LOOKUP(E13,82:82,83:83)-LOOKUP(C13,82:82,83:83)+100</f>
        <v>100</v>
      </c>
      <c r="G13" s="534">
        <v>2</v>
      </c>
      <c r="H13" s="255">
        <f>LOOKUP(G13,82:82,83:83)-LOOKUP(C13,82:82,83:83)+100</f>
        <v>100</v>
      </c>
      <c r="I13" s="533">
        <v>1.8</v>
      </c>
      <c r="J13" s="255">
        <f>LOOKUP(I13,82:82,83:83)-LOOKUP(C13,82:82,83:83)+100</f>
        <v>102</v>
      </c>
      <c r="K13" s="535">
        <v>2</v>
      </c>
      <c r="L13" s="2126"/>
      <c r="M13" s="2118"/>
      <c r="N13" s="2118"/>
      <c r="O13" s="2127"/>
      <c r="P13" s="3419"/>
      <c r="Q13" s="1147" t="str">
        <f t="shared" si="6"/>
        <v>容积率</v>
      </c>
      <c r="R13" s="1555" t="s">
        <v>8</v>
      </c>
      <c r="S13" s="1556">
        <f t="shared" si="0"/>
        <v>100</v>
      </c>
      <c r="T13" s="1555" t="s">
        <v>8</v>
      </c>
      <c r="U13" s="1556">
        <f t="shared" si="1"/>
        <v>100</v>
      </c>
      <c r="V13" s="1555" t="s">
        <v>8</v>
      </c>
      <c r="W13" s="1556">
        <f t="shared" si="2"/>
        <v>102</v>
      </c>
      <c r="X13" s="1557"/>
      <c r="Y13" s="3376"/>
      <c r="Z13" s="1146" t="str">
        <f t="shared" si="7"/>
        <v>容积率</v>
      </c>
      <c r="AA13" s="1558">
        <f t="shared" si="3"/>
        <v>1</v>
      </c>
      <c r="AB13" s="1558">
        <f t="shared" si="4"/>
        <v>1</v>
      </c>
      <c r="AC13" s="1558">
        <f t="shared" si="5"/>
        <v>0.98039215686274506</v>
      </c>
    </row>
    <row r="14" spans="1:30" s="1216" customFormat="1" ht="20.25" hidden="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9"/>
      <c r="Q14" s="1147" t="str">
        <f t="shared" si="6"/>
        <v>配建</v>
      </c>
      <c r="R14" s="1555" t="s">
        <v>8</v>
      </c>
      <c r="S14" s="1556">
        <f t="shared" si="0"/>
        <v>100</v>
      </c>
      <c r="T14" s="1555" t="s">
        <v>8</v>
      </c>
      <c r="U14" s="1556">
        <f t="shared" si="1"/>
        <v>100</v>
      </c>
      <c r="V14" s="1555" t="s">
        <v>8</v>
      </c>
      <c r="W14" s="1556">
        <f t="shared" si="2"/>
        <v>100</v>
      </c>
      <c r="X14" s="1557"/>
      <c r="Y14" s="3376"/>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9"/>
      <c r="Q15" s="1147">
        <f t="shared" si="6"/>
        <v>111</v>
      </c>
      <c r="R15" s="1555" t="s">
        <v>8</v>
      </c>
      <c r="S15" s="1556">
        <f t="shared" si="0"/>
        <v>100</v>
      </c>
      <c r="T15" s="1555" t="s">
        <v>8</v>
      </c>
      <c r="U15" s="1556">
        <f t="shared" si="1"/>
        <v>100</v>
      </c>
      <c r="V15" s="1555" t="s">
        <v>8</v>
      </c>
      <c r="W15" s="1556">
        <f t="shared" si="2"/>
        <v>100</v>
      </c>
      <c r="X15" s="1557"/>
      <c r="Y15" s="3376"/>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9"/>
      <c r="Q16" s="1147">
        <f t="shared" si="6"/>
        <v>111</v>
      </c>
      <c r="R16" s="1555" t="s">
        <v>8</v>
      </c>
      <c r="S16" s="1556">
        <f t="shared" si="0"/>
        <v>100</v>
      </c>
      <c r="T16" s="1555" t="s">
        <v>8</v>
      </c>
      <c r="U16" s="1556">
        <f t="shared" si="1"/>
        <v>100</v>
      </c>
      <c r="V16" s="1555" t="s">
        <v>8</v>
      </c>
      <c r="W16" s="1556">
        <f t="shared" si="2"/>
        <v>100</v>
      </c>
      <c r="X16" s="1557"/>
      <c r="Y16" s="3376"/>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110</v>
      </c>
      <c r="G17" s="550"/>
      <c r="H17" s="549">
        <f>SUMIF(90:90,G18,91:91)-SUMIF(90:90,C18,91:91)+100</f>
        <v>110</v>
      </c>
      <c r="I17" s="552"/>
      <c r="J17" s="549">
        <f>SUMIF(90:90,I18,91:91)-SUMIF(90:90,C18,91:91)+100</f>
        <v>105</v>
      </c>
      <c r="K17" s="535">
        <v>5</v>
      </c>
      <c r="L17" s="2128"/>
      <c r="M17" s="2118"/>
      <c r="N17" s="2118"/>
      <c r="O17" s="2127"/>
      <c r="P17" s="3421" t="s">
        <v>540</v>
      </c>
      <c r="Q17" s="1559" t="str">
        <f t="shared" si="6"/>
        <v>居住社区成熟度</v>
      </c>
      <c r="R17" s="1560" t="s">
        <v>8</v>
      </c>
      <c r="S17" s="1561">
        <f t="shared" si="0"/>
        <v>110</v>
      </c>
      <c r="T17" s="1560" t="s">
        <v>8</v>
      </c>
      <c r="U17" s="1561">
        <f t="shared" si="1"/>
        <v>110</v>
      </c>
      <c r="V17" s="1560" t="s">
        <v>8</v>
      </c>
      <c r="W17" s="1561">
        <f t="shared" si="2"/>
        <v>105</v>
      </c>
      <c r="X17" s="1554"/>
      <c r="Y17" s="3421" t="s">
        <v>540</v>
      </c>
      <c r="Z17" s="1562" t="str">
        <f t="shared" si="7"/>
        <v>居住社区成熟度</v>
      </c>
      <c r="AA17" s="1563">
        <f t="shared" si="3"/>
        <v>0.90909090909090906</v>
      </c>
      <c r="AB17" s="1563">
        <f t="shared" si="4"/>
        <v>0.90909090909090906</v>
      </c>
      <c r="AC17" s="1563">
        <f t="shared" si="5"/>
        <v>0.95238095238095233</v>
      </c>
    </row>
    <row r="18" spans="1:29" ht="20.25">
      <c r="A18" s="532"/>
      <c r="B18" s="553"/>
      <c r="C18" s="554" t="s">
        <v>3276</v>
      </c>
      <c r="D18" s="557"/>
      <c r="E18" s="558" t="s">
        <v>3227</v>
      </c>
      <c r="F18" s="555"/>
      <c r="G18" s="556" t="s">
        <v>3227</v>
      </c>
      <c r="H18" s="559"/>
      <c r="I18" s="558" t="s">
        <v>3226</v>
      </c>
      <c r="J18" s="555"/>
      <c r="K18" s="531"/>
      <c r="L18" s="2128"/>
      <c r="M18" s="2118"/>
      <c r="N18" s="2118"/>
      <c r="O18" s="2127"/>
      <c r="P18" s="3422"/>
      <c r="Q18" s="1559"/>
      <c r="R18" s="1560"/>
      <c r="S18" s="1561"/>
      <c r="T18" s="1560"/>
      <c r="U18" s="1561"/>
      <c r="V18" s="1560"/>
      <c r="W18" s="1561"/>
      <c r="X18" s="1554"/>
      <c r="Y18" s="3422"/>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110</v>
      </c>
      <c r="G19" s="562"/>
      <c r="H19" s="565">
        <f>SUMIF(92:92,G20,93:93)-SUMIF(92:92,C20,93:93)+100</f>
        <v>110</v>
      </c>
      <c r="I19" s="564"/>
      <c r="J19" s="565">
        <f>SUMIF(92:92,I20,93:93)-SUMIF(92:92,C20,93:93)+100</f>
        <v>105</v>
      </c>
      <c r="K19" s="535">
        <v>5</v>
      </c>
      <c r="L19" s="2128"/>
      <c r="M19" s="2118"/>
      <c r="N19" s="2118"/>
      <c r="O19" s="2127"/>
      <c r="P19" s="3422"/>
      <c r="Q19" s="1559" t="str">
        <f>B19</f>
        <v>商业繁华度</v>
      </c>
      <c r="R19" s="1560" t="s">
        <v>8</v>
      </c>
      <c r="S19" s="1561">
        <f>F19</f>
        <v>110</v>
      </c>
      <c r="T19" s="1560" t="s">
        <v>8</v>
      </c>
      <c r="U19" s="1561">
        <f>H19</f>
        <v>110</v>
      </c>
      <c r="V19" s="1560" t="s">
        <v>8</v>
      </c>
      <c r="W19" s="1561">
        <f>J19</f>
        <v>105</v>
      </c>
      <c r="X19" s="1554"/>
      <c r="Y19" s="3422"/>
      <c r="Z19" s="1562" t="str">
        <f>Q19</f>
        <v>商业繁华度</v>
      </c>
      <c r="AA19" s="1563">
        <f t="shared" si="3"/>
        <v>0.90909090909090906</v>
      </c>
      <c r="AB19" s="1563">
        <f t="shared" si="4"/>
        <v>0.90909090909090906</v>
      </c>
      <c r="AC19" s="1563">
        <f t="shared" si="5"/>
        <v>0.95238095238095233</v>
      </c>
    </row>
    <row r="20" spans="1:29" ht="20.25">
      <c r="A20" s="532"/>
      <c r="B20" s="566"/>
      <c r="C20" s="567" t="s">
        <v>3276</v>
      </c>
      <c r="D20" s="563"/>
      <c r="E20" s="569" t="s">
        <v>3227</v>
      </c>
      <c r="F20" s="559"/>
      <c r="G20" s="568" t="s">
        <v>3227</v>
      </c>
      <c r="H20" s="555"/>
      <c r="I20" s="569" t="s">
        <v>3226</v>
      </c>
      <c r="J20" s="555"/>
      <c r="K20" s="531"/>
      <c r="L20" s="2128"/>
      <c r="M20" s="2118"/>
      <c r="N20" s="2118"/>
      <c r="O20" s="2127"/>
      <c r="P20" s="3422"/>
      <c r="Q20" s="1559"/>
      <c r="R20" s="1560"/>
      <c r="S20" s="1561"/>
      <c r="T20" s="1560"/>
      <c r="U20" s="1561"/>
      <c r="V20" s="1560"/>
      <c r="W20" s="1561"/>
      <c r="X20" s="1554"/>
      <c r="Y20" s="3422"/>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2"/>
      <c r="Q21" s="1559" t="str">
        <f>B21</f>
        <v>办公集聚程度</v>
      </c>
      <c r="R21" s="1560" t="s">
        <v>8</v>
      </c>
      <c r="S21" s="1561">
        <f>F21</f>
        <v>100</v>
      </c>
      <c r="T21" s="1560" t="s">
        <v>8</v>
      </c>
      <c r="U21" s="1561">
        <f>H21</f>
        <v>100</v>
      </c>
      <c r="V21" s="1560" t="s">
        <v>8</v>
      </c>
      <c r="W21" s="1561">
        <f>J21</f>
        <v>100</v>
      </c>
      <c r="X21" s="1554"/>
      <c r="Y21" s="3422"/>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22"/>
      <c r="Q22" s="1559"/>
      <c r="R22" s="1560"/>
      <c r="S22" s="1561"/>
      <c r="T22" s="1560"/>
      <c r="U22" s="1561"/>
      <c r="V22" s="1560"/>
      <c r="W22" s="1561"/>
      <c r="X22" s="1554"/>
      <c r="Y22" s="3422"/>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422"/>
      <c r="Q23" s="1559" t="str">
        <f>B23</f>
        <v>交通便捷度</v>
      </c>
      <c r="R23" s="1560" t="s">
        <v>8</v>
      </c>
      <c r="S23" s="1561">
        <f>F23</f>
        <v>105</v>
      </c>
      <c r="T23" s="1560" t="s">
        <v>8</v>
      </c>
      <c r="U23" s="1561">
        <f>H23</f>
        <v>105</v>
      </c>
      <c r="V23" s="1560" t="s">
        <v>8</v>
      </c>
      <c r="W23" s="1561">
        <f>J23</f>
        <v>100</v>
      </c>
      <c r="X23" s="1554"/>
      <c r="Y23" s="3422"/>
      <c r="Z23" s="1562" t="str">
        <f>Q23</f>
        <v>交通便捷度</v>
      </c>
      <c r="AA23" s="1563">
        <f t="shared" si="3"/>
        <v>0.95238095238095233</v>
      </c>
      <c r="AB23" s="1563">
        <f t="shared" si="4"/>
        <v>0.95238095238095233</v>
      </c>
      <c r="AC23" s="1563">
        <f t="shared" si="5"/>
        <v>1</v>
      </c>
    </row>
    <row r="24" spans="1:29" ht="20.25">
      <c r="A24" s="532"/>
      <c r="B24" s="578"/>
      <c r="C24" s="554" t="s">
        <v>3226</v>
      </c>
      <c r="D24" s="557"/>
      <c r="E24" s="558" t="s">
        <v>3227</v>
      </c>
      <c r="F24" s="555"/>
      <c r="G24" s="556" t="s">
        <v>3227</v>
      </c>
      <c r="H24" s="555"/>
      <c r="I24" s="558" t="s">
        <v>3226</v>
      </c>
      <c r="J24" s="555"/>
      <c r="K24" s="531"/>
      <c r="L24" s="2128"/>
      <c r="M24" s="2118"/>
      <c r="N24" s="2118"/>
      <c r="O24" s="2127"/>
      <c r="P24" s="3422"/>
      <c r="Q24" s="1559"/>
      <c r="R24" s="1560"/>
      <c r="S24" s="1561"/>
      <c r="T24" s="1560"/>
      <c r="U24" s="1561"/>
      <c r="V24" s="1560"/>
      <c r="W24" s="1561"/>
      <c r="X24" s="1554"/>
      <c r="Y24" s="3422"/>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28"/>
      <c r="M25" s="2118"/>
      <c r="N25" s="2118"/>
      <c r="O25" s="2127"/>
      <c r="P25" s="3422"/>
      <c r="Q25" s="1559" t="str">
        <f t="shared" ref="Q25:Q39" si="8">B25</f>
        <v>区域土地利用方向</v>
      </c>
      <c r="R25" s="1560" t="s">
        <v>8</v>
      </c>
      <c r="S25" s="1561">
        <f>F25</f>
        <v>100</v>
      </c>
      <c r="T25" s="1560" t="s">
        <v>8</v>
      </c>
      <c r="U25" s="1561">
        <f>H25</f>
        <v>100</v>
      </c>
      <c r="V25" s="1560" t="s">
        <v>8</v>
      </c>
      <c r="W25" s="1561">
        <f>J25</f>
        <v>100</v>
      </c>
      <c r="X25" s="1554"/>
      <c r="Y25" s="3422"/>
      <c r="Z25" s="1562" t="str">
        <f>Q25</f>
        <v>区域土地利用方向</v>
      </c>
      <c r="AA25" s="1563">
        <f t="shared" si="3"/>
        <v>1</v>
      </c>
      <c r="AB25" s="1563">
        <f t="shared" si="4"/>
        <v>1</v>
      </c>
      <c r="AC25" s="1563">
        <f t="shared" si="5"/>
        <v>1</v>
      </c>
    </row>
    <row r="26" spans="1:29" ht="20.25">
      <c r="A26" s="515"/>
      <c r="B26" s="1007"/>
      <c r="C26" s="554" t="s">
        <v>3227</v>
      </c>
      <c r="D26" s="557"/>
      <c r="E26" s="558" t="s">
        <v>3227</v>
      </c>
      <c r="F26" s="555"/>
      <c r="G26" s="556" t="s">
        <v>3227</v>
      </c>
      <c r="H26" s="555"/>
      <c r="I26" s="558" t="s">
        <v>3227</v>
      </c>
      <c r="J26" s="555"/>
      <c r="K26" s="531"/>
      <c r="L26" s="2128"/>
      <c r="M26" s="2118"/>
      <c r="N26" s="2118"/>
      <c r="O26" s="2127"/>
      <c r="P26" s="3422"/>
      <c r="Q26" s="1559"/>
      <c r="R26" s="1560"/>
      <c r="S26" s="1561"/>
      <c r="T26" s="1560"/>
      <c r="U26" s="1561"/>
      <c r="V26" s="1560"/>
      <c r="W26" s="1561"/>
      <c r="X26" s="1554"/>
      <c r="Y26" s="3422"/>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28"/>
      <c r="M27" s="2118"/>
      <c r="N27" s="2118"/>
      <c r="O27" s="2127"/>
      <c r="P27" s="3422"/>
      <c r="Q27" s="1559" t="str">
        <f t="shared" si="8"/>
        <v>自然及人文环境状况</v>
      </c>
      <c r="R27" s="1560" t="s">
        <v>8</v>
      </c>
      <c r="S27" s="1561">
        <f>F27</f>
        <v>100</v>
      </c>
      <c r="T27" s="1560" t="s">
        <v>8</v>
      </c>
      <c r="U27" s="1561">
        <f>H27</f>
        <v>100</v>
      </c>
      <c r="V27" s="1560" t="s">
        <v>8</v>
      </c>
      <c r="W27" s="1561">
        <f>J27</f>
        <v>100</v>
      </c>
      <c r="X27" s="1554"/>
      <c r="Y27" s="3422"/>
      <c r="Z27" s="1562" t="str">
        <f>Q27</f>
        <v>自然及人文环境状况</v>
      </c>
      <c r="AA27" s="1563">
        <f t="shared" si="3"/>
        <v>1</v>
      </c>
      <c r="AB27" s="1563">
        <f t="shared" si="4"/>
        <v>1</v>
      </c>
      <c r="AC27" s="1563">
        <f t="shared" si="5"/>
        <v>1</v>
      </c>
    </row>
    <row r="28" spans="1:29" ht="20.25">
      <c r="A28" s="515"/>
      <c r="B28" s="566"/>
      <c r="C28" s="554" t="s">
        <v>3227</v>
      </c>
      <c r="D28" s="557"/>
      <c r="E28" s="576" t="s">
        <v>3227</v>
      </c>
      <c r="F28" s="555"/>
      <c r="G28" s="554" t="s">
        <v>3227</v>
      </c>
      <c r="H28" s="555"/>
      <c r="I28" s="576" t="s">
        <v>3227</v>
      </c>
      <c r="J28" s="555"/>
      <c r="K28" s="531"/>
      <c r="L28" s="2128"/>
      <c r="M28" s="2118"/>
      <c r="N28" s="2118"/>
      <c r="O28" s="2127"/>
      <c r="P28" s="3422"/>
      <c r="Q28" s="1559"/>
      <c r="R28" s="1560"/>
      <c r="S28" s="1561"/>
      <c r="T28" s="1560"/>
      <c r="U28" s="1561"/>
      <c r="V28" s="1560"/>
      <c r="W28" s="1561"/>
      <c r="X28" s="1554"/>
      <c r="Y28" s="3422"/>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105</v>
      </c>
      <c r="K29" s="535">
        <v>5</v>
      </c>
      <c r="L29" s="2121"/>
      <c r="M29" s="2118"/>
      <c r="N29" s="2118"/>
      <c r="O29" s="2123"/>
      <c r="P29" s="3422"/>
      <c r="Q29" s="1147" t="str">
        <f t="shared" si="8"/>
        <v>公共配套设施</v>
      </c>
      <c r="R29" s="1555" t="s">
        <v>8</v>
      </c>
      <c r="S29" s="1556">
        <f>F29</f>
        <v>110</v>
      </c>
      <c r="T29" s="1555" t="s">
        <v>8</v>
      </c>
      <c r="U29" s="1556">
        <f>H29</f>
        <v>110</v>
      </c>
      <c r="V29" s="1555" t="s">
        <v>8</v>
      </c>
      <c r="W29" s="1556">
        <f>J29</f>
        <v>105</v>
      </c>
      <c r="X29" s="1557"/>
      <c r="Y29" s="3422"/>
      <c r="Z29" s="1146" t="str">
        <f>Q29</f>
        <v>公共配套设施</v>
      </c>
      <c r="AA29" s="1563">
        <f>D29/F29</f>
        <v>0.90909090909090906</v>
      </c>
      <c r="AB29" s="1563">
        <f>D29/H29</f>
        <v>0.90909090909090906</v>
      </c>
      <c r="AC29" s="1563">
        <f>D29/J29</f>
        <v>0.95238095238095233</v>
      </c>
    </row>
    <row r="30" spans="1:29" s="1216" customFormat="1" ht="20.25">
      <c r="A30" s="577"/>
      <c r="B30" s="566"/>
      <c r="C30" s="579" t="s">
        <v>3276</v>
      </c>
      <c r="D30" s="557"/>
      <c r="E30" s="576" t="s">
        <v>3227</v>
      </c>
      <c r="F30" s="555"/>
      <c r="G30" s="554" t="s">
        <v>3227</v>
      </c>
      <c r="H30" s="555"/>
      <c r="I30" s="576" t="s">
        <v>3226</v>
      </c>
      <c r="J30" s="555"/>
      <c r="K30" s="531"/>
      <c r="L30" s="2121"/>
      <c r="M30" s="2118"/>
      <c r="N30" s="2118"/>
      <c r="O30" s="2123"/>
      <c r="P30" s="3422"/>
      <c r="Q30" s="1147"/>
      <c r="R30" s="1555"/>
      <c r="S30" s="1556"/>
      <c r="T30" s="1555"/>
      <c r="U30" s="1556"/>
      <c r="V30" s="1555"/>
      <c r="W30" s="1556"/>
      <c r="X30" s="1557"/>
      <c r="Y30" s="3422"/>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22"/>
      <c r="Q31" s="2543" t="str">
        <f t="shared" ref="Q31" si="9">B31</f>
        <v>基础设施水平</v>
      </c>
      <c r="R31" s="1555" t="s">
        <v>8</v>
      </c>
      <c r="S31" s="1556">
        <f>F31</f>
        <v>100</v>
      </c>
      <c r="T31" s="1555" t="s">
        <v>8</v>
      </c>
      <c r="U31" s="1556">
        <f>H31</f>
        <v>100</v>
      </c>
      <c r="V31" s="1555" t="s">
        <v>8</v>
      </c>
      <c r="W31" s="1556">
        <f>J31</f>
        <v>100</v>
      </c>
      <c r="X31" s="1557"/>
      <c r="Y31" s="3422"/>
      <c r="Z31" s="2540" t="str">
        <f>Q31</f>
        <v>基础设施水平</v>
      </c>
      <c r="AA31" s="1563">
        <f>D31/F31</f>
        <v>1</v>
      </c>
      <c r="AB31" s="1563">
        <f>D31/H31</f>
        <v>1</v>
      </c>
      <c r="AC31" s="1563">
        <f>D31/J31</f>
        <v>1</v>
      </c>
    </row>
    <row r="32" spans="1:29" s="1216" customFormat="1" ht="21" thickBot="1">
      <c r="A32" s="577"/>
      <c r="B32" s="566"/>
      <c r="C32" s="579" t="s">
        <v>3228</v>
      </c>
      <c r="D32" s="557"/>
      <c r="E32" s="2557" t="s">
        <v>3228</v>
      </c>
      <c r="F32" s="555"/>
      <c r="G32" s="579" t="s">
        <v>3228</v>
      </c>
      <c r="H32" s="555"/>
      <c r="I32" s="579" t="s">
        <v>3228</v>
      </c>
      <c r="J32" s="555"/>
      <c r="K32" s="531"/>
      <c r="L32" s="2121"/>
      <c r="M32" s="2118"/>
      <c r="N32" s="2118"/>
      <c r="O32" s="2123"/>
      <c r="P32" s="3422"/>
      <c r="Q32" s="2543"/>
      <c r="R32" s="1555"/>
      <c r="S32" s="1556"/>
      <c r="T32" s="1555"/>
      <c r="U32" s="1556"/>
      <c r="V32" s="1555"/>
      <c r="W32" s="1556"/>
      <c r="X32" s="1557"/>
      <c r="Y32" s="3422"/>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2"/>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2"/>
      <c r="Q34" s="1559" t="str">
        <f t="shared" si="8"/>
        <v>毗邻道路的类型与等级</v>
      </c>
      <c r="R34" s="1560" t="s">
        <v>8</v>
      </c>
      <c r="S34" s="1561">
        <f t="shared" si="10"/>
        <v>100</v>
      </c>
      <c r="T34" s="1560" t="s">
        <v>8</v>
      </c>
      <c r="U34" s="1561">
        <f t="shared" si="11"/>
        <v>100</v>
      </c>
      <c r="V34" s="1560" t="s">
        <v>8</v>
      </c>
      <c r="W34" s="1561">
        <f t="shared" si="12"/>
        <v>100</v>
      </c>
      <c r="X34" s="1554"/>
      <c r="Y34" s="3422"/>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8"/>
      <c r="M35" s="2118"/>
      <c r="N35" s="2118"/>
      <c r="O35" s="2127"/>
      <c r="P35" s="3422"/>
      <c r="Q35" s="1559"/>
      <c r="R35" s="1560"/>
      <c r="S35" s="1561"/>
      <c r="T35" s="1560"/>
      <c r="U35" s="1561"/>
      <c r="V35" s="1560"/>
      <c r="W35" s="1561"/>
      <c r="X35" s="1554"/>
      <c r="Y35" s="3422"/>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2"/>
      <c r="Q36" s="1559" t="str">
        <f t="shared" si="8"/>
        <v>土地级别</v>
      </c>
      <c r="R36" s="1560" t="s">
        <v>8</v>
      </c>
      <c r="S36" s="1561">
        <f t="shared" si="10"/>
        <v>100</v>
      </c>
      <c r="T36" s="1560" t="s">
        <v>8</v>
      </c>
      <c r="U36" s="1561">
        <f t="shared" si="11"/>
        <v>100</v>
      </c>
      <c r="V36" s="1560" t="s">
        <v>8</v>
      </c>
      <c r="W36" s="1561">
        <f t="shared" si="12"/>
        <v>100</v>
      </c>
      <c r="X36" s="1554"/>
      <c r="Y36" s="3422"/>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2"/>
      <c r="Q37" s="1559">
        <f t="shared" si="8"/>
        <v>111</v>
      </c>
      <c r="R37" s="1560" t="s">
        <v>8</v>
      </c>
      <c r="S37" s="1561">
        <f t="shared" si="10"/>
        <v>100</v>
      </c>
      <c r="T37" s="1560" t="s">
        <v>8</v>
      </c>
      <c r="U37" s="1561">
        <f t="shared" si="11"/>
        <v>100</v>
      </c>
      <c r="V37" s="1560" t="s">
        <v>8</v>
      </c>
      <c r="W37" s="1561">
        <f t="shared" si="12"/>
        <v>100</v>
      </c>
      <c r="X37" s="1554"/>
      <c r="Y37" s="3422"/>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3" t="s">
        <v>550</v>
      </c>
      <c r="Q38" s="1559">
        <f t="shared" si="8"/>
        <v>111</v>
      </c>
      <c r="R38" s="1560" t="s">
        <v>8</v>
      </c>
      <c r="S38" s="1561">
        <f t="shared" si="10"/>
        <v>100</v>
      </c>
      <c r="T38" s="1560" t="s">
        <v>8</v>
      </c>
      <c r="U38" s="1561">
        <f t="shared" si="11"/>
        <v>100</v>
      </c>
      <c r="V38" s="1560" t="s">
        <v>8</v>
      </c>
      <c r="W38" s="1561">
        <f t="shared" si="12"/>
        <v>100</v>
      </c>
      <c r="X38" s="1554"/>
      <c r="Y38" s="3424"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4"/>
      <c r="Q39" s="1559">
        <f t="shared" si="8"/>
        <v>111</v>
      </c>
      <c r="R39" s="1564" t="s">
        <v>8</v>
      </c>
      <c r="S39" s="1565">
        <f t="shared" si="10"/>
        <v>100</v>
      </c>
      <c r="T39" s="1564" t="s">
        <v>8</v>
      </c>
      <c r="U39" s="1565">
        <f t="shared" si="11"/>
        <v>100</v>
      </c>
      <c r="V39" s="1564" t="s">
        <v>8</v>
      </c>
      <c r="W39" s="1565">
        <f t="shared" si="12"/>
        <v>100</v>
      </c>
      <c r="X39" s="1566"/>
      <c r="Y39" s="3424"/>
      <c r="Z39" s="1567">
        <f t="shared" si="13"/>
        <v>111</v>
      </c>
      <c r="AA39" s="1563">
        <f t="shared" si="3"/>
        <v>1</v>
      </c>
      <c r="AB39" s="1563">
        <f t="shared" si="4"/>
        <v>1</v>
      </c>
      <c r="AC39" s="1563">
        <f t="shared" si="5"/>
        <v>1</v>
      </c>
    </row>
    <row r="40" spans="1:29" ht="20.25">
      <c r="A40" s="2863" t="s">
        <v>2755</v>
      </c>
      <c r="B40" s="595" t="s">
        <v>552</v>
      </c>
      <c r="C40" s="596">
        <f>'数据-汇总表'!D3</f>
        <v>105380</v>
      </c>
      <c r="D40" s="597">
        <v>100</v>
      </c>
      <c r="E40" s="596">
        <f>Sheet5!D2</f>
        <v>27675</v>
      </c>
      <c r="F40" s="597">
        <f>LOOKUP(E40,119:119,120:120)-LOOKUP(C40,119:119,120:120)+100</f>
        <v>99</v>
      </c>
      <c r="G40" s="596">
        <f>Sheet5!D3</f>
        <v>38915</v>
      </c>
      <c r="H40" s="597">
        <f>LOOKUP(G40,119:119,120:120)-LOOKUP(C40,119:119,120:120)+100</f>
        <v>99</v>
      </c>
      <c r="I40" s="598">
        <f>Sheet5!D23</f>
        <v>97498</v>
      </c>
      <c r="J40" s="597">
        <f>LOOKUP(I40,119:119,120:120)-LOOKUP(C40,119:119,120:120)+100</f>
        <v>99</v>
      </c>
      <c r="K40" s="581"/>
      <c r="L40" s="2128"/>
      <c r="M40" s="2118"/>
      <c r="N40" s="2118"/>
      <c r="O40" s="2127"/>
      <c r="P40" s="3424"/>
      <c r="Q40" s="1559" t="str">
        <f>B40</f>
        <v>宗地面积</v>
      </c>
      <c r="R40" s="1560" t="s">
        <v>8</v>
      </c>
      <c r="S40" s="1561">
        <f t="shared" si="10"/>
        <v>99</v>
      </c>
      <c r="T40" s="1560" t="s">
        <v>8</v>
      </c>
      <c r="U40" s="1561">
        <f t="shared" si="11"/>
        <v>99</v>
      </c>
      <c r="V40" s="1560" t="s">
        <v>8</v>
      </c>
      <c r="W40" s="1561">
        <f t="shared" si="12"/>
        <v>99</v>
      </c>
      <c r="X40" s="1554"/>
      <c r="Y40" s="3424"/>
      <c r="Z40" s="1562" t="str">
        <f t="shared" si="13"/>
        <v>宗地面积</v>
      </c>
      <c r="AA40" s="1563">
        <f t="shared" si="3"/>
        <v>1.0101010101010102</v>
      </c>
      <c r="AB40" s="1563">
        <f t="shared" si="4"/>
        <v>1.0101010101010102</v>
      </c>
      <c r="AC40" s="1563">
        <f t="shared" si="5"/>
        <v>1.0101010101010102</v>
      </c>
    </row>
    <row r="41" spans="1:29" ht="20.25">
      <c r="A41" s="594"/>
      <c r="B41" s="527" t="s">
        <v>553</v>
      </c>
      <c r="C41" s="599" t="s">
        <v>3229</v>
      </c>
      <c r="D41" s="540">
        <v>100</v>
      </c>
      <c r="E41" s="599" t="s">
        <v>3229</v>
      </c>
      <c r="F41" s="540">
        <f>SUMIF(121:121,E41,122:122)-SUMIF(121:121,C41,122:122)+100</f>
        <v>100</v>
      </c>
      <c r="G41" s="599" t="s">
        <v>3229</v>
      </c>
      <c r="H41" s="540">
        <f>SUMIF(121:121,G41,122:122)-SUMIF(121:121,C41,122:122)+100</f>
        <v>100</v>
      </c>
      <c r="I41" s="599" t="s">
        <v>3229</v>
      </c>
      <c r="J41" s="540">
        <f>SUMIF(121:121,I41,122:122)-SUMIF(121:121,C41,122:122)+100</f>
        <v>100</v>
      </c>
      <c r="K41" s="584">
        <v>2</v>
      </c>
      <c r="L41" s="2128"/>
      <c r="M41" s="2118"/>
      <c r="N41" s="2118"/>
      <c r="O41" s="2127"/>
      <c r="P41" s="3424"/>
      <c r="Q41" s="1559" t="str">
        <f t="shared" ref="Q41:Q47" si="14">B41</f>
        <v>宗地形状</v>
      </c>
      <c r="R41" s="1560" t="s">
        <v>8</v>
      </c>
      <c r="S41" s="1561">
        <f t="shared" si="10"/>
        <v>100</v>
      </c>
      <c r="T41" s="1560" t="s">
        <v>8</v>
      </c>
      <c r="U41" s="1561">
        <f t="shared" si="11"/>
        <v>100</v>
      </c>
      <c r="V41" s="1560" t="s">
        <v>8</v>
      </c>
      <c r="W41" s="1561">
        <f t="shared" si="12"/>
        <v>100</v>
      </c>
      <c r="X41" s="1554"/>
      <c r="Y41" s="3424"/>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24"/>
      <c r="Q42" s="1559" t="str">
        <f t="shared" si="14"/>
        <v>临街宽度及深度</v>
      </c>
      <c r="R42" s="1560" t="s">
        <v>8</v>
      </c>
      <c r="S42" s="1561">
        <f t="shared" si="10"/>
        <v>100</v>
      </c>
      <c r="T42" s="1560" t="s">
        <v>8</v>
      </c>
      <c r="U42" s="1561">
        <f t="shared" si="11"/>
        <v>100</v>
      </c>
      <c r="V42" s="1560" t="s">
        <v>8</v>
      </c>
      <c r="W42" s="1561">
        <f t="shared" si="12"/>
        <v>100</v>
      </c>
      <c r="X42" s="1554"/>
      <c r="Y42" s="3424"/>
      <c r="Z42" s="1562" t="str">
        <f t="shared" si="13"/>
        <v>临街宽度及深度</v>
      </c>
      <c r="AA42" s="1563">
        <f t="shared" si="3"/>
        <v>1</v>
      </c>
      <c r="AB42" s="1563">
        <f t="shared" si="4"/>
        <v>1</v>
      </c>
      <c r="AC42" s="1563">
        <f t="shared" si="5"/>
        <v>1</v>
      </c>
    </row>
    <row r="43" spans="1:29" s="1216" customFormat="1" ht="20.25">
      <c r="A43" s="600"/>
      <c r="B43" s="1881" t="s">
        <v>2424</v>
      </c>
      <c r="C43" s="601" t="s">
        <v>3230</v>
      </c>
      <c r="D43" s="255">
        <v>100</v>
      </c>
      <c r="E43" s="601" t="s">
        <v>3230</v>
      </c>
      <c r="F43" s="540">
        <f>SUMIF(125:125,E43,126:126)-SUMIF(125:125,C43,126:126)+100</f>
        <v>100</v>
      </c>
      <c r="G43" s="601" t="s">
        <v>3230</v>
      </c>
      <c r="H43" s="540">
        <f>SUMIF(125:125,G43,126:126)-SUMIF(125:125,C43,126:126)+100</f>
        <v>100</v>
      </c>
      <c r="I43" s="601" t="s">
        <v>3230</v>
      </c>
      <c r="J43" s="540">
        <f>SUMIF(125:125,I43,126:126)-SUMIF(125:125,C43,126:126)+100</f>
        <v>100</v>
      </c>
      <c r="K43" s="584">
        <v>2</v>
      </c>
      <c r="L43" s="2121"/>
      <c r="M43" s="2118"/>
      <c r="N43" s="2118"/>
      <c r="O43" s="2123"/>
      <c r="P43" s="3424"/>
      <c r="Q43" s="1559" t="str">
        <f t="shared" si="14"/>
        <v>宗地开发程度</v>
      </c>
      <c r="R43" s="1555" t="s">
        <v>8</v>
      </c>
      <c r="S43" s="1556">
        <f t="shared" si="10"/>
        <v>100</v>
      </c>
      <c r="T43" s="1555" t="s">
        <v>8</v>
      </c>
      <c r="U43" s="1556">
        <f t="shared" si="11"/>
        <v>100</v>
      </c>
      <c r="V43" s="1555" t="s">
        <v>8</v>
      </c>
      <c r="W43" s="1556">
        <f t="shared" si="12"/>
        <v>100</v>
      </c>
      <c r="X43" s="1557"/>
      <c r="Y43" s="3424"/>
      <c r="Z43" s="1146" t="str">
        <f t="shared" si="13"/>
        <v>宗地开发程度</v>
      </c>
      <c r="AA43" s="1558">
        <f t="shared" si="3"/>
        <v>1</v>
      </c>
      <c r="AB43" s="1558">
        <f t="shared" si="4"/>
        <v>1</v>
      </c>
      <c r="AC43" s="1558">
        <f t="shared" si="5"/>
        <v>1</v>
      </c>
    </row>
    <row r="44" spans="1:29" ht="21" thickBot="1">
      <c r="A44" s="594"/>
      <c r="B44" s="527" t="s">
        <v>555</v>
      </c>
      <c r="C44" s="599" t="s">
        <v>3227</v>
      </c>
      <c r="D44" s="540">
        <v>100</v>
      </c>
      <c r="E44" s="599" t="s">
        <v>3227</v>
      </c>
      <c r="F44" s="540">
        <f>SUMIF(127:127,E44,128:128)-SUMIF(127:127,C44,128:128)+100</f>
        <v>100</v>
      </c>
      <c r="G44" s="599" t="s">
        <v>3227</v>
      </c>
      <c r="H44" s="540">
        <f>SUMIF(127:127,G44,128:128)-SUMIF(127:127,C44,128:128)+100</f>
        <v>100</v>
      </c>
      <c r="I44" s="599" t="s">
        <v>3227</v>
      </c>
      <c r="J44" s="540">
        <f>SUMIF(127:127,I44,128:128)-SUMIF(127:127,C44,128:128)+100</f>
        <v>100</v>
      </c>
      <c r="K44" s="584">
        <v>2</v>
      </c>
      <c r="L44" s="2128"/>
      <c r="M44" s="2118"/>
      <c r="N44" s="2118"/>
      <c r="O44" s="2127"/>
      <c r="P44" s="3424" t="s">
        <v>550</v>
      </c>
      <c r="Q44" s="1559" t="str">
        <f t="shared" si="14"/>
        <v>工程地质条件</v>
      </c>
      <c r="R44" s="1560" t="s">
        <v>8</v>
      </c>
      <c r="S44" s="1561">
        <f t="shared" si="10"/>
        <v>100</v>
      </c>
      <c r="T44" s="1560" t="s">
        <v>8</v>
      </c>
      <c r="U44" s="1561">
        <f t="shared" si="11"/>
        <v>100</v>
      </c>
      <c r="V44" s="1560" t="s">
        <v>8</v>
      </c>
      <c r="W44" s="1561">
        <f t="shared" si="12"/>
        <v>100</v>
      </c>
      <c r="X44" s="1554"/>
      <c r="Y44" s="3424" t="s">
        <v>550</v>
      </c>
      <c r="Z44" s="1562" t="str">
        <f t="shared" si="13"/>
        <v>工程地质条件</v>
      </c>
      <c r="AA44" s="1563">
        <f t="shared" si="3"/>
        <v>1</v>
      </c>
      <c r="AB44" s="1563">
        <f t="shared" si="4"/>
        <v>1</v>
      </c>
      <c r="AC44" s="1563">
        <f t="shared" si="5"/>
        <v>1</v>
      </c>
    </row>
    <row r="45" spans="1:29" ht="19.5" hidden="1" customHeigh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4"/>
      <c r="Q45" s="1559">
        <f t="shared" si="14"/>
        <v>111</v>
      </c>
      <c r="R45" s="1560" t="s">
        <v>8</v>
      </c>
      <c r="S45" s="1561">
        <f t="shared" si="10"/>
        <v>100</v>
      </c>
      <c r="T45" s="1560" t="s">
        <v>8</v>
      </c>
      <c r="U45" s="1561">
        <f t="shared" si="11"/>
        <v>100</v>
      </c>
      <c r="V45" s="1560" t="s">
        <v>8</v>
      </c>
      <c r="W45" s="1561">
        <f t="shared" si="12"/>
        <v>100</v>
      </c>
      <c r="X45" s="1554"/>
      <c r="Y45" s="3424"/>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4"/>
      <c r="Q46" s="1559">
        <f t="shared" si="14"/>
        <v>111</v>
      </c>
      <c r="R46" s="1560" t="s">
        <v>8</v>
      </c>
      <c r="S46" s="1561">
        <f t="shared" si="10"/>
        <v>100</v>
      </c>
      <c r="T46" s="1560" t="s">
        <v>8</v>
      </c>
      <c r="U46" s="1561">
        <f t="shared" si="11"/>
        <v>100</v>
      </c>
      <c r="V46" s="1560" t="s">
        <v>8</v>
      </c>
      <c r="W46" s="1561">
        <f t="shared" si="12"/>
        <v>100</v>
      </c>
      <c r="X46" s="1554"/>
      <c r="Y46" s="3424"/>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4"/>
      <c r="Q47" s="1559">
        <f t="shared" si="14"/>
        <v>111</v>
      </c>
      <c r="R47" s="1564" t="s">
        <v>8</v>
      </c>
      <c r="S47" s="1565">
        <f t="shared" si="10"/>
        <v>100</v>
      </c>
      <c r="T47" s="1564" t="s">
        <v>8</v>
      </c>
      <c r="U47" s="1565">
        <f t="shared" si="11"/>
        <v>100</v>
      </c>
      <c r="V47" s="1564" t="s">
        <v>8</v>
      </c>
      <c r="W47" s="1565">
        <f t="shared" si="12"/>
        <v>100</v>
      </c>
      <c r="X47" s="1566"/>
      <c r="Y47" s="3424"/>
      <c r="Z47" s="1567">
        <f t="shared" si="13"/>
        <v>111</v>
      </c>
      <c r="AA47" s="1563">
        <f t="shared" si="3"/>
        <v>1</v>
      </c>
      <c r="AB47" s="1563">
        <f t="shared" si="4"/>
        <v>1</v>
      </c>
      <c r="AC47" s="1563">
        <f t="shared" si="5"/>
        <v>1</v>
      </c>
    </row>
    <row r="48" spans="1:29" ht="20.25">
      <c r="A48" s="607" t="s">
        <v>556</v>
      </c>
      <c r="B48" s="608" t="s">
        <v>3263</v>
      </c>
      <c r="C48" s="609" t="s">
        <v>1</v>
      </c>
      <c r="D48" s="610"/>
      <c r="E48" s="611">
        <v>6700</v>
      </c>
      <c r="F48" s="612"/>
      <c r="G48" s="613">
        <v>6648</v>
      </c>
      <c r="H48" s="614"/>
      <c r="I48" s="611">
        <v>6847</v>
      </c>
      <c r="J48" s="614"/>
      <c r="K48" s="1336"/>
      <c r="L48" s="2130"/>
      <c r="M48" s="2118"/>
      <c r="N48" s="2118"/>
      <c r="O48" s="2131"/>
      <c r="P48" s="3419" t="str">
        <f>A48</f>
        <v>成交单价</v>
      </c>
      <c r="Q48" s="3419"/>
      <c r="R48" s="3433">
        <f>E48</f>
        <v>6700</v>
      </c>
      <c r="S48" s="3433"/>
      <c r="T48" s="3433">
        <f>G48</f>
        <v>6648</v>
      </c>
      <c r="U48" s="3433"/>
      <c r="V48" s="3433">
        <f>I48</f>
        <v>6847</v>
      </c>
      <c r="W48" s="3433"/>
      <c r="X48" s="1546"/>
      <c r="Y48" s="1568"/>
      <c r="Z48" s="1546"/>
      <c r="AA48" s="1546"/>
      <c r="AB48" s="1546"/>
      <c r="AC48" s="1546"/>
    </row>
    <row r="49" spans="1:29" ht="21" thickBot="1">
      <c r="A49" s="615" t="s">
        <v>2693</v>
      </c>
      <c r="B49" s="616"/>
      <c r="C49" s="617">
        <f>R50</f>
        <v>5266</v>
      </c>
      <c r="D49" s="618"/>
      <c r="E49" s="617">
        <f>R49</f>
        <v>4843</v>
      </c>
      <c r="F49" s="619"/>
      <c r="G49" s="620">
        <f>T49</f>
        <v>4853</v>
      </c>
      <c r="H49" s="618"/>
      <c r="I49" s="617">
        <f>V49</f>
        <v>6101</v>
      </c>
      <c r="J49" s="618"/>
      <c r="K49" s="1337"/>
      <c r="L49" s="2130"/>
      <c r="M49" s="2118"/>
      <c r="N49" s="2118"/>
      <c r="O49" s="2131"/>
      <c r="P49" s="3419" t="str">
        <f>A49</f>
        <v>比较价格（元/平方米）</v>
      </c>
      <c r="Q49" s="3419"/>
      <c r="R49" s="3443">
        <f>ROUND(PRODUCT(R48,AA9:AA47),0)</f>
        <v>4843</v>
      </c>
      <c r="S49" s="3443"/>
      <c r="T49" s="3443">
        <f>ROUND(PRODUCT(T48,AB9:AB47),0)</f>
        <v>4853</v>
      </c>
      <c r="U49" s="3443"/>
      <c r="V49" s="3443">
        <f>ROUND(PRODUCT(V48,AC9:AC47),0)</f>
        <v>6101</v>
      </c>
      <c r="W49" s="3443"/>
      <c r="X49" s="1546"/>
      <c r="Y49" s="1546"/>
      <c r="Z49" s="1546"/>
      <c r="AA49" s="1546"/>
      <c r="AB49" s="1546"/>
      <c r="AC49" s="1546"/>
    </row>
    <row r="50" spans="1:29" ht="21" thickBot="1">
      <c r="A50" s="621" t="s">
        <v>2937</v>
      </c>
      <c r="B50" s="622"/>
      <c r="C50" s="623">
        <f>R50</f>
        <v>5266</v>
      </c>
      <c r="D50" s="623"/>
      <c r="E50" s="623"/>
      <c r="F50" s="623"/>
      <c r="G50" s="623"/>
      <c r="H50" s="623"/>
      <c r="I50" s="623"/>
      <c r="J50" s="623"/>
      <c r="K50" s="1338"/>
      <c r="L50" s="2130"/>
      <c r="M50" s="2118"/>
      <c r="N50" s="2118"/>
      <c r="O50" s="2131"/>
      <c r="P50" s="3440" t="str">
        <f>A50</f>
        <v>估价对象XX用房的比较价格（楼面单价，元/平方米）</v>
      </c>
      <c r="Q50" s="3441"/>
      <c r="R50" s="3442">
        <f>ROUND(AVERAGE(R49:V49),0)</f>
        <v>5266</v>
      </c>
      <c r="S50" s="3442"/>
      <c r="T50" s="3442"/>
      <c r="U50" s="3442"/>
      <c r="V50" s="3442"/>
      <c r="W50" s="344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0.38344001651868687</v>
      </c>
      <c r="F53" s="627" t="str">
        <f>IF(OR(E53&gt;=0.3,E53&lt;=-0.3),"超过30%","")</f>
        <v>超过30%</v>
      </c>
      <c r="G53" s="626">
        <f>IF(G48&lt;G49,G49/G48-1,G48/G49-1)</f>
        <v>0.36987430455388415</v>
      </c>
      <c r="H53" s="627" t="str">
        <f>IF(OR(G53&gt;=0.3,G53&lt;=-0.3),"超过30%","")</f>
        <v>超过30%</v>
      </c>
      <c r="I53" s="626">
        <f>IF(I48&lt;I49,I49/I48-1,I48/I49-1)</f>
        <v>0.12227503687920005</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2.0648358455501725E-3</v>
      </c>
      <c r="F54" s="627" t="str">
        <f>IF(OR(E54&gt;=0.2,E54&lt;=-0.2),"超过20%","")</f>
        <v/>
      </c>
      <c r="G54" s="626">
        <f>IF(G49&lt;I49,I49/G49-1,G49/I49-1)</f>
        <v>0.25716051926643324</v>
      </c>
      <c r="H54" s="627" t="str">
        <f>IF(OR(G54&gt;=0.2,G54&lt;=-0.2),"超过20%","")</f>
        <v>超过20%</v>
      </c>
      <c r="I54" s="626">
        <f>IF(I49&lt;E49,E49/I49-1,I49/E49-1)</f>
        <v>0.25975634937022507</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7.821901323706415E-3</v>
      </c>
      <c r="F55" s="627" t="str">
        <f>IF(OR(E55&gt;=0.3,E55&lt;=-0.3),"超过30%","")</f>
        <v/>
      </c>
      <c r="G55" s="626">
        <f>IF(G48&lt;I48,I48/G48-1,G48/I48-1)</f>
        <v>2.9933814681107007E-2</v>
      </c>
      <c r="H55" s="627" t="str">
        <f>IF(OR(G55&gt;=0.3,G55&lt;=-0.3),"超过30%","")</f>
        <v/>
      </c>
      <c r="I55" s="626">
        <f>IF(I48&lt;E48,E48/I48-1,I48/E48-1)</f>
        <v>2.1940298507462597E-2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03" t="s">
        <v>2281</v>
      </c>
      <c r="H57" s="3404"/>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5266</v>
      </c>
      <c r="C58" s="635">
        <v>1</v>
      </c>
      <c r="D58" s="2214">
        <v>1</v>
      </c>
      <c r="E58" s="635">
        <f>'数据-汇总表'!E8+'数据-汇总表'!E9</f>
        <v>217278.27</v>
      </c>
      <c r="F58" s="636">
        <f t="shared" ref="F58:F67" si="15">ROUND(B58*E58/10000,0)</f>
        <v>114419</v>
      </c>
      <c r="G58" s="3405"/>
      <c r="H58" s="340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7"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17532.330000000002</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47196.729999999996</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282007.32999999996</v>
      </c>
      <c r="F68" s="644">
        <f>IF(B48="楼面地价",SUM(F58:F67),ROUND(C50*E68/10000,0))</f>
        <v>114419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3215">
        <f>C73-1</f>
        <v>99</v>
      </c>
      <c r="E73" s="3215">
        <f t="shared" ref="E73:N73" si="20">D73-1</f>
        <v>98</v>
      </c>
      <c r="F73" s="3215">
        <f t="shared" si="20"/>
        <v>97</v>
      </c>
      <c r="G73" s="3215">
        <f t="shared" si="20"/>
        <v>96</v>
      </c>
      <c r="H73" s="3215">
        <f t="shared" si="20"/>
        <v>95</v>
      </c>
      <c r="I73" s="3215">
        <f t="shared" si="20"/>
        <v>94</v>
      </c>
      <c r="J73" s="3215">
        <f t="shared" si="20"/>
        <v>93</v>
      </c>
      <c r="K73" s="3215">
        <f t="shared" si="20"/>
        <v>92</v>
      </c>
      <c r="L73" s="3215">
        <f t="shared" si="20"/>
        <v>91</v>
      </c>
      <c r="M73" s="3215">
        <f t="shared" si="20"/>
        <v>90</v>
      </c>
      <c r="N73" s="3215">
        <f t="shared" si="2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t="str">
        <f>[2]项目基本情况!B13</f>
        <v>城镇住宅用地</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f>C82+1</f>
        <v>1</v>
      </c>
      <c r="E82" s="541">
        <f t="shared" ref="E82:J82" si="22">D82+1</f>
        <v>2</v>
      </c>
      <c r="F82" s="541">
        <f t="shared" si="22"/>
        <v>3</v>
      </c>
      <c r="G82" s="541">
        <f t="shared" si="22"/>
        <v>4</v>
      </c>
      <c r="H82" s="541">
        <f t="shared" si="22"/>
        <v>5</v>
      </c>
      <c r="I82" s="541">
        <f t="shared" si="22"/>
        <v>6</v>
      </c>
      <c r="J82" s="541">
        <f t="shared" si="22"/>
        <v>7</v>
      </c>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3">IF($B$48="单位面积地价",D83+$K13,D83-$K13)</f>
        <v>96</v>
      </c>
      <c r="F83" s="679">
        <f t="shared" si="23"/>
        <v>94</v>
      </c>
      <c r="G83" s="679">
        <f t="shared" si="23"/>
        <v>92</v>
      </c>
      <c r="H83" s="679">
        <f t="shared" si="23"/>
        <v>90</v>
      </c>
      <c r="I83" s="679">
        <f t="shared" si="23"/>
        <v>88</v>
      </c>
      <c r="J83" s="679">
        <f t="shared" si="23"/>
        <v>86</v>
      </c>
      <c r="K83" s="679">
        <f t="shared" si="23"/>
        <v>84</v>
      </c>
      <c r="L83" s="679">
        <f t="shared" si="23"/>
        <v>82</v>
      </c>
      <c r="M83" s="679">
        <f t="shared" si="23"/>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6" t="s">
        <v>3214</v>
      </c>
      <c r="D108" s="3216" t="s">
        <v>3215</v>
      </c>
      <c r="E108" s="3216" t="s">
        <v>3216</v>
      </c>
      <c r="F108" s="3216" t="s">
        <v>3217</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7">C119&amp;"(含)"&amp;"-"&amp;D119</f>
        <v>0(含)-100000</v>
      </c>
      <c r="D118" s="704" t="str">
        <f t="shared" si="27"/>
        <v>100000(含)-200000</v>
      </c>
      <c r="E118" s="704" t="str">
        <f t="shared" si="27"/>
        <v>200000(含)-300000</v>
      </c>
      <c r="F118" s="704" t="str">
        <f t="shared" si="27"/>
        <v>300000(含)-400000</v>
      </c>
      <c r="G118" s="704" t="str">
        <f t="shared" si="27"/>
        <v>400000(含)-</v>
      </c>
      <c r="H118" s="704" t="str">
        <f t="shared" si="27"/>
        <v>(含)-</v>
      </c>
      <c r="I118" s="704" t="str">
        <f t="shared" si="27"/>
        <v>(含)-</v>
      </c>
      <c r="J118" s="3044" t="str">
        <f t="shared" si="27"/>
        <v>(含)-</v>
      </c>
      <c r="K118" s="3044" t="str">
        <f t="shared" si="27"/>
        <v>(含)-</v>
      </c>
      <c r="L118" s="3045" t="str">
        <f t="shared" si="27"/>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v>400000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17" t="s">
        <v>3218</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216" t="s">
        <v>3219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3220</v>
      </c>
      <c r="D125" s="1372" t="s">
        <v>3221</v>
      </c>
      <c r="E125" s="1372" t="s">
        <v>3222</v>
      </c>
      <c r="F125" s="1372" t="s">
        <v>3223</v>
      </c>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216" t="s">
        <v>3224</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6" t="str">
        <f>项目基本情况!B1</f>
        <v>出让国有建设用地使用权预评估</v>
      </c>
      <c r="C37" s="3226"/>
      <c r="D37" s="3226"/>
      <c r="E37" s="3226"/>
      <c r="F37" s="3226"/>
      <c r="G37" s="3226"/>
      <c r="H37" s="3226"/>
      <c r="I37" s="3226"/>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G4" workbookViewId="0">
      <selection activeCell="M33" sqref="M33"/>
    </sheetView>
  </sheetViews>
  <sheetFormatPr defaultRowHeight="13.5"/>
  <cols>
    <col min="1" max="1" width="39.75" style="2895" customWidth="1"/>
    <col min="2" max="2" width="6.25" style="2895" customWidth="1"/>
    <col min="3" max="5" width="13.875" style="2895" customWidth="1"/>
    <col min="6" max="6" width="33.375" style="2895" customWidth="1"/>
    <col min="7" max="7" width="7.875" style="2895" customWidth="1"/>
    <col min="8" max="8" width="9" style="2895" customWidth="1"/>
    <col min="9" max="10" width="10.625" style="2895" customWidth="1"/>
    <col min="11" max="11" width="14.375" style="2895" customWidth="1"/>
    <col min="12" max="12" width="6.25" style="2895" customWidth="1"/>
    <col min="13" max="13" width="43.25" style="2895" customWidth="1"/>
    <col min="14" max="14" width="7.875" style="2895" customWidth="1"/>
    <col min="15" max="256" width="9" style="2895"/>
    <col min="257" max="257" width="39.75" style="2895" customWidth="1"/>
    <col min="258" max="258" width="6.25" style="2895" customWidth="1"/>
    <col min="259" max="261" width="13.875" style="2895" customWidth="1"/>
    <col min="262" max="262" width="25.375" style="2895" customWidth="1"/>
    <col min="263" max="263" width="7.875" style="2895" customWidth="1"/>
    <col min="264" max="264" width="9" style="2895" customWidth="1"/>
    <col min="265" max="266" width="10.625" style="2895" customWidth="1"/>
    <col min="267" max="267" width="14.375" style="2895" customWidth="1"/>
    <col min="268" max="268" width="6.25" style="2895" customWidth="1"/>
    <col min="269" max="269" width="43.25" style="2895" customWidth="1"/>
    <col min="270" max="270" width="7.875" style="2895" customWidth="1"/>
    <col min="271" max="512" width="9" style="2895"/>
    <col min="513" max="513" width="39.75" style="2895" customWidth="1"/>
    <col min="514" max="514" width="6.25" style="2895" customWidth="1"/>
    <col min="515" max="517" width="13.875" style="2895" customWidth="1"/>
    <col min="518" max="518" width="25.375" style="2895" customWidth="1"/>
    <col min="519" max="519" width="7.875" style="2895" customWidth="1"/>
    <col min="520" max="520" width="9" style="2895" customWidth="1"/>
    <col min="521" max="522" width="10.625" style="2895" customWidth="1"/>
    <col min="523" max="523" width="14.375" style="2895" customWidth="1"/>
    <col min="524" max="524" width="6.25" style="2895" customWidth="1"/>
    <col min="525" max="525" width="43.25" style="2895" customWidth="1"/>
    <col min="526" max="526" width="7.875" style="2895" customWidth="1"/>
    <col min="527" max="768" width="9" style="2895"/>
    <col min="769" max="769" width="39.75" style="2895" customWidth="1"/>
    <col min="770" max="770" width="6.25" style="2895" customWidth="1"/>
    <col min="771" max="773" width="13.875" style="2895" customWidth="1"/>
    <col min="774" max="774" width="25.375" style="2895" customWidth="1"/>
    <col min="775" max="775" width="7.875" style="2895" customWidth="1"/>
    <col min="776" max="776" width="9" style="2895" customWidth="1"/>
    <col min="777" max="778" width="10.625" style="2895" customWidth="1"/>
    <col min="779" max="779" width="14.375" style="2895" customWidth="1"/>
    <col min="780" max="780" width="6.25" style="2895" customWidth="1"/>
    <col min="781" max="781" width="43.25" style="2895" customWidth="1"/>
    <col min="782" max="782" width="7.875" style="2895" customWidth="1"/>
    <col min="783" max="1024" width="9" style="2895"/>
    <col min="1025" max="1025" width="39.75" style="2895" customWidth="1"/>
    <col min="1026" max="1026" width="6.25" style="2895" customWidth="1"/>
    <col min="1027" max="1029" width="13.875" style="2895" customWidth="1"/>
    <col min="1030" max="1030" width="25.375" style="2895" customWidth="1"/>
    <col min="1031" max="1031" width="7.875" style="2895" customWidth="1"/>
    <col min="1032" max="1032" width="9" style="2895" customWidth="1"/>
    <col min="1033" max="1034" width="10.625" style="2895" customWidth="1"/>
    <col min="1035" max="1035" width="14.375" style="2895" customWidth="1"/>
    <col min="1036" max="1036" width="6.25" style="2895" customWidth="1"/>
    <col min="1037" max="1037" width="43.25" style="2895" customWidth="1"/>
    <col min="1038" max="1038" width="7.875" style="2895" customWidth="1"/>
    <col min="1039" max="1280" width="9" style="2895"/>
    <col min="1281" max="1281" width="39.75" style="2895" customWidth="1"/>
    <col min="1282" max="1282" width="6.25" style="2895" customWidth="1"/>
    <col min="1283" max="1285" width="13.875" style="2895" customWidth="1"/>
    <col min="1286" max="1286" width="25.375" style="2895" customWidth="1"/>
    <col min="1287" max="1287" width="7.875" style="2895" customWidth="1"/>
    <col min="1288" max="1288" width="9" style="2895" customWidth="1"/>
    <col min="1289" max="1290" width="10.625" style="2895" customWidth="1"/>
    <col min="1291" max="1291" width="14.375" style="2895" customWidth="1"/>
    <col min="1292" max="1292" width="6.25" style="2895" customWidth="1"/>
    <col min="1293" max="1293" width="43.25" style="2895" customWidth="1"/>
    <col min="1294" max="1294" width="7.875" style="2895" customWidth="1"/>
    <col min="1295" max="1536" width="9" style="2895"/>
    <col min="1537" max="1537" width="39.75" style="2895" customWidth="1"/>
    <col min="1538" max="1538" width="6.25" style="2895" customWidth="1"/>
    <col min="1539" max="1541" width="13.875" style="2895" customWidth="1"/>
    <col min="1542" max="1542" width="25.375" style="2895" customWidth="1"/>
    <col min="1543" max="1543" width="7.875" style="2895" customWidth="1"/>
    <col min="1544" max="1544" width="9" style="2895" customWidth="1"/>
    <col min="1545" max="1546" width="10.625" style="2895" customWidth="1"/>
    <col min="1547" max="1547" width="14.375" style="2895" customWidth="1"/>
    <col min="1548" max="1548" width="6.25" style="2895" customWidth="1"/>
    <col min="1549" max="1549" width="43.25" style="2895" customWidth="1"/>
    <col min="1550" max="1550" width="7.875" style="2895" customWidth="1"/>
    <col min="1551" max="1792" width="9" style="2895"/>
    <col min="1793" max="1793" width="39.75" style="2895" customWidth="1"/>
    <col min="1794" max="1794" width="6.25" style="2895" customWidth="1"/>
    <col min="1795" max="1797" width="13.875" style="2895" customWidth="1"/>
    <col min="1798" max="1798" width="25.375" style="2895" customWidth="1"/>
    <col min="1799" max="1799" width="7.875" style="2895" customWidth="1"/>
    <col min="1800" max="1800" width="9" style="2895" customWidth="1"/>
    <col min="1801" max="1802" width="10.625" style="2895" customWidth="1"/>
    <col min="1803" max="1803" width="14.375" style="2895" customWidth="1"/>
    <col min="1804" max="1804" width="6.25" style="2895" customWidth="1"/>
    <col min="1805" max="1805" width="43.25" style="2895" customWidth="1"/>
    <col min="1806" max="1806" width="7.875" style="2895" customWidth="1"/>
    <col min="1807" max="2048" width="9" style="2895"/>
    <col min="2049" max="2049" width="39.75" style="2895" customWidth="1"/>
    <col min="2050" max="2050" width="6.25" style="2895" customWidth="1"/>
    <col min="2051" max="2053" width="13.875" style="2895" customWidth="1"/>
    <col min="2054" max="2054" width="25.375" style="2895" customWidth="1"/>
    <col min="2055" max="2055" width="7.875" style="2895" customWidth="1"/>
    <col min="2056" max="2056" width="9" style="2895" customWidth="1"/>
    <col min="2057" max="2058" width="10.625" style="2895" customWidth="1"/>
    <col min="2059" max="2059" width="14.375" style="2895" customWidth="1"/>
    <col min="2060" max="2060" width="6.25" style="2895" customWidth="1"/>
    <col min="2061" max="2061" width="43.25" style="2895" customWidth="1"/>
    <col min="2062" max="2062" width="7.875" style="2895" customWidth="1"/>
    <col min="2063" max="2304" width="9" style="2895"/>
    <col min="2305" max="2305" width="39.75" style="2895" customWidth="1"/>
    <col min="2306" max="2306" width="6.25" style="2895" customWidth="1"/>
    <col min="2307" max="2309" width="13.875" style="2895" customWidth="1"/>
    <col min="2310" max="2310" width="25.375" style="2895" customWidth="1"/>
    <col min="2311" max="2311" width="7.875" style="2895" customWidth="1"/>
    <col min="2312" max="2312" width="9" style="2895" customWidth="1"/>
    <col min="2313" max="2314" width="10.625" style="2895" customWidth="1"/>
    <col min="2315" max="2315" width="14.375" style="2895" customWidth="1"/>
    <col min="2316" max="2316" width="6.25" style="2895" customWidth="1"/>
    <col min="2317" max="2317" width="43.25" style="2895" customWidth="1"/>
    <col min="2318" max="2318" width="7.875" style="2895" customWidth="1"/>
    <col min="2319" max="2560" width="9" style="2895"/>
    <col min="2561" max="2561" width="39.75" style="2895" customWidth="1"/>
    <col min="2562" max="2562" width="6.25" style="2895" customWidth="1"/>
    <col min="2563" max="2565" width="13.875" style="2895" customWidth="1"/>
    <col min="2566" max="2566" width="25.375" style="2895" customWidth="1"/>
    <col min="2567" max="2567" width="7.875" style="2895" customWidth="1"/>
    <col min="2568" max="2568" width="9" style="2895" customWidth="1"/>
    <col min="2569" max="2570" width="10.625" style="2895" customWidth="1"/>
    <col min="2571" max="2571" width="14.375" style="2895" customWidth="1"/>
    <col min="2572" max="2572" width="6.25" style="2895" customWidth="1"/>
    <col min="2573" max="2573" width="43.25" style="2895" customWidth="1"/>
    <col min="2574" max="2574" width="7.875" style="2895" customWidth="1"/>
    <col min="2575" max="2816" width="9" style="2895"/>
    <col min="2817" max="2817" width="39.75" style="2895" customWidth="1"/>
    <col min="2818" max="2818" width="6.25" style="2895" customWidth="1"/>
    <col min="2819" max="2821" width="13.875" style="2895" customWidth="1"/>
    <col min="2822" max="2822" width="25.375" style="2895" customWidth="1"/>
    <col min="2823" max="2823" width="7.875" style="2895" customWidth="1"/>
    <col min="2824" max="2824" width="9" style="2895" customWidth="1"/>
    <col min="2825" max="2826" width="10.625" style="2895" customWidth="1"/>
    <col min="2827" max="2827" width="14.375" style="2895" customWidth="1"/>
    <col min="2828" max="2828" width="6.25" style="2895" customWidth="1"/>
    <col min="2829" max="2829" width="43.25" style="2895" customWidth="1"/>
    <col min="2830" max="2830" width="7.875" style="2895" customWidth="1"/>
    <col min="2831" max="3072" width="9" style="2895"/>
    <col min="3073" max="3073" width="39.75" style="2895" customWidth="1"/>
    <col min="3074" max="3074" width="6.25" style="2895" customWidth="1"/>
    <col min="3075" max="3077" width="13.875" style="2895" customWidth="1"/>
    <col min="3078" max="3078" width="25.375" style="2895" customWidth="1"/>
    <col min="3079" max="3079" width="7.875" style="2895" customWidth="1"/>
    <col min="3080" max="3080" width="9" style="2895" customWidth="1"/>
    <col min="3081" max="3082" width="10.625" style="2895" customWidth="1"/>
    <col min="3083" max="3083" width="14.375" style="2895" customWidth="1"/>
    <col min="3084" max="3084" width="6.25" style="2895" customWidth="1"/>
    <col min="3085" max="3085" width="43.25" style="2895" customWidth="1"/>
    <col min="3086" max="3086" width="7.875" style="2895" customWidth="1"/>
    <col min="3087" max="3328" width="9" style="2895"/>
    <col min="3329" max="3329" width="39.75" style="2895" customWidth="1"/>
    <col min="3330" max="3330" width="6.25" style="2895" customWidth="1"/>
    <col min="3331" max="3333" width="13.875" style="2895" customWidth="1"/>
    <col min="3334" max="3334" width="25.375" style="2895" customWidth="1"/>
    <col min="3335" max="3335" width="7.875" style="2895" customWidth="1"/>
    <col min="3336" max="3336" width="9" style="2895" customWidth="1"/>
    <col min="3337" max="3338" width="10.625" style="2895" customWidth="1"/>
    <col min="3339" max="3339" width="14.375" style="2895" customWidth="1"/>
    <col min="3340" max="3340" width="6.25" style="2895" customWidth="1"/>
    <col min="3341" max="3341" width="43.25" style="2895" customWidth="1"/>
    <col min="3342" max="3342" width="7.875" style="2895" customWidth="1"/>
    <col min="3343" max="3584" width="9" style="2895"/>
    <col min="3585" max="3585" width="39.75" style="2895" customWidth="1"/>
    <col min="3586" max="3586" width="6.25" style="2895" customWidth="1"/>
    <col min="3587" max="3589" width="13.875" style="2895" customWidth="1"/>
    <col min="3590" max="3590" width="25.375" style="2895" customWidth="1"/>
    <col min="3591" max="3591" width="7.875" style="2895" customWidth="1"/>
    <col min="3592" max="3592" width="9" style="2895" customWidth="1"/>
    <col min="3593" max="3594" width="10.625" style="2895" customWidth="1"/>
    <col min="3595" max="3595" width="14.375" style="2895" customWidth="1"/>
    <col min="3596" max="3596" width="6.25" style="2895" customWidth="1"/>
    <col min="3597" max="3597" width="43.25" style="2895" customWidth="1"/>
    <col min="3598" max="3598" width="7.875" style="2895" customWidth="1"/>
    <col min="3599" max="3840" width="9" style="2895"/>
    <col min="3841" max="3841" width="39.75" style="2895" customWidth="1"/>
    <col min="3842" max="3842" width="6.25" style="2895" customWidth="1"/>
    <col min="3843" max="3845" width="13.875" style="2895" customWidth="1"/>
    <col min="3846" max="3846" width="25.375" style="2895" customWidth="1"/>
    <col min="3847" max="3847" width="7.875" style="2895" customWidth="1"/>
    <col min="3848" max="3848" width="9" style="2895" customWidth="1"/>
    <col min="3849" max="3850" width="10.625" style="2895" customWidth="1"/>
    <col min="3851" max="3851" width="14.375" style="2895" customWidth="1"/>
    <col min="3852" max="3852" width="6.25" style="2895" customWidth="1"/>
    <col min="3853" max="3853" width="43.25" style="2895" customWidth="1"/>
    <col min="3854" max="3854" width="7.875" style="2895" customWidth="1"/>
    <col min="3855" max="4096" width="9" style="2895"/>
    <col min="4097" max="4097" width="39.75" style="2895" customWidth="1"/>
    <col min="4098" max="4098" width="6.25" style="2895" customWidth="1"/>
    <col min="4099" max="4101" width="13.875" style="2895" customWidth="1"/>
    <col min="4102" max="4102" width="25.375" style="2895" customWidth="1"/>
    <col min="4103" max="4103" width="7.875" style="2895" customWidth="1"/>
    <col min="4104" max="4104" width="9" style="2895" customWidth="1"/>
    <col min="4105" max="4106" width="10.625" style="2895" customWidth="1"/>
    <col min="4107" max="4107" width="14.375" style="2895" customWidth="1"/>
    <col min="4108" max="4108" width="6.25" style="2895" customWidth="1"/>
    <col min="4109" max="4109" width="43.25" style="2895" customWidth="1"/>
    <col min="4110" max="4110" width="7.875" style="2895" customWidth="1"/>
    <col min="4111" max="4352" width="9" style="2895"/>
    <col min="4353" max="4353" width="39.75" style="2895" customWidth="1"/>
    <col min="4354" max="4354" width="6.25" style="2895" customWidth="1"/>
    <col min="4355" max="4357" width="13.875" style="2895" customWidth="1"/>
    <col min="4358" max="4358" width="25.375" style="2895" customWidth="1"/>
    <col min="4359" max="4359" width="7.875" style="2895" customWidth="1"/>
    <col min="4360" max="4360" width="9" style="2895" customWidth="1"/>
    <col min="4361" max="4362" width="10.625" style="2895" customWidth="1"/>
    <col min="4363" max="4363" width="14.375" style="2895" customWidth="1"/>
    <col min="4364" max="4364" width="6.25" style="2895" customWidth="1"/>
    <col min="4365" max="4365" width="43.25" style="2895" customWidth="1"/>
    <col min="4366" max="4366" width="7.875" style="2895" customWidth="1"/>
    <col min="4367" max="4608" width="9" style="2895"/>
    <col min="4609" max="4609" width="39.75" style="2895" customWidth="1"/>
    <col min="4610" max="4610" width="6.25" style="2895" customWidth="1"/>
    <col min="4611" max="4613" width="13.875" style="2895" customWidth="1"/>
    <col min="4614" max="4614" width="25.375" style="2895" customWidth="1"/>
    <col min="4615" max="4615" width="7.875" style="2895" customWidth="1"/>
    <col min="4616" max="4616" width="9" style="2895" customWidth="1"/>
    <col min="4617" max="4618" width="10.625" style="2895" customWidth="1"/>
    <col min="4619" max="4619" width="14.375" style="2895" customWidth="1"/>
    <col min="4620" max="4620" width="6.25" style="2895" customWidth="1"/>
    <col min="4621" max="4621" width="43.25" style="2895" customWidth="1"/>
    <col min="4622" max="4622" width="7.875" style="2895" customWidth="1"/>
    <col min="4623" max="4864" width="9" style="2895"/>
    <col min="4865" max="4865" width="39.75" style="2895" customWidth="1"/>
    <col min="4866" max="4866" width="6.25" style="2895" customWidth="1"/>
    <col min="4867" max="4869" width="13.875" style="2895" customWidth="1"/>
    <col min="4870" max="4870" width="25.375" style="2895" customWidth="1"/>
    <col min="4871" max="4871" width="7.875" style="2895" customWidth="1"/>
    <col min="4872" max="4872" width="9" style="2895" customWidth="1"/>
    <col min="4873" max="4874" width="10.625" style="2895" customWidth="1"/>
    <col min="4875" max="4875" width="14.375" style="2895" customWidth="1"/>
    <col min="4876" max="4876" width="6.25" style="2895" customWidth="1"/>
    <col min="4877" max="4877" width="43.25" style="2895" customWidth="1"/>
    <col min="4878" max="4878" width="7.875" style="2895" customWidth="1"/>
    <col min="4879" max="5120" width="9" style="2895"/>
    <col min="5121" max="5121" width="39.75" style="2895" customWidth="1"/>
    <col min="5122" max="5122" width="6.25" style="2895" customWidth="1"/>
    <col min="5123" max="5125" width="13.875" style="2895" customWidth="1"/>
    <col min="5126" max="5126" width="25.375" style="2895" customWidth="1"/>
    <col min="5127" max="5127" width="7.875" style="2895" customWidth="1"/>
    <col min="5128" max="5128" width="9" style="2895" customWidth="1"/>
    <col min="5129" max="5130" width="10.625" style="2895" customWidth="1"/>
    <col min="5131" max="5131" width="14.375" style="2895" customWidth="1"/>
    <col min="5132" max="5132" width="6.25" style="2895" customWidth="1"/>
    <col min="5133" max="5133" width="43.25" style="2895" customWidth="1"/>
    <col min="5134" max="5134" width="7.875" style="2895" customWidth="1"/>
    <col min="5135" max="5376" width="9" style="2895"/>
    <col min="5377" max="5377" width="39.75" style="2895" customWidth="1"/>
    <col min="5378" max="5378" width="6.25" style="2895" customWidth="1"/>
    <col min="5379" max="5381" width="13.875" style="2895" customWidth="1"/>
    <col min="5382" max="5382" width="25.375" style="2895" customWidth="1"/>
    <col min="5383" max="5383" width="7.875" style="2895" customWidth="1"/>
    <col min="5384" max="5384" width="9" style="2895" customWidth="1"/>
    <col min="5385" max="5386" width="10.625" style="2895" customWidth="1"/>
    <col min="5387" max="5387" width="14.375" style="2895" customWidth="1"/>
    <col min="5388" max="5388" width="6.25" style="2895" customWidth="1"/>
    <col min="5389" max="5389" width="43.25" style="2895" customWidth="1"/>
    <col min="5390" max="5390" width="7.875" style="2895" customWidth="1"/>
    <col min="5391" max="5632" width="9" style="2895"/>
    <col min="5633" max="5633" width="39.75" style="2895" customWidth="1"/>
    <col min="5634" max="5634" width="6.25" style="2895" customWidth="1"/>
    <col min="5635" max="5637" width="13.875" style="2895" customWidth="1"/>
    <col min="5638" max="5638" width="25.375" style="2895" customWidth="1"/>
    <col min="5639" max="5639" width="7.875" style="2895" customWidth="1"/>
    <col min="5640" max="5640" width="9" style="2895" customWidth="1"/>
    <col min="5641" max="5642" width="10.625" style="2895" customWidth="1"/>
    <col min="5643" max="5643" width="14.375" style="2895" customWidth="1"/>
    <col min="5644" max="5644" width="6.25" style="2895" customWidth="1"/>
    <col min="5645" max="5645" width="43.25" style="2895" customWidth="1"/>
    <col min="5646" max="5646" width="7.875" style="2895" customWidth="1"/>
    <col min="5647" max="5888" width="9" style="2895"/>
    <col min="5889" max="5889" width="39.75" style="2895" customWidth="1"/>
    <col min="5890" max="5890" width="6.25" style="2895" customWidth="1"/>
    <col min="5891" max="5893" width="13.875" style="2895" customWidth="1"/>
    <col min="5894" max="5894" width="25.375" style="2895" customWidth="1"/>
    <col min="5895" max="5895" width="7.875" style="2895" customWidth="1"/>
    <col min="5896" max="5896" width="9" style="2895" customWidth="1"/>
    <col min="5897" max="5898" width="10.625" style="2895" customWidth="1"/>
    <col min="5899" max="5899" width="14.375" style="2895" customWidth="1"/>
    <col min="5900" max="5900" width="6.25" style="2895" customWidth="1"/>
    <col min="5901" max="5901" width="43.25" style="2895" customWidth="1"/>
    <col min="5902" max="5902" width="7.875" style="2895" customWidth="1"/>
    <col min="5903" max="6144" width="9" style="2895"/>
    <col min="6145" max="6145" width="39.75" style="2895" customWidth="1"/>
    <col min="6146" max="6146" width="6.25" style="2895" customWidth="1"/>
    <col min="6147" max="6149" width="13.875" style="2895" customWidth="1"/>
    <col min="6150" max="6150" width="25.375" style="2895" customWidth="1"/>
    <col min="6151" max="6151" width="7.875" style="2895" customWidth="1"/>
    <col min="6152" max="6152" width="9" style="2895" customWidth="1"/>
    <col min="6153" max="6154" width="10.625" style="2895" customWidth="1"/>
    <col min="6155" max="6155" width="14.375" style="2895" customWidth="1"/>
    <col min="6156" max="6156" width="6.25" style="2895" customWidth="1"/>
    <col min="6157" max="6157" width="43.25" style="2895" customWidth="1"/>
    <col min="6158" max="6158" width="7.875" style="2895" customWidth="1"/>
    <col min="6159" max="6400" width="9" style="2895"/>
    <col min="6401" max="6401" width="39.75" style="2895" customWidth="1"/>
    <col min="6402" max="6402" width="6.25" style="2895" customWidth="1"/>
    <col min="6403" max="6405" width="13.875" style="2895" customWidth="1"/>
    <col min="6406" max="6406" width="25.375" style="2895" customWidth="1"/>
    <col min="6407" max="6407" width="7.875" style="2895" customWidth="1"/>
    <col min="6408" max="6408" width="9" style="2895" customWidth="1"/>
    <col min="6409" max="6410" width="10.625" style="2895" customWidth="1"/>
    <col min="6411" max="6411" width="14.375" style="2895" customWidth="1"/>
    <col min="6412" max="6412" width="6.25" style="2895" customWidth="1"/>
    <col min="6413" max="6413" width="43.25" style="2895" customWidth="1"/>
    <col min="6414" max="6414" width="7.875" style="2895" customWidth="1"/>
    <col min="6415" max="6656" width="9" style="2895"/>
    <col min="6657" max="6657" width="39.75" style="2895" customWidth="1"/>
    <col min="6658" max="6658" width="6.25" style="2895" customWidth="1"/>
    <col min="6659" max="6661" width="13.875" style="2895" customWidth="1"/>
    <col min="6662" max="6662" width="25.375" style="2895" customWidth="1"/>
    <col min="6663" max="6663" width="7.875" style="2895" customWidth="1"/>
    <col min="6664" max="6664" width="9" style="2895" customWidth="1"/>
    <col min="6665" max="6666" width="10.625" style="2895" customWidth="1"/>
    <col min="6667" max="6667" width="14.375" style="2895" customWidth="1"/>
    <col min="6668" max="6668" width="6.25" style="2895" customWidth="1"/>
    <col min="6669" max="6669" width="43.25" style="2895" customWidth="1"/>
    <col min="6670" max="6670" width="7.875" style="2895" customWidth="1"/>
    <col min="6671" max="6912" width="9" style="2895"/>
    <col min="6913" max="6913" width="39.75" style="2895" customWidth="1"/>
    <col min="6914" max="6914" width="6.25" style="2895" customWidth="1"/>
    <col min="6915" max="6917" width="13.875" style="2895" customWidth="1"/>
    <col min="6918" max="6918" width="25.375" style="2895" customWidth="1"/>
    <col min="6919" max="6919" width="7.875" style="2895" customWidth="1"/>
    <col min="6920" max="6920" width="9" style="2895" customWidth="1"/>
    <col min="6921" max="6922" width="10.625" style="2895" customWidth="1"/>
    <col min="6923" max="6923" width="14.375" style="2895" customWidth="1"/>
    <col min="6924" max="6924" width="6.25" style="2895" customWidth="1"/>
    <col min="6925" max="6925" width="43.25" style="2895" customWidth="1"/>
    <col min="6926" max="6926" width="7.875" style="2895" customWidth="1"/>
    <col min="6927" max="7168" width="9" style="2895"/>
    <col min="7169" max="7169" width="39.75" style="2895" customWidth="1"/>
    <col min="7170" max="7170" width="6.25" style="2895" customWidth="1"/>
    <col min="7171" max="7173" width="13.875" style="2895" customWidth="1"/>
    <col min="7174" max="7174" width="25.375" style="2895" customWidth="1"/>
    <col min="7175" max="7175" width="7.875" style="2895" customWidth="1"/>
    <col min="7176" max="7176" width="9" style="2895" customWidth="1"/>
    <col min="7177" max="7178" width="10.625" style="2895" customWidth="1"/>
    <col min="7179" max="7179" width="14.375" style="2895" customWidth="1"/>
    <col min="7180" max="7180" width="6.25" style="2895" customWidth="1"/>
    <col min="7181" max="7181" width="43.25" style="2895" customWidth="1"/>
    <col min="7182" max="7182" width="7.875" style="2895" customWidth="1"/>
    <col min="7183" max="7424" width="9" style="2895"/>
    <col min="7425" max="7425" width="39.75" style="2895" customWidth="1"/>
    <col min="7426" max="7426" width="6.25" style="2895" customWidth="1"/>
    <col min="7427" max="7429" width="13.875" style="2895" customWidth="1"/>
    <col min="7430" max="7430" width="25.375" style="2895" customWidth="1"/>
    <col min="7431" max="7431" width="7.875" style="2895" customWidth="1"/>
    <col min="7432" max="7432" width="9" style="2895" customWidth="1"/>
    <col min="7433" max="7434" width="10.625" style="2895" customWidth="1"/>
    <col min="7435" max="7435" width="14.375" style="2895" customWidth="1"/>
    <col min="7436" max="7436" width="6.25" style="2895" customWidth="1"/>
    <col min="7437" max="7437" width="43.25" style="2895" customWidth="1"/>
    <col min="7438" max="7438" width="7.875" style="2895" customWidth="1"/>
    <col min="7439" max="7680" width="9" style="2895"/>
    <col min="7681" max="7681" width="39.75" style="2895" customWidth="1"/>
    <col min="7682" max="7682" width="6.25" style="2895" customWidth="1"/>
    <col min="7683" max="7685" width="13.875" style="2895" customWidth="1"/>
    <col min="7686" max="7686" width="25.375" style="2895" customWidth="1"/>
    <col min="7687" max="7687" width="7.875" style="2895" customWidth="1"/>
    <col min="7688" max="7688" width="9" style="2895" customWidth="1"/>
    <col min="7689" max="7690" width="10.625" style="2895" customWidth="1"/>
    <col min="7691" max="7691" width="14.375" style="2895" customWidth="1"/>
    <col min="7692" max="7692" width="6.25" style="2895" customWidth="1"/>
    <col min="7693" max="7693" width="43.25" style="2895" customWidth="1"/>
    <col min="7694" max="7694" width="7.875" style="2895" customWidth="1"/>
    <col min="7695" max="7936" width="9" style="2895"/>
    <col min="7937" max="7937" width="39.75" style="2895" customWidth="1"/>
    <col min="7938" max="7938" width="6.25" style="2895" customWidth="1"/>
    <col min="7939" max="7941" width="13.875" style="2895" customWidth="1"/>
    <col min="7942" max="7942" width="25.375" style="2895" customWidth="1"/>
    <col min="7943" max="7943" width="7.875" style="2895" customWidth="1"/>
    <col min="7944" max="7944" width="9" style="2895" customWidth="1"/>
    <col min="7945" max="7946" width="10.625" style="2895" customWidth="1"/>
    <col min="7947" max="7947" width="14.375" style="2895" customWidth="1"/>
    <col min="7948" max="7948" width="6.25" style="2895" customWidth="1"/>
    <col min="7949" max="7949" width="43.25" style="2895" customWidth="1"/>
    <col min="7950" max="7950" width="7.875" style="2895" customWidth="1"/>
    <col min="7951" max="8192" width="9" style="2895"/>
    <col min="8193" max="8193" width="39.75" style="2895" customWidth="1"/>
    <col min="8194" max="8194" width="6.25" style="2895" customWidth="1"/>
    <col min="8195" max="8197" width="13.875" style="2895" customWidth="1"/>
    <col min="8198" max="8198" width="25.375" style="2895" customWidth="1"/>
    <col min="8199" max="8199" width="7.875" style="2895" customWidth="1"/>
    <col min="8200" max="8200" width="9" style="2895" customWidth="1"/>
    <col min="8201" max="8202" width="10.625" style="2895" customWidth="1"/>
    <col min="8203" max="8203" width="14.375" style="2895" customWidth="1"/>
    <col min="8204" max="8204" width="6.25" style="2895" customWidth="1"/>
    <col min="8205" max="8205" width="43.25" style="2895" customWidth="1"/>
    <col min="8206" max="8206" width="7.875" style="2895" customWidth="1"/>
    <col min="8207" max="8448" width="9" style="2895"/>
    <col min="8449" max="8449" width="39.75" style="2895" customWidth="1"/>
    <col min="8450" max="8450" width="6.25" style="2895" customWidth="1"/>
    <col min="8451" max="8453" width="13.875" style="2895" customWidth="1"/>
    <col min="8454" max="8454" width="25.375" style="2895" customWidth="1"/>
    <col min="8455" max="8455" width="7.875" style="2895" customWidth="1"/>
    <col min="8456" max="8456" width="9" style="2895" customWidth="1"/>
    <col min="8457" max="8458" width="10.625" style="2895" customWidth="1"/>
    <col min="8459" max="8459" width="14.375" style="2895" customWidth="1"/>
    <col min="8460" max="8460" width="6.25" style="2895" customWidth="1"/>
    <col min="8461" max="8461" width="43.25" style="2895" customWidth="1"/>
    <col min="8462" max="8462" width="7.875" style="2895" customWidth="1"/>
    <col min="8463" max="8704" width="9" style="2895"/>
    <col min="8705" max="8705" width="39.75" style="2895" customWidth="1"/>
    <col min="8706" max="8706" width="6.25" style="2895" customWidth="1"/>
    <col min="8707" max="8709" width="13.875" style="2895" customWidth="1"/>
    <col min="8710" max="8710" width="25.375" style="2895" customWidth="1"/>
    <col min="8711" max="8711" width="7.875" style="2895" customWidth="1"/>
    <col min="8712" max="8712" width="9" style="2895" customWidth="1"/>
    <col min="8713" max="8714" width="10.625" style="2895" customWidth="1"/>
    <col min="8715" max="8715" width="14.375" style="2895" customWidth="1"/>
    <col min="8716" max="8716" width="6.25" style="2895" customWidth="1"/>
    <col min="8717" max="8717" width="43.25" style="2895" customWidth="1"/>
    <col min="8718" max="8718" width="7.875" style="2895" customWidth="1"/>
    <col min="8719" max="8960" width="9" style="2895"/>
    <col min="8961" max="8961" width="39.75" style="2895" customWidth="1"/>
    <col min="8962" max="8962" width="6.25" style="2895" customWidth="1"/>
    <col min="8963" max="8965" width="13.875" style="2895" customWidth="1"/>
    <col min="8966" max="8966" width="25.375" style="2895" customWidth="1"/>
    <col min="8967" max="8967" width="7.875" style="2895" customWidth="1"/>
    <col min="8968" max="8968" width="9" style="2895" customWidth="1"/>
    <col min="8969" max="8970" width="10.625" style="2895" customWidth="1"/>
    <col min="8971" max="8971" width="14.375" style="2895" customWidth="1"/>
    <col min="8972" max="8972" width="6.25" style="2895" customWidth="1"/>
    <col min="8973" max="8973" width="43.25" style="2895" customWidth="1"/>
    <col min="8974" max="8974" width="7.875" style="2895" customWidth="1"/>
    <col min="8975" max="9216" width="9" style="2895"/>
    <col min="9217" max="9217" width="39.75" style="2895" customWidth="1"/>
    <col min="9218" max="9218" width="6.25" style="2895" customWidth="1"/>
    <col min="9219" max="9221" width="13.875" style="2895" customWidth="1"/>
    <col min="9222" max="9222" width="25.375" style="2895" customWidth="1"/>
    <col min="9223" max="9223" width="7.875" style="2895" customWidth="1"/>
    <col min="9224" max="9224" width="9" style="2895" customWidth="1"/>
    <col min="9225" max="9226" width="10.625" style="2895" customWidth="1"/>
    <col min="9227" max="9227" width="14.375" style="2895" customWidth="1"/>
    <col min="9228" max="9228" width="6.25" style="2895" customWidth="1"/>
    <col min="9229" max="9229" width="43.25" style="2895" customWidth="1"/>
    <col min="9230" max="9230" width="7.875" style="2895" customWidth="1"/>
    <col min="9231" max="9472" width="9" style="2895"/>
    <col min="9473" max="9473" width="39.75" style="2895" customWidth="1"/>
    <col min="9474" max="9474" width="6.25" style="2895" customWidth="1"/>
    <col min="9475" max="9477" width="13.875" style="2895" customWidth="1"/>
    <col min="9478" max="9478" width="25.375" style="2895" customWidth="1"/>
    <col min="9479" max="9479" width="7.875" style="2895" customWidth="1"/>
    <col min="9480" max="9480" width="9" style="2895" customWidth="1"/>
    <col min="9481" max="9482" width="10.625" style="2895" customWidth="1"/>
    <col min="9483" max="9483" width="14.375" style="2895" customWidth="1"/>
    <col min="9484" max="9484" width="6.25" style="2895" customWidth="1"/>
    <col min="9485" max="9485" width="43.25" style="2895" customWidth="1"/>
    <col min="9486" max="9486" width="7.875" style="2895" customWidth="1"/>
    <col min="9487" max="9728" width="9" style="2895"/>
    <col min="9729" max="9729" width="39.75" style="2895" customWidth="1"/>
    <col min="9730" max="9730" width="6.25" style="2895" customWidth="1"/>
    <col min="9731" max="9733" width="13.875" style="2895" customWidth="1"/>
    <col min="9734" max="9734" width="25.375" style="2895" customWidth="1"/>
    <col min="9735" max="9735" width="7.875" style="2895" customWidth="1"/>
    <col min="9736" max="9736" width="9" style="2895" customWidth="1"/>
    <col min="9737" max="9738" width="10.625" style="2895" customWidth="1"/>
    <col min="9739" max="9739" width="14.375" style="2895" customWidth="1"/>
    <col min="9740" max="9740" width="6.25" style="2895" customWidth="1"/>
    <col min="9741" max="9741" width="43.25" style="2895" customWidth="1"/>
    <col min="9742" max="9742" width="7.875" style="2895" customWidth="1"/>
    <col min="9743" max="9984" width="9" style="2895"/>
    <col min="9985" max="9985" width="39.75" style="2895" customWidth="1"/>
    <col min="9986" max="9986" width="6.25" style="2895" customWidth="1"/>
    <col min="9987" max="9989" width="13.875" style="2895" customWidth="1"/>
    <col min="9990" max="9990" width="25.375" style="2895" customWidth="1"/>
    <col min="9991" max="9991" width="7.875" style="2895" customWidth="1"/>
    <col min="9992" max="9992" width="9" style="2895" customWidth="1"/>
    <col min="9993" max="9994" width="10.625" style="2895" customWidth="1"/>
    <col min="9995" max="9995" width="14.375" style="2895" customWidth="1"/>
    <col min="9996" max="9996" width="6.25" style="2895" customWidth="1"/>
    <col min="9997" max="9997" width="43.25" style="2895" customWidth="1"/>
    <col min="9998" max="9998" width="7.875" style="2895" customWidth="1"/>
    <col min="9999" max="10240" width="9" style="2895"/>
    <col min="10241" max="10241" width="39.75" style="2895" customWidth="1"/>
    <col min="10242" max="10242" width="6.25" style="2895" customWidth="1"/>
    <col min="10243" max="10245" width="13.875" style="2895" customWidth="1"/>
    <col min="10246" max="10246" width="25.375" style="2895" customWidth="1"/>
    <col min="10247" max="10247" width="7.875" style="2895" customWidth="1"/>
    <col min="10248" max="10248" width="9" style="2895" customWidth="1"/>
    <col min="10249" max="10250" width="10.625" style="2895" customWidth="1"/>
    <col min="10251" max="10251" width="14.375" style="2895" customWidth="1"/>
    <col min="10252" max="10252" width="6.25" style="2895" customWidth="1"/>
    <col min="10253" max="10253" width="43.25" style="2895" customWidth="1"/>
    <col min="10254" max="10254" width="7.875" style="2895" customWidth="1"/>
    <col min="10255" max="10496" width="9" style="2895"/>
    <col min="10497" max="10497" width="39.75" style="2895" customWidth="1"/>
    <col min="10498" max="10498" width="6.25" style="2895" customWidth="1"/>
    <col min="10499" max="10501" width="13.875" style="2895" customWidth="1"/>
    <col min="10502" max="10502" width="25.375" style="2895" customWidth="1"/>
    <col min="10503" max="10503" width="7.875" style="2895" customWidth="1"/>
    <col min="10504" max="10504" width="9" style="2895" customWidth="1"/>
    <col min="10505" max="10506" width="10.625" style="2895" customWidth="1"/>
    <col min="10507" max="10507" width="14.375" style="2895" customWidth="1"/>
    <col min="10508" max="10508" width="6.25" style="2895" customWidth="1"/>
    <col min="10509" max="10509" width="43.25" style="2895" customWidth="1"/>
    <col min="10510" max="10510" width="7.875" style="2895" customWidth="1"/>
    <col min="10511" max="10752" width="9" style="2895"/>
    <col min="10753" max="10753" width="39.75" style="2895" customWidth="1"/>
    <col min="10754" max="10754" width="6.25" style="2895" customWidth="1"/>
    <col min="10755" max="10757" width="13.875" style="2895" customWidth="1"/>
    <col min="10758" max="10758" width="25.375" style="2895" customWidth="1"/>
    <col min="10759" max="10759" width="7.875" style="2895" customWidth="1"/>
    <col min="10760" max="10760" width="9" style="2895" customWidth="1"/>
    <col min="10761" max="10762" width="10.625" style="2895" customWidth="1"/>
    <col min="10763" max="10763" width="14.375" style="2895" customWidth="1"/>
    <col min="10764" max="10764" width="6.25" style="2895" customWidth="1"/>
    <col min="10765" max="10765" width="43.25" style="2895" customWidth="1"/>
    <col min="10766" max="10766" width="7.875" style="2895" customWidth="1"/>
    <col min="10767" max="11008" width="9" style="2895"/>
    <col min="11009" max="11009" width="39.75" style="2895" customWidth="1"/>
    <col min="11010" max="11010" width="6.25" style="2895" customWidth="1"/>
    <col min="11011" max="11013" width="13.875" style="2895" customWidth="1"/>
    <col min="11014" max="11014" width="25.375" style="2895" customWidth="1"/>
    <col min="11015" max="11015" width="7.875" style="2895" customWidth="1"/>
    <col min="11016" max="11016" width="9" style="2895" customWidth="1"/>
    <col min="11017" max="11018" width="10.625" style="2895" customWidth="1"/>
    <col min="11019" max="11019" width="14.375" style="2895" customWidth="1"/>
    <col min="11020" max="11020" width="6.25" style="2895" customWidth="1"/>
    <col min="11021" max="11021" width="43.25" style="2895" customWidth="1"/>
    <col min="11022" max="11022" width="7.875" style="2895" customWidth="1"/>
    <col min="11023" max="11264" width="9" style="2895"/>
    <col min="11265" max="11265" width="39.75" style="2895" customWidth="1"/>
    <col min="11266" max="11266" width="6.25" style="2895" customWidth="1"/>
    <col min="11267" max="11269" width="13.875" style="2895" customWidth="1"/>
    <col min="11270" max="11270" width="25.375" style="2895" customWidth="1"/>
    <col min="11271" max="11271" width="7.875" style="2895" customWidth="1"/>
    <col min="11272" max="11272" width="9" style="2895" customWidth="1"/>
    <col min="11273" max="11274" width="10.625" style="2895" customWidth="1"/>
    <col min="11275" max="11275" width="14.375" style="2895" customWidth="1"/>
    <col min="11276" max="11276" width="6.25" style="2895" customWidth="1"/>
    <col min="11277" max="11277" width="43.25" style="2895" customWidth="1"/>
    <col min="11278" max="11278" width="7.875" style="2895" customWidth="1"/>
    <col min="11279" max="11520" width="9" style="2895"/>
    <col min="11521" max="11521" width="39.75" style="2895" customWidth="1"/>
    <col min="11522" max="11522" width="6.25" style="2895" customWidth="1"/>
    <col min="11523" max="11525" width="13.875" style="2895" customWidth="1"/>
    <col min="11526" max="11526" width="25.375" style="2895" customWidth="1"/>
    <col min="11527" max="11527" width="7.875" style="2895" customWidth="1"/>
    <col min="11528" max="11528" width="9" style="2895" customWidth="1"/>
    <col min="11529" max="11530" width="10.625" style="2895" customWidth="1"/>
    <col min="11531" max="11531" width="14.375" style="2895" customWidth="1"/>
    <col min="11532" max="11532" width="6.25" style="2895" customWidth="1"/>
    <col min="11533" max="11533" width="43.25" style="2895" customWidth="1"/>
    <col min="11534" max="11534" width="7.875" style="2895" customWidth="1"/>
    <col min="11535" max="11776" width="9" style="2895"/>
    <col min="11777" max="11777" width="39.75" style="2895" customWidth="1"/>
    <col min="11778" max="11778" width="6.25" style="2895" customWidth="1"/>
    <col min="11779" max="11781" width="13.875" style="2895" customWidth="1"/>
    <col min="11782" max="11782" width="25.375" style="2895" customWidth="1"/>
    <col min="11783" max="11783" width="7.875" style="2895" customWidth="1"/>
    <col min="11784" max="11784" width="9" style="2895" customWidth="1"/>
    <col min="11785" max="11786" width="10.625" style="2895" customWidth="1"/>
    <col min="11787" max="11787" width="14.375" style="2895" customWidth="1"/>
    <col min="11788" max="11788" width="6.25" style="2895" customWidth="1"/>
    <col min="11789" max="11789" width="43.25" style="2895" customWidth="1"/>
    <col min="11790" max="11790" width="7.875" style="2895" customWidth="1"/>
    <col min="11791" max="12032" width="9" style="2895"/>
    <col min="12033" max="12033" width="39.75" style="2895" customWidth="1"/>
    <col min="12034" max="12034" width="6.25" style="2895" customWidth="1"/>
    <col min="12035" max="12037" width="13.875" style="2895" customWidth="1"/>
    <col min="12038" max="12038" width="25.375" style="2895" customWidth="1"/>
    <col min="12039" max="12039" width="7.875" style="2895" customWidth="1"/>
    <col min="12040" max="12040" width="9" style="2895" customWidth="1"/>
    <col min="12041" max="12042" width="10.625" style="2895" customWidth="1"/>
    <col min="12043" max="12043" width="14.375" style="2895" customWidth="1"/>
    <col min="12044" max="12044" width="6.25" style="2895" customWidth="1"/>
    <col min="12045" max="12045" width="43.25" style="2895" customWidth="1"/>
    <col min="12046" max="12046" width="7.875" style="2895" customWidth="1"/>
    <col min="12047" max="12288" width="9" style="2895"/>
    <col min="12289" max="12289" width="39.75" style="2895" customWidth="1"/>
    <col min="12290" max="12290" width="6.25" style="2895" customWidth="1"/>
    <col min="12291" max="12293" width="13.875" style="2895" customWidth="1"/>
    <col min="12294" max="12294" width="25.375" style="2895" customWidth="1"/>
    <col min="12295" max="12295" width="7.875" style="2895" customWidth="1"/>
    <col min="12296" max="12296" width="9" style="2895" customWidth="1"/>
    <col min="12297" max="12298" width="10.625" style="2895" customWidth="1"/>
    <col min="12299" max="12299" width="14.375" style="2895" customWidth="1"/>
    <col min="12300" max="12300" width="6.25" style="2895" customWidth="1"/>
    <col min="12301" max="12301" width="43.25" style="2895" customWidth="1"/>
    <col min="12302" max="12302" width="7.875" style="2895" customWidth="1"/>
    <col min="12303" max="12544" width="9" style="2895"/>
    <col min="12545" max="12545" width="39.75" style="2895" customWidth="1"/>
    <col min="12546" max="12546" width="6.25" style="2895" customWidth="1"/>
    <col min="12547" max="12549" width="13.875" style="2895" customWidth="1"/>
    <col min="12550" max="12550" width="25.375" style="2895" customWidth="1"/>
    <col min="12551" max="12551" width="7.875" style="2895" customWidth="1"/>
    <col min="12552" max="12552" width="9" style="2895" customWidth="1"/>
    <col min="12553" max="12554" width="10.625" style="2895" customWidth="1"/>
    <col min="12555" max="12555" width="14.375" style="2895" customWidth="1"/>
    <col min="12556" max="12556" width="6.25" style="2895" customWidth="1"/>
    <col min="12557" max="12557" width="43.25" style="2895" customWidth="1"/>
    <col min="12558" max="12558" width="7.875" style="2895" customWidth="1"/>
    <col min="12559" max="12800" width="9" style="2895"/>
    <col min="12801" max="12801" width="39.75" style="2895" customWidth="1"/>
    <col min="12802" max="12802" width="6.25" style="2895" customWidth="1"/>
    <col min="12803" max="12805" width="13.875" style="2895" customWidth="1"/>
    <col min="12806" max="12806" width="25.375" style="2895" customWidth="1"/>
    <col min="12807" max="12807" width="7.875" style="2895" customWidth="1"/>
    <col min="12808" max="12808" width="9" style="2895" customWidth="1"/>
    <col min="12809" max="12810" width="10.625" style="2895" customWidth="1"/>
    <col min="12811" max="12811" width="14.375" style="2895" customWidth="1"/>
    <col min="12812" max="12812" width="6.25" style="2895" customWidth="1"/>
    <col min="12813" max="12813" width="43.25" style="2895" customWidth="1"/>
    <col min="12814" max="12814" width="7.875" style="2895" customWidth="1"/>
    <col min="12815" max="13056" width="9" style="2895"/>
    <col min="13057" max="13057" width="39.75" style="2895" customWidth="1"/>
    <col min="13058" max="13058" width="6.25" style="2895" customWidth="1"/>
    <col min="13059" max="13061" width="13.875" style="2895" customWidth="1"/>
    <col min="13062" max="13062" width="25.375" style="2895" customWidth="1"/>
    <col min="13063" max="13063" width="7.875" style="2895" customWidth="1"/>
    <col min="13064" max="13064" width="9" style="2895" customWidth="1"/>
    <col min="13065" max="13066" width="10.625" style="2895" customWidth="1"/>
    <col min="13067" max="13067" width="14.375" style="2895" customWidth="1"/>
    <col min="13068" max="13068" width="6.25" style="2895" customWidth="1"/>
    <col min="13069" max="13069" width="43.25" style="2895" customWidth="1"/>
    <col min="13070" max="13070" width="7.875" style="2895" customWidth="1"/>
    <col min="13071" max="13312" width="9" style="2895"/>
    <col min="13313" max="13313" width="39.75" style="2895" customWidth="1"/>
    <col min="13314" max="13314" width="6.25" style="2895" customWidth="1"/>
    <col min="13315" max="13317" width="13.875" style="2895" customWidth="1"/>
    <col min="13318" max="13318" width="25.375" style="2895" customWidth="1"/>
    <col min="13319" max="13319" width="7.875" style="2895" customWidth="1"/>
    <col min="13320" max="13320" width="9" style="2895" customWidth="1"/>
    <col min="13321" max="13322" width="10.625" style="2895" customWidth="1"/>
    <col min="13323" max="13323" width="14.375" style="2895" customWidth="1"/>
    <col min="13324" max="13324" width="6.25" style="2895" customWidth="1"/>
    <col min="13325" max="13325" width="43.25" style="2895" customWidth="1"/>
    <col min="13326" max="13326" width="7.875" style="2895" customWidth="1"/>
    <col min="13327" max="13568" width="9" style="2895"/>
    <col min="13569" max="13569" width="39.75" style="2895" customWidth="1"/>
    <col min="13570" max="13570" width="6.25" style="2895" customWidth="1"/>
    <col min="13571" max="13573" width="13.875" style="2895" customWidth="1"/>
    <col min="13574" max="13574" width="25.375" style="2895" customWidth="1"/>
    <col min="13575" max="13575" width="7.875" style="2895" customWidth="1"/>
    <col min="13576" max="13576" width="9" style="2895" customWidth="1"/>
    <col min="13577" max="13578" width="10.625" style="2895" customWidth="1"/>
    <col min="13579" max="13579" width="14.375" style="2895" customWidth="1"/>
    <col min="13580" max="13580" width="6.25" style="2895" customWidth="1"/>
    <col min="13581" max="13581" width="43.25" style="2895" customWidth="1"/>
    <col min="13582" max="13582" width="7.875" style="2895" customWidth="1"/>
    <col min="13583" max="13824" width="9" style="2895"/>
    <col min="13825" max="13825" width="39.75" style="2895" customWidth="1"/>
    <col min="13826" max="13826" width="6.25" style="2895" customWidth="1"/>
    <col min="13827" max="13829" width="13.875" style="2895" customWidth="1"/>
    <col min="13830" max="13830" width="25.375" style="2895" customWidth="1"/>
    <col min="13831" max="13831" width="7.875" style="2895" customWidth="1"/>
    <col min="13832" max="13832" width="9" style="2895" customWidth="1"/>
    <col min="13833" max="13834" width="10.625" style="2895" customWidth="1"/>
    <col min="13835" max="13835" width="14.375" style="2895" customWidth="1"/>
    <col min="13836" max="13836" width="6.25" style="2895" customWidth="1"/>
    <col min="13837" max="13837" width="43.25" style="2895" customWidth="1"/>
    <col min="13838" max="13838" width="7.875" style="2895" customWidth="1"/>
    <col min="13839" max="14080" width="9" style="2895"/>
    <col min="14081" max="14081" width="39.75" style="2895" customWidth="1"/>
    <col min="14082" max="14082" width="6.25" style="2895" customWidth="1"/>
    <col min="14083" max="14085" width="13.875" style="2895" customWidth="1"/>
    <col min="14086" max="14086" width="25.375" style="2895" customWidth="1"/>
    <col min="14087" max="14087" width="7.875" style="2895" customWidth="1"/>
    <col min="14088" max="14088" width="9" style="2895" customWidth="1"/>
    <col min="14089" max="14090" width="10.625" style="2895" customWidth="1"/>
    <col min="14091" max="14091" width="14.375" style="2895" customWidth="1"/>
    <col min="14092" max="14092" width="6.25" style="2895" customWidth="1"/>
    <col min="14093" max="14093" width="43.25" style="2895" customWidth="1"/>
    <col min="14094" max="14094" width="7.875" style="2895" customWidth="1"/>
    <col min="14095" max="14336" width="9" style="2895"/>
    <col min="14337" max="14337" width="39.75" style="2895" customWidth="1"/>
    <col min="14338" max="14338" width="6.25" style="2895" customWidth="1"/>
    <col min="14339" max="14341" width="13.875" style="2895" customWidth="1"/>
    <col min="14342" max="14342" width="25.375" style="2895" customWidth="1"/>
    <col min="14343" max="14343" width="7.875" style="2895" customWidth="1"/>
    <col min="14344" max="14344" width="9" style="2895" customWidth="1"/>
    <col min="14345" max="14346" width="10.625" style="2895" customWidth="1"/>
    <col min="14347" max="14347" width="14.375" style="2895" customWidth="1"/>
    <col min="14348" max="14348" width="6.25" style="2895" customWidth="1"/>
    <col min="14349" max="14349" width="43.25" style="2895" customWidth="1"/>
    <col min="14350" max="14350" width="7.875" style="2895" customWidth="1"/>
    <col min="14351" max="14592" width="9" style="2895"/>
    <col min="14593" max="14593" width="39.75" style="2895" customWidth="1"/>
    <col min="14594" max="14594" width="6.25" style="2895" customWidth="1"/>
    <col min="14595" max="14597" width="13.875" style="2895" customWidth="1"/>
    <col min="14598" max="14598" width="25.375" style="2895" customWidth="1"/>
    <col min="14599" max="14599" width="7.875" style="2895" customWidth="1"/>
    <col min="14600" max="14600" width="9" style="2895" customWidth="1"/>
    <col min="14601" max="14602" width="10.625" style="2895" customWidth="1"/>
    <col min="14603" max="14603" width="14.375" style="2895" customWidth="1"/>
    <col min="14604" max="14604" width="6.25" style="2895" customWidth="1"/>
    <col min="14605" max="14605" width="43.25" style="2895" customWidth="1"/>
    <col min="14606" max="14606" width="7.875" style="2895" customWidth="1"/>
    <col min="14607" max="14848" width="9" style="2895"/>
    <col min="14849" max="14849" width="39.75" style="2895" customWidth="1"/>
    <col min="14850" max="14850" width="6.25" style="2895" customWidth="1"/>
    <col min="14851" max="14853" width="13.875" style="2895" customWidth="1"/>
    <col min="14854" max="14854" width="25.375" style="2895" customWidth="1"/>
    <col min="14855" max="14855" width="7.875" style="2895" customWidth="1"/>
    <col min="14856" max="14856" width="9" style="2895" customWidth="1"/>
    <col min="14857" max="14858" width="10.625" style="2895" customWidth="1"/>
    <col min="14859" max="14859" width="14.375" style="2895" customWidth="1"/>
    <col min="14860" max="14860" width="6.25" style="2895" customWidth="1"/>
    <col min="14861" max="14861" width="43.25" style="2895" customWidth="1"/>
    <col min="14862" max="14862" width="7.875" style="2895" customWidth="1"/>
    <col min="14863" max="15104" width="9" style="2895"/>
    <col min="15105" max="15105" width="39.75" style="2895" customWidth="1"/>
    <col min="15106" max="15106" width="6.25" style="2895" customWidth="1"/>
    <col min="15107" max="15109" width="13.875" style="2895" customWidth="1"/>
    <col min="15110" max="15110" width="25.375" style="2895" customWidth="1"/>
    <col min="15111" max="15111" width="7.875" style="2895" customWidth="1"/>
    <col min="15112" max="15112" width="9" style="2895" customWidth="1"/>
    <col min="15113" max="15114" width="10.625" style="2895" customWidth="1"/>
    <col min="15115" max="15115" width="14.375" style="2895" customWidth="1"/>
    <col min="15116" max="15116" width="6.25" style="2895" customWidth="1"/>
    <col min="15117" max="15117" width="43.25" style="2895" customWidth="1"/>
    <col min="15118" max="15118" width="7.875" style="2895" customWidth="1"/>
    <col min="15119" max="15360" width="9" style="2895"/>
    <col min="15361" max="15361" width="39.75" style="2895" customWidth="1"/>
    <col min="15362" max="15362" width="6.25" style="2895" customWidth="1"/>
    <col min="15363" max="15365" width="13.875" style="2895" customWidth="1"/>
    <col min="15366" max="15366" width="25.375" style="2895" customWidth="1"/>
    <col min="15367" max="15367" width="7.875" style="2895" customWidth="1"/>
    <col min="15368" max="15368" width="9" style="2895" customWidth="1"/>
    <col min="15369" max="15370" width="10.625" style="2895" customWidth="1"/>
    <col min="15371" max="15371" width="14.375" style="2895" customWidth="1"/>
    <col min="15372" max="15372" width="6.25" style="2895" customWidth="1"/>
    <col min="15373" max="15373" width="43.25" style="2895" customWidth="1"/>
    <col min="15374" max="15374" width="7.875" style="2895" customWidth="1"/>
    <col min="15375" max="15616" width="9" style="2895"/>
    <col min="15617" max="15617" width="39.75" style="2895" customWidth="1"/>
    <col min="15618" max="15618" width="6.25" style="2895" customWidth="1"/>
    <col min="15619" max="15621" width="13.875" style="2895" customWidth="1"/>
    <col min="15622" max="15622" width="25.375" style="2895" customWidth="1"/>
    <col min="15623" max="15623" width="7.875" style="2895" customWidth="1"/>
    <col min="15624" max="15624" width="9" style="2895" customWidth="1"/>
    <col min="15625" max="15626" width="10.625" style="2895" customWidth="1"/>
    <col min="15627" max="15627" width="14.375" style="2895" customWidth="1"/>
    <col min="15628" max="15628" width="6.25" style="2895" customWidth="1"/>
    <col min="15629" max="15629" width="43.25" style="2895" customWidth="1"/>
    <col min="15630" max="15630" width="7.875" style="2895" customWidth="1"/>
    <col min="15631" max="15872" width="9" style="2895"/>
    <col min="15873" max="15873" width="39.75" style="2895" customWidth="1"/>
    <col min="15874" max="15874" width="6.25" style="2895" customWidth="1"/>
    <col min="15875" max="15877" width="13.875" style="2895" customWidth="1"/>
    <col min="15878" max="15878" width="25.375" style="2895" customWidth="1"/>
    <col min="15879" max="15879" width="7.875" style="2895" customWidth="1"/>
    <col min="15880" max="15880" width="9" style="2895" customWidth="1"/>
    <col min="15881" max="15882" width="10.625" style="2895" customWidth="1"/>
    <col min="15883" max="15883" width="14.375" style="2895" customWidth="1"/>
    <col min="15884" max="15884" width="6.25" style="2895" customWidth="1"/>
    <col min="15885" max="15885" width="43.25" style="2895" customWidth="1"/>
    <col min="15886" max="15886" width="7.875" style="2895" customWidth="1"/>
    <col min="15887" max="16128" width="9" style="2895"/>
    <col min="16129" max="16129" width="39.75" style="2895" customWidth="1"/>
    <col min="16130" max="16130" width="6.25" style="2895" customWidth="1"/>
    <col min="16131" max="16133" width="13.875" style="2895" customWidth="1"/>
    <col min="16134" max="16134" width="25.375" style="2895" customWidth="1"/>
    <col min="16135" max="16135" width="7.875" style="2895" customWidth="1"/>
    <col min="16136" max="16136" width="9" style="2895" customWidth="1"/>
    <col min="16137" max="16138" width="10.625" style="2895" customWidth="1"/>
    <col min="16139" max="16139" width="14.375" style="2895" customWidth="1"/>
    <col min="16140" max="16140" width="6.25" style="2895" customWidth="1"/>
    <col min="16141" max="16141" width="43.25" style="2895" customWidth="1"/>
    <col min="16142" max="16142" width="7.875" style="2895" customWidth="1"/>
    <col min="16143" max="16384" width="9" style="2895"/>
  </cols>
  <sheetData>
    <row r="1" spans="1:15">
      <c r="A1" s="2895" t="s">
        <v>3054</v>
      </c>
      <c r="B1" s="2895" t="s">
        <v>3055</v>
      </c>
      <c r="C1" s="2895" t="s">
        <v>3056</v>
      </c>
      <c r="D1" s="2895" t="s">
        <v>3057</v>
      </c>
      <c r="E1" s="2895" t="s">
        <v>3058</v>
      </c>
      <c r="F1" s="2895" t="s">
        <v>2032</v>
      </c>
      <c r="G1" s="2895" t="s">
        <v>3059</v>
      </c>
      <c r="H1" s="2895" t="s">
        <v>3060</v>
      </c>
      <c r="I1" s="2895" t="s">
        <v>3061</v>
      </c>
      <c r="J1" s="2895" t="s">
        <v>3062</v>
      </c>
      <c r="K1" s="2895" t="s">
        <v>3063</v>
      </c>
      <c r="L1" s="2895" t="s">
        <v>3064</v>
      </c>
      <c r="M1" s="2895" t="s">
        <v>3065</v>
      </c>
      <c r="N1" s="2895" t="s">
        <v>3066</v>
      </c>
    </row>
    <row r="2" spans="1:15" s="3214" customFormat="1">
      <c r="A2" s="3214" t="s">
        <v>3067</v>
      </c>
      <c r="B2" s="3214" t="s">
        <v>3068</v>
      </c>
      <c r="C2" s="3214" t="s">
        <v>3069</v>
      </c>
      <c r="D2" s="3214">
        <v>27675</v>
      </c>
      <c r="E2" s="3214">
        <v>74722.5</v>
      </c>
      <c r="F2" s="3214" t="s">
        <v>3070</v>
      </c>
      <c r="G2" s="3214" t="s">
        <v>3071</v>
      </c>
      <c r="H2" s="3214" t="s">
        <v>3072</v>
      </c>
      <c r="I2" s="3214">
        <v>26484.97</v>
      </c>
      <c r="J2" s="3214">
        <v>50064.08</v>
      </c>
      <c r="K2" s="3214">
        <v>6700</v>
      </c>
      <c r="L2" s="3214">
        <v>89.03</v>
      </c>
      <c r="M2" s="3214" t="s">
        <v>3073</v>
      </c>
      <c r="N2" s="3214" t="s">
        <v>3074</v>
      </c>
      <c r="O2" s="3214">
        <f>J2/(D2/666.67)</f>
        <v>1206.006150446251</v>
      </c>
    </row>
    <row r="3" spans="1:15" s="3214" customFormat="1">
      <c r="A3" s="3214" t="s">
        <v>3075</v>
      </c>
      <c r="B3" s="3214" t="s">
        <v>3068</v>
      </c>
      <c r="C3" s="3214" t="s">
        <v>3069</v>
      </c>
      <c r="D3" s="3214">
        <v>38915</v>
      </c>
      <c r="E3" s="3214">
        <v>77830</v>
      </c>
      <c r="F3" s="3214" t="s">
        <v>3076</v>
      </c>
      <c r="G3" s="3214" t="s">
        <v>3071</v>
      </c>
      <c r="H3" s="3214" t="s">
        <v>3077</v>
      </c>
      <c r="I3" s="3214">
        <v>27267.74</v>
      </c>
      <c r="J3" s="3214">
        <v>51745.27</v>
      </c>
      <c r="K3" s="3214">
        <v>6648.5</v>
      </c>
      <c r="L3" s="3214">
        <v>89.77</v>
      </c>
      <c r="M3" s="3214" t="s">
        <v>3078</v>
      </c>
      <c r="N3" s="3214" t="s">
        <v>3079</v>
      </c>
      <c r="O3" s="3214">
        <f t="shared" ref="O3:O48" si="0">J3/(D3/666.67)</f>
        <v>886.47100477707818</v>
      </c>
    </row>
    <row r="4" spans="1:15">
      <c r="A4" s="2895" t="s">
        <v>3080</v>
      </c>
      <c r="B4" s="2895" t="s">
        <v>3068</v>
      </c>
      <c r="C4" s="2895" t="s">
        <v>3069</v>
      </c>
      <c r="D4" s="2895">
        <v>29180</v>
      </c>
      <c r="E4" s="2895">
        <v>37934</v>
      </c>
      <c r="F4" s="2895" t="s">
        <v>3081</v>
      </c>
      <c r="G4" s="2895" t="s">
        <v>3071</v>
      </c>
      <c r="H4" s="2895" t="s">
        <v>3082</v>
      </c>
      <c r="I4" s="2895">
        <v>32045.47</v>
      </c>
      <c r="J4" s="2895">
        <v>44709.59</v>
      </c>
      <c r="K4" s="2895">
        <v>11786.14</v>
      </c>
      <c r="L4" s="2895">
        <v>39.520000000000003</v>
      </c>
      <c r="M4" s="2895" t="s">
        <v>3083</v>
      </c>
      <c r="N4" s="2895" t="s">
        <v>3084</v>
      </c>
      <c r="O4" s="3214">
        <f t="shared" si="0"/>
        <v>1021.4716369191225</v>
      </c>
    </row>
    <row r="5" spans="1:15">
      <c r="A5" s="2895" t="s">
        <v>3085</v>
      </c>
      <c r="B5" s="2895" t="s">
        <v>3068</v>
      </c>
      <c r="C5" s="2895" t="s">
        <v>3069</v>
      </c>
      <c r="D5" s="2895">
        <v>41090</v>
      </c>
      <c r="E5" s="2895">
        <v>57526</v>
      </c>
      <c r="F5" s="2895" t="s">
        <v>3086</v>
      </c>
      <c r="G5" s="2895" t="s">
        <v>3071</v>
      </c>
      <c r="H5" s="2895" t="s">
        <v>3087</v>
      </c>
      <c r="I5" s="2895">
        <v>1027.25</v>
      </c>
      <c r="J5" s="2895">
        <v>1027.25</v>
      </c>
      <c r="K5" s="2895">
        <v>178.56</v>
      </c>
      <c r="L5" s="2895">
        <v>0</v>
      </c>
      <c r="M5" s="2895" t="s">
        <v>3088</v>
      </c>
      <c r="N5" s="2895" t="s">
        <v>3079</v>
      </c>
      <c r="O5" s="3214">
        <f t="shared" si="0"/>
        <v>16.666749999999997</v>
      </c>
    </row>
    <row r="6" spans="1:15">
      <c r="A6" s="2895" t="s">
        <v>3089</v>
      </c>
      <c r="B6" s="2895" t="s">
        <v>3068</v>
      </c>
      <c r="C6" s="2895" t="s">
        <v>3069</v>
      </c>
      <c r="D6" s="2895">
        <v>42567</v>
      </c>
      <c r="E6" s="2895">
        <v>59593.8</v>
      </c>
      <c r="F6" s="2895" t="s">
        <v>3086</v>
      </c>
      <c r="G6" s="2895" t="s">
        <v>3071</v>
      </c>
      <c r="H6" s="2895" t="s">
        <v>3090</v>
      </c>
      <c r="I6" s="2895">
        <v>44401.63</v>
      </c>
      <c r="J6" s="2895">
        <v>67174.97</v>
      </c>
      <c r="K6" s="2895">
        <v>11272.13</v>
      </c>
      <c r="L6" s="2895">
        <v>51.29</v>
      </c>
      <c r="M6" s="2895" t="s">
        <v>3083</v>
      </c>
      <c r="N6" s="2895" t="s">
        <v>3084</v>
      </c>
      <c r="O6" s="3214">
        <f t="shared" si="0"/>
        <v>1052.0717280968825</v>
      </c>
    </row>
    <row r="7" spans="1:15">
      <c r="A7" s="2895" t="s">
        <v>3091</v>
      </c>
      <c r="B7" s="2895" t="s">
        <v>3068</v>
      </c>
      <c r="C7" s="2895" t="s">
        <v>3069</v>
      </c>
      <c r="D7" s="2895">
        <v>26281</v>
      </c>
      <c r="E7" s="2895">
        <v>36793.4</v>
      </c>
      <c r="F7" s="2895" t="s">
        <v>3092</v>
      </c>
      <c r="G7" s="2895" t="s">
        <v>3071</v>
      </c>
      <c r="H7" s="2895" t="s">
        <v>3093</v>
      </c>
      <c r="I7" s="2895">
        <v>2678.03</v>
      </c>
      <c r="J7" s="2895">
        <v>2678.03</v>
      </c>
      <c r="K7" s="2895">
        <v>727.86</v>
      </c>
      <c r="L7" s="2895">
        <v>0</v>
      </c>
      <c r="M7" s="2895" t="s">
        <v>3094</v>
      </c>
      <c r="N7" s="2895" t="s">
        <v>3079</v>
      </c>
      <c r="O7" s="3214">
        <f t="shared" si="0"/>
        <v>67.933574068718855</v>
      </c>
    </row>
    <row r="8" spans="1:15">
      <c r="A8" s="2895" t="s">
        <v>3095</v>
      </c>
      <c r="B8" s="2895" t="s">
        <v>3068</v>
      </c>
      <c r="C8" s="2895" t="s">
        <v>3096</v>
      </c>
      <c r="D8" s="2895">
        <v>76895</v>
      </c>
      <c r="E8" s="2895">
        <v>153790</v>
      </c>
      <c r="F8" s="2895" t="s">
        <v>3097</v>
      </c>
      <c r="G8" s="2895" t="s">
        <v>3071</v>
      </c>
      <c r="H8" s="2895" t="s">
        <v>3098</v>
      </c>
      <c r="I8" s="2895">
        <v>1922.38</v>
      </c>
      <c r="J8" s="2895">
        <v>1922.38</v>
      </c>
      <c r="K8" s="2895">
        <v>125</v>
      </c>
      <c r="L8" s="2895">
        <v>0</v>
      </c>
      <c r="M8" s="2895" t="s">
        <v>3099</v>
      </c>
      <c r="N8" s="2895" t="s">
        <v>3084</v>
      </c>
      <c r="O8" s="3214">
        <f t="shared" si="0"/>
        <v>16.666793349372519</v>
      </c>
    </row>
    <row r="9" spans="1:15">
      <c r="A9" s="2895" t="s">
        <v>3100</v>
      </c>
      <c r="B9" s="2895" t="s">
        <v>3068</v>
      </c>
      <c r="C9" s="2895" t="s">
        <v>3069</v>
      </c>
      <c r="D9" s="2895">
        <v>27786</v>
      </c>
      <c r="E9" s="2895">
        <v>58350.6</v>
      </c>
      <c r="F9" s="2895" t="s">
        <v>3101</v>
      </c>
      <c r="G9" s="2895" t="s">
        <v>3071</v>
      </c>
      <c r="H9" s="2895" t="s">
        <v>3102</v>
      </c>
      <c r="I9" s="2895">
        <v>694.64</v>
      </c>
      <c r="J9" s="2895">
        <v>694.64</v>
      </c>
      <c r="K9" s="2895">
        <v>119.04</v>
      </c>
      <c r="L9" s="2895">
        <v>0</v>
      </c>
      <c r="M9" s="2895" t="s">
        <v>3103</v>
      </c>
      <c r="N9" s="2895" t="s">
        <v>3084</v>
      </c>
      <c r="O9" s="3214">
        <f t="shared" si="0"/>
        <v>16.666510069819335</v>
      </c>
    </row>
    <row r="10" spans="1:15">
      <c r="A10" s="2895" t="s">
        <v>3104</v>
      </c>
      <c r="B10" s="2895" t="s">
        <v>3068</v>
      </c>
      <c r="C10" s="2895" t="s">
        <v>3069</v>
      </c>
      <c r="D10" s="2895">
        <v>14827</v>
      </c>
      <c r="E10" s="2895">
        <v>22240.5</v>
      </c>
      <c r="F10" s="2895" t="s">
        <v>3105</v>
      </c>
      <c r="G10" s="2895" t="s">
        <v>3071</v>
      </c>
      <c r="H10" s="2895" t="s">
        <v>3102</v>
      </c>
      <c r="I10" s="2895">
        <v>370.68</v>
      </c>
      <c r="J10" s="2895">
        <v>370.68</v>
      </c>
      <c r="K10" s="2895">
        <v>166.66</v>
      </c>
      <c r="L10" s="2895">
        <v>0</v>
      </c>
      <c r="M10" s="2895" t="s">
        <v>3106</v>
      </c>
      <c r="N10" s="2895" t="s">
        <v>3079</v>
      </c>
      <c r="O10" s="3214">
        <f t="shared" si="0"/>
        <v>16.666974816213664</v>
      </c>
    </row>
    <row r="11" spans="1:15">
      <c r="A11" s="2895" t="s">
        <v>3107</v>
      </c>
      <c r="B11" s="2895" t="s">
        <v>3068</v>
      </c>
      <c r="C11" s="2895" t="s">
        <v>3069</v>
      </c>
      <c r="D11" s="2895">
        <v>32009</v>
      </c>
      <c r="E11" s="2895">
        <v>60817.1</v>
      </c>
      <c r="F11" s="2895" t="s">
        <v>3108</v>
      </c>
      <c r="G11" s="2895" t="s">
        <v>3071</v>
      </c>
      <c r="H11" s="2895" t="s">
        <v>3109</v>
      </c>
      <c r="I11" s="2895">
        <v>4753.34</v>
      </c>
      <c r="J11" s="2895">
        <v>4753.34</v>
      </c>
      <c r="K11" s="2895">
        <v>781.58</v>
      </c>
      <c r="L11" s="2895">
        <v>0</v>
      </c>
      <c r="M11" s="2895" t="s">
        <v>3110</v>
      </c>
      <c r="N11" s="2895" t="s">
        <v>3079</v>
      </c>
      <c r="O11" s="3214">
        <f t="shared" si="0"/>
        <v>99.000567896529105</v>
      </c>
    </row>
    <row r="12" spans="1:15">
      <c r="A12" s="2895" t="s">
        <v>3111</v>
      </c>
      <c r="B12" s="2895" t="s">
        <v>3068</v>
      </c>
      <c r="C12" s="2895" t="s">
        <v>3069</v>
      </c>
      <c r="D12" s="2895">
        <v>24169</v>
      </c>
      <c r="E12" s="2895">
        <v>37461.949999999997</v>
      </c>
      <c r="F12" s="2895" t="s">
        <v>3112</v>
      </c>
      <c r="G12" s="2895" t="s">
        <v>3071</v>
      </c>
      <c r="H12" s="2895" t="s">
        <v>3113</v>
      </c>
      <c r="I12" s="2895">
        <v>604.23</v>
      </c>
      <c r="J12" s="2895">
        <v>604.23</v>
      </c>
      <c r="K12" s="2895">
        <v>161.28</v>
      </c>
      <c r="L12" s="2895">
        <v>0</v>
      </c>
      <c r="M12" s="2895" t="s">
        <v>3114</v>
      </c>
      <c r="N12" s="2895" t="s">
        <v>3115</v>
      </c>
      <c r="O12" s="3214">
        <f t="shared" si="0"/>
        <v>16.666887918407877</v>
      </c>
    </row>
    <row r="13" spans="1:15">
      <c r="A13" s="2895" t="s">
        <v>3116</v>
      </c>
      <c r="B13" s="2895" t="s">
        <v>3068</v>
      </c>
      <c r="C13" s="2895" t="s">
        <v>3096</v>
      </c>
      <c r="D13" s="2895">
        <v>62928</v>
      </c>
      <c r="E13" s="2895">
        <v>119563.2</v>
      </c>
      <c r="F13" s="2895" t="s">
        <v>3108</v>
      </c>
      <c r="G13" s="2895" t="s">
        <v>3071</v>
      </c>
      <c r="H13" s="2895" t="s">
        <v>3117</v>
      </c>
      <c r="I13" s="2895">
        <v>1573.2</v>
      </c>
      <c r="J13" s="2895">
        <v>1573.2</v>
      </c>
      <c r="K13" s="2895">
        <v>131.58000000000001</v>
      </c>
      <c r="L13" s="2895">
        <v>0</v>
      </c>
      <c r="M13" s="2895" t="s">
        <v>3118</v>
      </c>
      <c r="N13" s="2895" t="s">
        <v>3079</v>
      </c>
      <c r="O13" s="3214">
        <f t="shared" si="0"/>
        <v>16.66675</v>
      </c>
    </row>
    <row r="14" spans="1:15">
      <c r="A14" s="2895" t="s">
        <v>3119</v>
      </c>
      <c r="B14" s="2895" t="s">
        <v>3068</v>
      </c>
      <c r="C14" s="2895" t="s">
        <v>3096</v>
      </c>
      <c r="D14" s="2895">
        <v>61897</v>
      </c>
      <c r="E14" s="2895">
        <v>136173.4</v>
      </c>
      <c r="F14" s="2895" t="s">
        <v>3120</v>
      </c>
      <c r="G14" s="2895" t="s">
        <v>3071</v>
      </c>
      <c r="H14" s="2895" t="s">
        <v>3117</v>
      </c>
      <c r="I14" s="2895">
        <v>1547.43</v>
      </c>
      <c r="J14" s="2895">
        <v>1547.43</v>
      </c>
      <c r="K14" s="2895">
        <v>113.64</v>
      </c>
      <c r="L14" s="2895">
        <v>0</v>
      </c>
      <c r="M14" s="2895" t="s">
        <v>3118</v>
      </c>
      <c r="N14" s="2895" t="s">
        <v>3079</v>
      </c>
      <c r="O14" s="3214">
        <f t="shared" si="0"/>
        <v>16.666803853175438</v>
      </c>
    </row>
    <row r="15" spans="1:15">
      <c r="A15" s="2895" t="s">
        <v>3121</v>
      </c>
      <c r="B15" s="2895" t="s">
        <v>3068</v>
      </c>
      <c r="C15" s="2895" t="s">
        <v>3096</v>
      </c>
      <c r="D15" s="2895">
        <v>48796</v>
      </c>
      <c r="E15" s="2895">
        <v>92712.4</v>
      </c>
      <c r="F15" s="2895" t="s">
        <v>3108</v>
      </c>
      <c r="G15" s="2895" t="s">
        <v>3071</v>
      </c>
      <c r="H15" s="2895" t="s">
        <v>3117</v>
      </c>
      <c r="I15" s="2895">
        <v>1219.9000000000001</v>
      </c>
      <c r="J15" s="2895">
        <v>1219.9000000000001</v>
      </c>
      <c r="K15" s="2895">
        <v>131.58000000000001</v>
      </c>
      <c r="L15" s="2895">
        <v>0</v>
      </c>
      <c r="M15" s="2895" t="s">
        <v>3118</v>
      </c>
      <c r="N15" s="2895" t="s">
        <v>3079</v>
      </c>
      <c r="O15" s="3214">
        <f t="shared" si="0"/>
        <v>16.66675</v>
      </c>
    </row>
    <row r="16" spans="1:15">
      <c r="A16" s="2895" t="s">
        <v>3122</v>
      </c>
      <c r="B16" s="2895" t="s">
        <v>3068</v>
      </c>
      <c r="C16" s="2895" t="s">
        <v>3069</v>
      </c>
      <c r="D16" s="2895">
        <v>31035</v>
      </c>
      <c r="E16" s="2895">
        <v>49656</v>
      </c>
      <c r="F16" s="2895" t="s">
        <v>3123</v>
      </c>
      <c r="G16" s="2895" t="s">
        <v>3071</v>
      </c>
      <c r="H16" s="2895" t="s">
        <v>3124</v>
      </c>
      <c r="I16" s="2895">
        <v>36382.33</v>
      </c>
      <c r="J16" s="2895">
        <v>36382.33</v>
      </c>
      <c r="K16" s="2895">
        <v>7326.86</v>
      </c>
      <c r="L16" s="2895">
        <v>0</v>
      </c>
      <c r="M16" s="2895" t="s">
        <v>3125</v>
      </c>
      <c r="N16" s="2895" t="s">
        <v>3084</v>
      </c>
      <c r="O16" s="3214">
        <f t="shared" si="0"/>
        <v>781.53723025938461</v>
      </c>
    </row>
    <row r="17" spans="1:15">
      <c r="A17" s="2895" t="s">
        <v>3126</v>
      </c>
      <c r="B17" s="2895" t="s">
        <v>3068</v>
      </c>
      <c r="C17" s="2895" t="s">
        <v>3069</v>
      </c>
      <c r="D17" s="2895">
        <v>40000</v>
      </c>
      <c r="E17" s="2895">
        <v>88000</v>
      </c>
      <c r="F17" s="2895" t="s">
        <v>3127</v>
      </c>
      <c r="G17" s="2895" t="s">
        <v>3071</v>
      </c>
      <c r="H17" s="2895" t="s">
        <v>3128</v>
      </c>
      <c r="I17" s="2895">
        <v>13712</v>
      </c>
      <c r="J17" s="2895">
        <v>27312</v>
      </c>
      <c r="K17" s="2895">
        <v>3103.63</v>
      </c>
      <c r="L17" s="2895">
        <v>99.18</v>
      </c>
      <c r="M17" s="2895" t="s">
        <v>3129</v>
      </c>
      <c r="N17" s="2895" t="s">
        <v>3084</v>
      </c>
      <c r="O17" s="3214">
        <f t="shared" si="0"/>
        <v>455.20227599999998</v>
      </c>
    </row>
    <row r="18" spans="1:15">
      <c r="A18" s="3539" t="s">
        <v>3280</v>
      </c>
      <c r="B18" s="2895" t="s">
        <v>3068</v>
      </c>
      <c r="C18" s="2895" t="s">
        <v>3069</v>
      </c>
      <c r="D18" s="2895">
        <v>40000</v>
      </c>
      <c r="E18" s="2895">
        <v>88000</v>
      </c>
      <c r="F18" s="2895" t="s">
        <v>3127</v>
      </c>
      <c r="G18" s="2895" t="s">
        <v>3071</v>
      </c>
      <c r="H18" s="2895" t="s">
        <v>3128</v>
      </c>
      <c r="I18" s="2895">
        <v>13712</v>
      </c>
      <c r="J18" s="2895">
        <v>26112</v>
      </c>
      <c r="K18" s="2895">
        <v>2967.26</v>
      </c>
      <c r="L18" s="2895">
        <v>90.43</v>
      </c>
      <c r="M18" s="2895" t="s">
        <v>3129</v>
      </c>
      <c r="N18" s="2895" t="s">
        <v>3084</v>
      </c>
      <c r="O18" s="3214">
        <f t="shared" si="0"/>
        <v>435.20217599999995</v>
      </c>
    </row>
    <row r="19" spans="1:15">
      <c r="A19" s="2895" t="s">
        <v>3130</v>
      </c>
      <c r="B19" s="2895" t="s">
        <v>3068</v>
      </c>
      <c r="C19" s="2895" t="s">
        <v>3069</v>
      </c>
      <c r="D19" s="2895">
        <v>60000</v>
      </c>
      <c r="E19" s="2895">
        <v>132000</v>
      </c>
      <c r="F19" s="2895" t="s">
        <v>3127</v>
      </c>
      <c r="G19" s="2895" t="s">
        <v>3071</v>
      </c>
      <c r="H19" s="2895" t="s">
        <v>3128</v>
      </c>
      <c r="I19" s="2895">
        <v>20568</v>
      </c>
      <c r="J19" s="2895">
        <v>39168</v>
      </c>
      <c r="K19" s="2895">
        <v>2967.26</v>
      </c>
      <c r="L19" s="2895">
        <v>90.43</v>
      </c>
      <c r="M19" s="2895" t="s">
        <v>3129</v>
      </c>
      <c r="N19" s="2895" t="s">
        <v>3079</v>
      </c>
      <c r="O19" s="3214">
        <f t="shared" si="0"/>
        <v>435.20217600000001</v>
      </c>
    </row>
    <row r="20" spans="1:15">
      <c r="A20" s="2895" t="s">
        <v>3131</v>
      </c>
      <c r="B20" s="2895" t="s">
        <v>3068</v>
      </c>
      <c r="C20" s="2895" t="s">
        <v>3069</v>
      </c>
      <c r="D20" s="2895">
        <v>60000</v>
      </c>
      <c r="E20" s="2895">
        <v>132000</v>
      </c>
      <c r="F20" s="2895" t="s">
        <v>3127</v>
      </c>
      <c r="G20" s="2895" t="s">
        <v>3071</v>
      </c>
      <c r="H20" s="2895" t="s">
        <v>3128</v>
      </c>
      <c r="I20" s="2895">
        <v>20568</v>
      </c>
      <c r="J20" s="2895">
        <v>39168</v>
      </c>
      <c r="K20" s="2895">
        <v>2967.26</v>
      </c>
      <c r="L20" s="2895">
        <v>90.43</v>
      </c>
      <c r="M20" s="2895" t="s">
        <v>3129</v>
      </c>
      <c r="N20" s="2895" t="s">
        <v>3084</v>
      </c>
      <c r="O20" s="3214">
        <f t="shared" si="0"/>
        <v>435.20217600000001</v>
      </c>
    </row>
    <row r="21" spans="1:15">
      <c r="A21" s="2895" t="s">
        <v>3132</v>
      </c>
      <c r="B21" s="2895" t="s">
        <v>3068</v>
      </c>
      <c r="C21" s="2895" t="s">
        <v>3069</v>
      </c>
      <c r="D21" s="2895">
        <v>33333</v>
      </c>
      <c r="E21" s="2895">
        <v>73332.600000000006</v>
      </c>
      <c r="F21" s="2895" t="s">
        <v>3127</v>
      </c>
      <c r="G21" s="2895" t="s">
        <v>3071</v>
      </c>
      <c r="H21" s="2895" t="s">
        <v>3128</v>
      </c>
      <c r="I21" s="2895">
        <v>11426.54</v>
      </c>
      <c r="J21" s="2895">
        <v>21093.11</v>
      </c>
      <c r="K21" s="2895">
        <v>2876.36</v>
      </c>
      <c r="L21" s="2895">
        <v>84.6</v>
      </c>
      <c r="M21" s="2895" t="s">
        <v>3129</v>
      </c>
      <c r="N21" s="2895" t="s">
        <v>3084</v>
      </c>
      <c r="O21" s="3214">
        <f t="shared" si="0"/>
        <v>421.86852799627997</v>
      </c>
    </row>
    <row r="22" spans="1:15">
      <c r="A22" s="3539" t="s">
        <v>3279</v>
      </c>
      <c r="B22" s="2895" t="s">
        <v>3068</v>
      </c>
      <c r="C22" s="2895" t="s">
        <v>3069</v>
      </c>
      <c r="D22" s="2895">
        <v>27987</v>
      </c>
      <c r="E22" s="2895">
        <v>68568.149999999994</v>
      </c>
      <c r="F22" s="2895" t="s">
        <v>3133</v>
      </c>
      <c r="G22" s="2895" t="s">
        <v>3071</v>
      </c>
      <c r="H22" s="2895" t="s">
        <v>3134</v>
      </c>
      <c r="I22" s="2895">
        <v>20623.61</v>
      </c>
      <c r="J22" s="2895">
        <v>27816.27</v>
      </c>
      <c r="K22" s="2895">
        <v>4056.73</v>
      </c>
      <c r="L22" s="2895">
        <v>34.880000000000003</v>
      </c>
      <c r="M22" s="2895" t="s">
        <v>3135</v>
      </c>
      <c r="N22" s="2895" t="s">
        <v>3079</v>
      </c>
      <c r="O22" s="3214">
        <f t="shared" si="0"/>
        <v>662.60309146746704</v>
      </c>
    </row>
    <row r="23" spans="1:15" s="3214" customFormat="1">
      <c r="A23" s="3214" t="s">
        <v>3136</v>
      </c>
      <c r="B23" s="3214" t="s">
        <v>3068</v>
      </c>
      <c r="C23" s="3214" t="s">
        <v>3069</v>
      </c>
      <c r="D23" s="3214">
        <v>97498</v>
      </c>
      <c r="E23" s="3214">
        <v>175496.4</v>
      </c>
      <c r="F23" s="3214" t="s">
        <v>3137</v>
      </c>
      <c r="G23" s="3214" t="s">
        <v>3071</v>
      </c>
      <c r="H23" s="3214" t="s">
        <v>3138</v>
      </c>
      <c r="I23" s="3214">
        <v>119591</v>
      </c>
      <c r="J23" s="3214">
        <v>120176</v>
      </c>
      <c r="K23" s="3214">
        <v>6847.77</v>
      </c>
      <c r="L23" s="3214">
        <v>0.49</v>
      </c>
      <c r="M23" s="3214" t="s">
        <v>3139</v>
      </c>
      <c r="N23" s="3214" t="s">
        <v>3084</v>
      </c>
      <c r="O23" s="3214">
        <f t="shared" si="0"/>
        <v>821.73720404521112</v>
      </c>
    </row>
    <row r="24" spans="1:15">
      <c r="A24" s="2895" t="s">
        <v>3140</v>
      </c>
      <c r="B24" s="2895" t="s">
        <v>3068</v>
      </c>
      <c r="C24" s="2895" t="s">
        <v>3069</v>
      </c>
      <c r="D24" s="2895">
        <v>54702</v>
      </c>
      <c r="E24" s="2895">
        <v>98463.6</v>
      </c>
      <c r="F24" s="2895" t="s">
        <v>3141</v>
      </c>
      <c r="G24" s="2895" t="s">
        <v>3071</v>
      </c>
      <c r="H24" s="2895" t="s">
        <v>3142</v>
      </c>
      <c r="I24" s="2895">
        <v>22477.040000000001</v>
      </c>
      <c r="J24" s="2895">
        <v>22641.15</v>
      </c>
      <c r="K24" s="2895">
        <v>2299.44</v>
      </c>
      <c r="L24" s="2895">
        <v>0.73</v>
      </c>
      <c r="M24" s="2895" t="s">
        <v>3143</v>
      </c>
      <c r="N24" s="2895" t="s">
        <v>3084</v>
      </c>
      <c r="O24" s="3214">
        <f t="shared" si="0"/>
        <v>275.93461793901503</v>
      </c>
    </row>
    <row r="25" spans="1:15">
      <c r="A25" s="2895" t="s">
        <v>3144</v>
      </c>
      <c r="B25" s="2895" t="s">
        <v>3068</v>
      </c>
      <c r="C25" s="2895" t="s">
        <v>3069</v>
      </c>
      <c r="D25" s="2895">
        <v>42719</v>
      </c>
      <c r="E25" s="2895">
        <v>68350.399999999994</v>
      </c>
      <c r="F25" s="2895" t="s">
        <v>3145</v>
      </c>
      <c r="G25" s="2895" t="s">
        <v>3071</v>
      </c>
      <c r="H25" s="2895" t="s">
        <v>3146</v>
      </c>
      <c r="I25" s="2895">
        <v>1067.98</v>
      </c>
      <c r="J25" s="2895">
        <v>1067.98</v>
      </c>
      <c r="K25" s="2895">
        <v>156.25</v>
      </c>
      <c r="L25" s="2895">
        <v>0</v>
      </c>
      <c r="M25" s="2895" t="s">
        <v>3114</v>
      </c>
      <c r="N25" s="2895" t="s">
        <v>3084</v>
      </c>
      <c r="O25" s="3214">
        <f t="shared" si="0"/>
        <v>16.666828029682343</v>
      </c>
    </row>
    <row r="26" spans="1:15">
      <c r="A26" s="2895" t="s">
        <v>3147</v>
      </c>
      <c r="B26" s="2895" t="s">
        <v>3068</v>
      </c>
      <c r="C26" s="2895" t="s">
        <v>3069</v>
      </c>
      <c r="D26" s="2895">
        <v>1441</v>
      </c>
      <c r="E26" s="2895">
        <v>2593.8000000000002</v>
      </c>
      <c r="F26" s="2895" t="s">
        <v>3137</v>
      </c>
      <c r="G26" s="2895" t="s">
        <v>3071</v>
      </c>
      <c r="H26" s="2895" t="s">
        <v>3148</v>
      </c>
      <c r="I26" s="2895">
        <v>36.03</v>
      </c>
      <c r="J26" s="2895">
        <v>36.03</v>
      </c>
      <c r="K26" s="2895">
        <v>138.9</v>
      </c>
      <c r="L26" s="2895">
        <v>0</v>
      </c>
      <c r="M26" s="2895" t="s">
        <v>3114</v>
      </c>
      <c r="N26" s="2895" t="s">
        <v>3084</v>
      </c>
      <c r="O26" s="3214">
        <f t="shared" si="0"/>
        <v>16.669063219986121</v>
      </c>
    </row>
    <row r="27" spans="1:15">
      <c r="A27" s="2895" t="s">
        <v>3149</v>
      </c>
      <c r="B27" s="2895" t="s">
        <v>3068</v>
      </c>
      <c r="C27" s="2895" t="s">
        <v>3069</v>
      </c>
      <c r="D27" s="2895">
        <v>61867</v>
      </c>
      <c r="E27" s="2895">
        <v>111360.6</v>
      </c>
      <c r="F27" s="2895" t="s">
        <v>3137</v>
      </c>
      <c r="G27" s="2895" t="s">
        <v>3071</v>
      </c>
      <c r="H27" s="2895" t="s">
        <v>3148</v>
      </c>
      <c r="I27" s="2895">
        <v>1546.68</v>
      </c>
      <c r="J27" s="2895">
        <v>1546.68</v>
      </c>
      <c r="K27" s="2895">
        <v>138.88</v>
      </c>
      <c r="L27" s="2895">
        <v>0</v>
      </c>
      <c r="M27" s="2895" t="s">
        <v>3150</v>
      </c>
      <c r="N27" s="2895" t="s">
        <v>3084</v>
      </c>
      <c r="O27" s="3214">
        <f t="shared" si="0"/>
        <v>16.666803879289443</v>
      </c>
    </row>
    <row r="28" spans="1:15">
      <c r="A28" s="2895" t="s">
        <v>3151</v>
      </c>
      <c r="B28" s="2895" t="s">
        <v>3068</v>
      </c>
      <c r="C28" s="2895" t="s">
        <v>3096</v>
      </c>
      <c r="D28" s="2895">
        <v>169719</v>
      </c>
      <c r="E28" s="2895">
        <v>305494.2</v>
      </c>
      <c r="F28" s="2895" t="s">
        <v>3137</v>
      </c>
      <c r="G28" s="2895" t="s">
        <v>3071</v>
      </c>
      <c r="H28" s="2895" t="s">
        <v>3152</v>
      </c>
      <c r="I28" s="2895">
        <v>4242.97</v>
      </c>
      <c r="J28" s="2895">
        <v>4242.97</v>
      </c>
      <c r="K28" s="2895">
        <v>138.88</v>
      </c>
      <c r="L28" s="2895">
        <v>0</v>
      </c>
      <c r="M28" s="2895" t="s">
        <v>3150</v>
      </c>
      <c r="N28" s="2895" t="s">
        <v>3084</v>
      </c>
      <c r="O28" s="3214">
        <f t="shared" si="0"/>
        <v>16.666730359594389</v>
      </c>
    </row>
    <row r="29" spans="1:15">
      <c r="A29" s="2895" t="s">
        <v>3153</v>
      </c>
      <c r="B29" s="2895" t="s">
        <v>3068</v>
      </c>
      <c r="C29" s="2895" t="s">
        <v>3069</v>
      </c>
      <c r="D29" s="2895">
        <v>150772</v>
      </c>
      <c r="E29" s="2895">
        <v>241235.20000000001</v>
      </c>
      <c r="F29" s="2895" t="s">
        <v>3154</v>
      </c>
      <c r="G29" s="2895" t="s">
        <v>3071</v>
      </c>
      <c r="H29" s="2895" t="s">
        <v>3155</v>
      </c>
      <c r="I29" s="2895">
        <v>30908.25</v>
      </c>
      <c r="J29" s="2895">
        <v>30908.25</v>
      </c>
      <c r="K29" s="2895">
        <v>1281.25</v>
      </c>
      <c r="L29" s="2895">
        <v>0</v>
      </c>
      <c r="M29" s="2895" t="s">
        <v>3156</v>
      </c>
      <c r="N29" s="2895" t="s">
        <v>3079</v>
      </c>
      <c r="O29" s="3214">
        <f t="shared" si="0"/>
        <v>136.66730578290398</v>
      </c>
    </row>
    <row r="30" spans="1:15">
      <c r="A30" s="2895" t="s">
        <v>3157</v>
      </c>
      <c r="B30" s="2895" t="s">
        <v>3068</v>
      </c>
      <c r="C30" s="2895" t="s">
        <v>3069</v>
      </c>
      <c r="D30" s="2895">
        <v>33493</v>
      </c>
      <c r="E30" s="2895">
        <v>43540.9</v>
      </c>
      <c r="F30" s="2895" t="s">
        <v>3081</v>
      </c>
      <c r="G30" s="2895" t="s">
        <v>3071</v>
      </c>
      <c r="H30" s="2895" t="s">
        <v>3158</v>
      </c>
      <c r="I30" s="2895">
        <v>837.33</v>
      </c>
      <c r="J30" s="2895">
        <v>837.33</v>
      </c>
      <c r="K30" s="2895">
        <v>192.31</v>
      </c>
      <c r="L30" s="2895">
        <v>0</v>
      </c>
      <c r="M30" s="2895" t="s">
        <v>3114</v>
      </c>
      <c r="N30" s="2895" t="s">
        <v>3079</v>
      </c>
      <c r="O30" s="3214">
        <f t="shared" si="0"/>
        <v>16.666849523781089</v>
      </c>
    </row>
    <row r="31" spans="1:15">
      <c r="A31" s="2895" t="s">
        <v>3159</v>
      </c>
      <c r="B31" s="2895" t="s">
        <v>3068</v>
      </c>
      <c r="C31" s="2895" t="s">
        <v>3069</v>
      </c>
      <c r="D31" s="2895">
        <v>29608</v>
      </c>
      <c r="E31" s="2895">
        <v>42931.6</v>
      </c>
      <c r="F31" s="2895" t="s">
        <v>3160</v>
      </c>
      <c r="G31" s="2895" t="s">
        <v>3071</v>
      </c>
      <c r="H31" s="2895" t="s">
        <v>3158</v>
      </c>
      <c r="I31" s="2895">
        <v>740.2</v>
      </c>
      <c r="J31" s="2895">
        <v>740.2</v>
      </c>
      <c r="K31" s="2895">
        <v>172.4</v>
      </c>
      <c r="L31" s="2895">
        <v>0</v>
      </c>
      <c r="M31" s="2895" t="s">
        <v>3114</v>
      </c>
      <c r="N31" s="2895" t="s">
        <v>3079</v>
      </c>
      <c r="O31" s="3214">
        <f t="shared" si="0"/>
        <v>16.66675</v>
      </c>
    </row>
    <row r="32" spans="1:15">
      <c r="A32" s="2895" t="s">
        <v>3161</v>
      </c>
      <c r="B32" s="2895" t="s">
        <v>3068</v>
      </c>
      <c r="C32" s="2895" t="s">
        <v>3069</v>
      </c>
      <c r="D32" s="2895">
        <v>58391</v>
      </c>
      <c r="E32" s="2895">
        <v>64230.1</v>
      </c>
      <c r="F32" s="2895" t="s">
        <v>3162</v>
      </c>
      <c r="G32" s="2895" t="s">
        <v>3071</v>
      </c>
      <c r="H32" s="2895" t="s">
        <v>3163</v>
      </c>
      <c r="I32" s="2895">
        <v>1459.77</v>
      </c>
      <c r="J32" s="2895">
        <v>1459.77</v>
      </c>
      <c r="K32" s="2895">
        <v>227.27</v>
      </c>
      <c r="L32" s="2895">
        <v>0</v>
      </c>
      <c r="M32" s="2895" t="s">
        <v>3114</v>
      </c>
      <c r="N32" s="2895" t="s">
        <v>3079</v>
      </c>
      <c r="O32" s="3214">
        <f t="shared" si="0"/>
        <v>16.666692913291431</v>
      </c>
    </row>
    <row r="33" spans="1:15">
      <c r="A33" s="2895" t="s">
        <v>3164</v>
      </c>
      <c r="B33" s="2895" t="s">
        <v>3068</v>
      </c>
      <c r="C33" s="2895" t="s">
        <v>3069</v>
      </c>
      <c r="D33" s="2895">
        <v>100614</v>
      </c>
      <c r="E33" s="2895">
        <v>201228</v>
      </c>
      <c r="F33" s="2895" t="s">
        <v>3076</v>
      </c>
      <c r="G33" s="2895" t="s">
        <v>3071</v>
      </c>
      <c r="H33" s="2895" t="s">
        <v>3165</v>
      </c>
      <c r="I33" s="2895">
        <v>62481.29</v>
      </c>
      <c r="J33" s="2895">
        <v>145789.70000000001</v>
      </c>
      <c r="K33" s="2895">
        <v>7245</v>
      </c>
      <c r="L33" s="2895">
        <v>133.33000000000001</v>
      </c>
      <c r="M33" s="2895" t="s">
        <v>3166</v>
      </c>
      <c r="N33" s="2895" t="s">
        <v>3084</v>
      </c>
      <c r="O33" s="3214">
        <f t="shared" si="0"/>
        <v>966.00492276422767</v>
      </c>
    </row>
    <row r="34" spans="1:15">
      <c r="A34" s="2895" t="s">
        <v>3167</v>
      </c>
      <c r="B34" s="2895" t="s">
        <v>3068</v>
      </c>
      <c r="C34" s="2895" t="s">
        <v>3069</v>
      </c>
      <c r="D34" s="2895">
        <v>92886</v>
      </c>
      <c r="E34" s="2895">
        <v>185772</v>
      </c>
      <c r="F34" s="2895" t="s">
        <v>3076</v>
      </c>
      <c r="G34" s="2895" t="s">
        <v>3071</v>
      </c>
      <c r="H34" s="2895" t="s">
        <v>3168</v>
      </c>
      <c r="I34" s="2895">
        <v>57998.01</v>
      </c>
      <c r="J34" s="2895">
        <v>133885.89000000001</v>
      </c>
      <c r="K34" s="2895">
        <v>7207</v>
      </c>
      <c r="L34" s="2895">
        <v>130.85</v>
      </c>
      <c r="M34" s="2895" t="s">
        <v>3169</v>
      </c>
      <c r="N34" s="2895" t="s">
        <v>3084</v>
      </c>
      <c r="O34" s="3214">
        <f t="shared" si="0"/>
        <v>960.93820690200891</v>
      </c>
    </row>
    <row r="35" spans="1:15">
      <c r="A35" s="2895" t="s">
        <v>3170</v>
      </c>
      <c r="B35" s="2895" t="s">
        <v>3068</v>
      </c>
      <c r="C35" s="2895" t="s">
        <v>3069</v>
      </c>
      <c r="D35" s="2895">
        <v>11574</v>
      </c>
      <c r="E35" s="2895">
        <v>16203.6</v>
      </c>
      <c r="F35" s="2895" t="s">
        <v>3086</v>
      </c>
      <c r="G35" s="2895" t="s">
        <v>3071</v>
      </c>
      <c r="H35" s="2895" t="s">
        <v>3171</v>
      </c>
      <c r="I35" s="2895">
        <v>289.35000000000002</v>
      </c>
      <c r="J35" s="2895">
        <v>289.35000000000002</v>
      </c>
      <c r="K35" s="2895">
        <v>178.56</v>
      </c>
      <c r="L35" s="2895">
        <v>0</v>
      </c>
      <c r="M35" s="2895" t="s">
        <v>3172</v>
      </c>
      <c r="N35" s="2895" t="s">
        <v>3084</v>
      </c>
      <c r="O35" s="3214">
        <f t="shared" si="0"/>
        <v>16.66675</v>
      </c>
    </row>
    <row r="36" spans="1:15">
      <c r="A36" s="2895" t="s">
        <v>3173</v>
      </c>
      <c r="B36" s="2895" t="s">
        <v>3068</v>
      </c>
      <c r="C36" s="2895" t="s">
        <v>3069</v>
      </c>
      <c r="D36" s="2895">
        <v>3627</v>
      </c>
      <c r="E36" s="2895">
        <v>7616.7</v>
      </c>
      <c r="F36" s="2895" t="s">
        <v>3174</v>
      </c>
      <c r="G36" s="2895" t="s">
        <v>3071</v>
      </c>
      <c r="H36" s="2895" t="s">
        <v>3175</v>
      </c>
      <c r="I36" s="2895">
        <v>2426.46</v>
      </c>
      <c r="J36" s="2895">
        <v>2430.09</v>
      </c>
      <c r="K36" s="2895">
        <v>3190.48</v>
      </c>
      <c r="L36" s="2895">
        <v>0.15</v>
      </c>
      <c r="M36" s="2895" t="s">
        <v>3176</v>
      </c>
      <c r="N36" s="2895" t="s">
        <v>3084</v>
      </c>
      <c r="O36" s="3214">
        <f t="shared" si="0"/>
        <v>446.66890000000001</v>
      </c>
    </row>
    <row r="37" spans="1:15">
      <c r="A37" s="2895" t="s">
        <v>3177</v>
      </c>
      <c r="B37" s="2895" t="s">
        <v>3068</v>
      </c>
      <c r="C37" s="2895" t="s">
        <v>3069</v>
      </c>
      <c r="D37" s="2895">
        <v>19707</v>
      </c>
      <c r="E37" s="2895">
        <v>61091.7</v>
      </c>
      <c r="F37" s="2895" t="s">
        <v>3178</v>
      </c>
      <c r="G37" s="2895" t="s">
        <v>3071</v>
      </c>
      <c r="H37" s="2895" t="s">
        <v>3179</v>
      </c>
      <c r="I37" s="2895">
        <v>1655.39</v>
      </c>
      <c r="J37" s="2895">
        <v>1655.39</v>
      </c>
      <c r="K37" s="2895">
        <v>270.97000000000003</v>
      </c>
      <c r="L37" s="2895">
        <v>0</v>
      </c>
      <c r="M37" s="2895" t="s">
        <v>3180</v>
      </c>
      <c r="N37" s="2895" t="s">
        <v>3079</v>
      </c>
      <c r="O37" s="3214">
        <f t="shared" si="0"/>
        <v>56.000347658192524</v>
      </c>
    </row>
    <row r="38" spans="1:15">
      <c r="A38" s="2895" t="s">
        <v>3181</v>
      </c>
      <c r="B38" s="2895" t="s">
        <v>3068</v>
      </c>
      <c r="C38" s="2895" t="s">
        <v>3069</v>
      </c>
      <c r="D38" s="2895">
        <v>66666</v>
      </c>
      <c r="E38" s="2895">
        <v>166665</v>
      </c>
      <c r="F38" s="2895" t="s">
        <v>3182</v>
      </c>
      <c r="G38" s="2895" t="s">
        <v>3071</v>
      </c>
      <c r="H38" s="2895" t="s">
        <v>3183</v>
      </c>
      <c r="I38" s="2895">
        <v>26933.06</v>
      </c>
      <c r="J38" s="2895">
        <v>27599.72</v>
      </c>
      <c r="K38" s="2895">
        <v>1656</v>
      </c>
      <c r="L38" s="2895">
        <v>2.48</v>
      </c>
      <c r="M38" s="2895" t="s">
        <v>3184</v>
      </c>
      <c r="N38" s="2895" t="s">
        <v>3084</v>
      </c>
      <c r="O38" s="3214">
        <f t="shared" si="0"/>
        <v>276.00133999939999</v>
      </c>
    </row>
    <row r="39" spans="1:15">
      <c r="A39" s="2895" t="s">
        <v>3181</v>
      </c>
      <c r="B39" s="2895" t="s">
        <v>3068</v>
      </c>
      <c r="C39" s="2895" t="s">
        <v>3069</v>
      </c>
      <c r="D39" s="2895">
        <v>26667</v>
      </c>
      <c r="E39" s="2895">
        <v>66667.5</v>
      </c>
      <c r="F39" s="2895" t="s">
        <v>3182</v>
      </c>
      <c r="G39" s="2895" t="s">
        <v>3071</v>
      </c>
      <c r="H39" s="2895" t="s">
        <v>3183</v>
      </c>
      <c r="I39" s="2895">
        <v>10773.46</v>
      </c>
      <c r="J39" s="2895">
        <v>11040.13</v>
      </c>
      <c r="K39" s="2895">
        <v>1656</v>
      </c>
      <c r="L39" s="2895">
        <v>2.48</v>
      </c>
      <c r="M39" s="2895" t="s">
        <v>3184</v>
      </c>
      <c r="N39" s="2895" t="s">
        <v>3084</v>
      </c>
      <c r="O39" s="3214">
        <f t="shared" si="0"/>
        <v>276.00118000149996</v>
      </c>
    </row>
    <row r="40" spans="1:15">
      <c r="A40" s="2895" t="s">
        <v>3185</v>
      </c>
      <c r="B40" s="2895" t="s">
        <v>3068</v>
      </c>
      <c r="C40" s="2895" t="s">
        <v>3069</v>
      </c>
      <c r="D40" s="2895">
        <v>40157</v>
      </c>
      <c r="E40" s="2895">
        <v>86337.55</v>
      </c>
      <c r="F40" s="2895" t="s">
        <v>3186</v>
      </c>
      <c r="G40" s="2895" t="s">
        <v>3071</v>
      </c>
      <c r="H40" s="2895" t="s">
        <v>3187</v>
      </c>
      <c r="I40" s="2895">
        <v>13267.87</v>
      </c>
      <c r="J40" s="2895">
        <v>32824.33</v>
      </c>
      <c r="K40" s="2895">
        <v>3801.86</v>
      </c>
      <c r="L40" s="2895">
        <v>147.4</v>
      </c>
      <c r="M40" s="2895" t="s">
        <v>3188</v>
      </c>
      <c r="N40" s="2895" t="s">
        <v>3115</v>
      </c>
      <c r="O40" s="3214">
        <f t="shared" si="0"/>
        <v>544.93602811714027</v>
      </c>
    </row>
    <row r="41" spans="1:15">
      <c r="A41" s="2895" t="s">
        <v>3189</v>
      </c>
      <c r="B41" s="2895" t="s">
        <v>3068</v>
      </c>
      <c r="C41" s="2895" t="s">
        <v>3069</v>
      </c>
      <c r="D41" s="2895">
        <v>45368</v>
      </c>
      <c r="E41" s="2895">
        <v>77125.600000000006</v>
      </c>
      <c r="F41" s="2895" t="s">
        <v>3190</v>
      </c>
      <c r="G41" s="2895" t="s">
        <v>3071</v>
      </c>
      <c r="H41" s="2895" t="s">
        <v>3191</v>
      </c>
      <c r="I41" s="2895">
        <v>1134.2</v>
      </c>
      <c r="J41" s="2895">
        <v>1134.2</v>
      </c>
      <c r="K41" s="2895">
        <v>147.06</v>
      </c>
      <c r="L41" s="2895">
        <v>0</v>
      </c>
      <c r="M41" s="2895" t="s">
        <v>3172</v>
      </c>
      <c r="N41" s="2895" t="s">
        <v>3084</v>
      </c>
      <c r="O41" s="3214">
        <f t="shared" si="0"/>
        <v>16.666749999999997</v>
      </c>
    </row>
    <row r="42" spans="1:15">
      <c r="A42" s="2895" t="s">
        <v>3189</v>
      </c>
      <c r="B42" s="2895" t="s">
        <v>3068</v>
      </c>
      <c r="C42" s="2895" t="s">
        <v>3069</v>
      </c>
      <c r="D42" s="2895">
        <v>45211</v>
      </c>
      <c r="E42" s="2895">
        <v>76858.7</v>
      </c>
      <c r="F42" s="2895" t="s">
        <v>3190</v>
      </c>
      <c r="G42" s="2895" t="s">
        <v>3071</v>
      </c>
      <c r="H42" s="2895" t="s">
        <v>3191</v>
      </c>
      <c r="I42" s="2895">
        <v>1130.27</v>
      </c>
      <c r="J42" s="2895">
        <v>1130.27</v>
      </c>
      <c r="K42" s="2895">
        <v>147.06</v>
      </c>
      <c r="L42" s="2895">
        <v>0</v>
      </c>
      <c r="M42" s="2895" t="s">
        <v>3172</v>
      </c>
      <c r="N42" s="2895" t="s">
        <v>3079</v>
      </c>
      <c r="O42" s="3214">
        <f t="shared" si="0"/>
        <v>16.666676271261416</v>
      </c>
    </row>
    <row r="43" spans="1:15">
      <c r="A43" s="2895" t="s">
        <v>3192</v>
      </c>
      <c r="B43" s="2895" t="s">
        <v>3068</v>
      </c>
      <c r="C43" s="2895" t="s">
        <v>3069</v>
      </c>
      <c r="D43" s="2895">
        <v>66666</v>
      </c>
      <c r="E43" s="2895">
        <v>166665</v>
      </c>
      <c r="F43" s="2895" t="s">
        <v>3182</v>
      </c>
      <c r="G43" s="2895" t="s">
        <v>3071</v>
      </c>
      <c r="H43" s="2895" t="s">
        <v>3193</v>
      </c>
      <c r="I43" s="2895">
        <v>26933.06</v>
      </c>
      <c r="J43" s="2895">
        <v>27599.72</v>
      </c>
      <c r="K43" s="2895">
        <v>1656</v>
      </c>
      <c r="L43" s="2895">
        <v>2.48</v>
      </c>
      <c r="M43" s="2895" t="s">
        <v>3184</v>
      </c>
      <c r="N43" s="2895" t="s">
        <v>3084</v>
      </c>
      <c r="O43" s="3214">
        <f t="shared" si="0"/>
        <v>276.00133999939999</v>
      </c>
    </row>
    <row r="44" spans="1:15">
      <c r="A44" s="2895" t="s">
        <v>3192</v>
      </c>
      <c r="B44" s="2895" t="s">
        <v>3068</v>
      </c>
      <c r="C44" s="2895" t="s">
        <v>3069</v>
      </c>
      <c r="D44" s="2895">
        <v>58667</v>
      </c>
      <c r="E44" s="2895">
        <v>146667.5</v>
      </c>
      <c r="F44" s="2895" t="s">
        <v>3182</v>
      </c>
      <c r="G44" s="2895" t="s">
        <v>3071</v>
      </c>
      <c r="H44" s="2895" t="s">
        <v>3193</v>
      </c>
      <c r="I44" s="2895">
        <v>23701.47</v>
      </c>
      <c r="J44" s="2895">
        <v>24288.13</v>
      </c>
      <c r="K44" s="2895">
        <v>1656</v>
      </c>
      <c r="L44" s="2895">
        <v>2.48</v>
      </c>
      <c r="M44" s="2895" t="s">
        <v>3184</v>
      </c>
      <c r="N44" s="2895" t="s">
        <v>3084</v>
      </c>
      <c r="O44" s="3214">
        <f t="shared" si="0"/>
        <v>276.00128909097106</v>
      </c>
    </row>
    <row r="45" spans="1:15">
      <c r="A45" s="2895" t="s">
        <v>3194</v>
      </c>
      <c r="B45" s="2895" t="s">
        <v>3068</v>
      </c>
      <c r="C45" s="2895" t="s">
        <v>3069</v>
      </c>
      <c r="D45" s="2895">
        <v>7508</v>
      </c>
      <c r="E45" s="2895">
        <v>14265.2</v>
      </c>
      <c r="F45" s="2895" t="s">
        <v>3195</v>
      </c>
      <c r="G45" s="2895" t="s">
        <v>3071</v>
      </c>
      <c r="H45" s="2895" t="s">
        <v>3196</v>
      </c>
      <c r="I45" s="2895">
        <v>187.69</v>
      </c>
      <c r="J45" s="2895">
        <v>187.69</v>
      </c>
      <c r="K45" s="2895">
        <v>131.58000000000001</v>
      </c>
      <c r="L45" s="2895">
        <v>0</v>
      </c>
      <c r="M45" s="2895" t="s">
        <v>3197</v>
      </c>
      <c r="N45" s="2895" t="s">
        <v>3079</v>
      </c>
      <c r="O45" s="3214">
        <f t="shared" si="0"/>
        <v>16.665862053809267</v>
      </c>
    </row>
    <row r="46" spans="1:15">
      <c r="A46" s="2895" t="s">
        <v>3198</v>
      </c>
      <c r="B46" s="2895" t="s">
        <v>3068</v>
      </c>
      <c r="C46" s="2895" t="s">
        <v>3069</v>
      </c>
      <c r="D46" s="2895">
        <v>1819</v>
      </c>
      <c r="E46" s="2895">
        <v>3456.1</v>
      </c>
      <c r="F46" s="2895" t="s">
        <v>3195</v>
      </c>
      <c r="G46" s="2895" t="s">
        <v>3071</v>
      </c>
      <c r="H46" s="2895" t="s">
        <v>3196</v>
      </c>
      <c r="I46" s="2895">
        <v>45.47</v>
      </c>
      <c r="J46" s="2895">
        <v>45.47</v>
      </c>
      <c r="K46" s="2895">
        <v>131.59</v>
      </c>
      <c r="L46" s="2895">
        <v>0</v>
      </c>
      <c r="M46" s="2895" t="s">
        <v>3197</v>
      </c>
      <c r="N46" s="2895" t="s">
        <v>3079</v>
      </c>
      <c r="O46" s="3214">
        <f t="shared" si="0"/>
        <v>16.664917482133038</v>
      </c>
    </row>
    <row r="47" spans="1:15">
      <c r="A47" s="2895" t="s">
        <v>3199</v>
      </c>
      <c r="B47" s="2895" t="s">
        <v>3068</v>
      </c>
      <c r="C47" s="2895" t="s">
        <v>3069</v>
      </c>
      <c r="D47" s="2895">
        <v>21530</v>
      </c>
      <c r="E47" s="2895">
        <v>38754</v>
      </c>
      <c r="F47" s="2895" t="s">
        <v>3200</v>
      </c>
      <c r="G47" s="2895" t="s">
        <v>3071</v>
      </c>
      <c r="H47" s="2895" t="s">
        <v>3201</v>
      </c>
      <c r="I47" s="2895">
        <v>491.19</v>
      </c>
      <c r="J47" s="2895">
        <v>538.25</v>
      </c>
      <c r="K47" s="2895">
        <v>138.88</v>
      </c>
      <c r="L47" s="2895">
        <v>9.58</v>
      </c>
      <c r="M47" s="2895" t="s">
        <v>3114</v>
      </c>
      <c r="N47" s="2895" t="s">
        <v>3079</v>
      </c>
      <c r="O47" s="3214">
        <f t="shared" si="0"/>
        <v>16.66675</v>
      </c>
    </row>
    <row r="48" spans="1:15">
      <c r="A48" s="2895" t="s">
        <v>3199</v>
      </c>
      <c r="B48" s="2895" t="s">
        <v>3068</v>
      </c>
      <c r="C48" s="2895" t="s">
        <v>3069</v>
      </c>
      <c r="D48" s="2895">
        <v>19648</v>
      </c>
      <c r="E48" s="2895">
        <v>35366.400000000001</v>
      </c>
      <c r="F48" s="2895" t="s">
        <v>3200</v>
      </c>
      <c r="G48" s="2895" t="s">
        <v>3071</v>
      </c>
      <c r="H48" s="2895" t="s">
        <v>3201</v>
      </c>
      <c r="I48" s="2895">
        <v>491.19</v>
      </c>
      <c r="J48" s="2895">
        <v>491.19</v>
      </c>
      <c r="K48" s="2895">
        <v>138.88</v>
      </c>
      <c r="L48" s="2895">
        <v>0</v>
      </c>
      <c r="M48" s="2895" t="s">
        <v>3114</v>
      </c>
      <c r="N48" s="2895" t="s">
        <v>3079</v>
      </c>
      <c r="O48" s="3214">
        <f t="shared" si="0"/>
        <v>16.666410693200323</v>
      </c>
    </row>
    <row r="49" spans="1:14">
      <c r="A49" s="2895" t="s">
        <v>3202</v>
      </c>
      <c r="B49" s="2895" t="s">
        <v>3068</v>
      </c>
      <c r="C49" s="2895" t="s">
        <v>3069</v>
      </c>
      <c r="D49" s="2895">
        <v>18831</v>
      </c>
      <c r="E49" s="2895">
        <v>37662</v>
      </c>
      <c r="F49" s="2895" t="s">
        <v>3203</v>
      </c>
      <c r="G49" s="2895" t="s">
        <v>3071</v>
      </c>
      <c r="H49" s="2895" t="s">
        <v>3204</v>
      </c>
      <c r="I49" s="2895">
        <v>470.76</v>
      </c>
      <c r="J49" s="2895">
        <v>470.77</v>
      </c>
      <c r="K49" s="2895">
        <v>125</v>
      </c>
      <c r="L49" s="2895">
        <v>0</v>
      </c>
      <c r="M49" s="2895" t="s">
        <v>3205</v>
      </c>
      <c r="N49" s="2895" t="s">
        <v>3079</v>
      </c>
    </row>
    <row r="50" spans="1:14">
      <c r="A50" s="2895" t="s">
        <v>3206</v>
      </c>
      <c r="B50" s="2895" t="s">
        <v>3068</v>
      </c>
      <c r="C50" s="2895" t="s">
        <v>3069</v>
      </c>
      <c r="D50" s="2895">
        <v>10726</v>
      </c>
      <c r="E50" s="2895">
        <v>23597.200000000001</v>
      </c>
      <c r="F50" s="2895" t="s">
        <v>3207</v>
      </c>
      <c r="G50" s="2895" t="s">
        <v>3071</v>
      </c>
      <c r="H50" s="2895" t="s">
        <v>3208</v>
      </c>
      <c r="I50" s="2895">
        <v>643.54999999999995</v>
      </c>
      <c r="J50" s="2895">
        <v>643.54999999999995</v>
      </c>
      <c r="K50" s="2895">
        <v>272.73</v>
      </c>
      <c r="L50" s="2895">
        <v>0</v>
      </c>
      <c r="M50" s="2895" t="s">
        <v>3209</v>
      </c>
      <c r="N50" s="2895" t="s">
        <v>3079</v>
      </c>
    </row>
    <row r="51" spans="1:14">
      <c r="A51" s="2895" t="s">
        <v>3210</v>
      </c>
      <c r="B51" s="2895" t="s">
        <v>3068</v>
      </c>
      <c r="C51" s="2895" t="s">
        <v>3069</v>
      </c>
      <c r="D51" s="2895">
        <v>56127</v>
      </c>
      <c r="E51" s="2895">
        <v>140317.5</v>
      </c>
      <c r="F51" s="2895" t="s">
        <v>3211</v>
      </c>
      <c r="G51" s="2895" t="s">
        <v>3071</v>
      </c>
      <c r="H51" s="2895" t="s">
        <v>3212</v>
      </c>
      <c r="I51" s="2895">
        <v>9670.68</v>
      </c>
      <c r="J51" s="2895">
        <v>19661.29</v>
      </c>
      <c r="K51" s="2895">
        <v>1401.2</v>
      </c>
      <c r="L51" s="2895">
        <v>103.31</v>
      </c>
      <c r="M51" s="2895" t="s">
        <v>3213</v>
      </c>
      <c r="N51" s="2895" t="s">
        <v>3079</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4" sqref="L24"/>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12</v>
      </c>
    </row>
    <row r="2" spans="1:31" s="2027" customFormat="1" ht="18" customHeight="1">
      <c r="A2" s="2087" t="s">
        <v>467</v>
      </c>
      <c r="B2" s="2091">
        <f ca="1">C36</f>
        <v>89345</v>
      </c>
      <c r="C2" s="2090"/>
      <c r="D2" s="2090"/>
      <c r="E2" s="2090"/>
      <c r="F2" s="2090"/>
      <c r="G2" s="2090"/>
      <c r="H2" s="2090"/>
      <c r="I2" s="2090"/>
      <c r="J2" s="2090"/>
      <c r="K2" s="2090"/>
    </row>
    <row r="3" spans="1:31" s="2027" customFormat="1" ht="18" customHeight="1">
      <c r="A3" s="2092" t="s">
        <v>1684</v>
      </c>
      <c r="B3" s="2093">
        <f ca="1">ROUND(B2*10000/IF(B1="",'数据-汇总表'!E3,INDIRECT("'数据-取费表'!K"&amp;$K$1)),0)</f>
        <v>2956</v>
      </c>
      <c r="C3" s="2090"/>
      <c r="D3" s="2090"/>
      <c r="E3" s="2090"/>
      <c r="F3" s="2090"/>
      <c r="G3" s="2090"/>
      <c r="H3" s="2090"/>
      <c r="I3" s="2090"/>
      <c r="J3" s="2090"/>
      <c r="K3" s="2090"/>
    </row>
    <row r="4" spans="1:31" s="2027" customFormat="1" ht="18" customHeight="1">
      <c r="A4" s="426" t="s">
        <v>468</v>
      </c>
      <c r="B4" s="427">
        <f ca="1">ROUND(B2*10000/IF(B1="",'数据-汇总表'!D3,INDIRECT("'数据-取费表'!R"&amp;$K$1)),0)</f>
        <v>8478</v>
      </c>
      <c r="C4" s="428"/>
      <c r="D4" s="422"/>
      <c r="E4" s="422"/>
      <c r="F4" s="422"/>
      <c r="G4" s="422"/>
      <c r="H4" s="422"/>
      <c r="I4" s="422"/>
      <c r="J4" s="422"/>
      <c r="K4" s="422"/>
    </row>
    <row r="5" spans="1:31" s="2027" customFormat="1" ht="18" customHeight="1" thickBot="1">
      <c r="A5" s="429"/>
      <c r="B5" s="430">
        <f ca="1">ROUND(B2/(IF(B1="",'数据-汇总表'!D3,INDIRECT("'数据-取费表'!R"&amp;$K$1))/666.67),0)</f>
        <v>565</v>
      </c>
      <c r="C5" s="431" t="s">
        <v>469</v>
      </c>
      <c r="D5" s="422"/>
      <c r="E5" s="422"/>
      <c r="F5" s="422"/>
      <c r="G5" s="422"/>
      <c r="H5" s="422"/>
      <c r="I5" s="422"/>
      <c r="J5" s="422"/>
      <c r="K5" s="422"/>
    </row>
    <row r="6" spans="1:31" s="2097" customFormat="1" ht="16.5" customHeight="1">
      <c r="A6" s="2784" t="s">
        <v>1842</v>
      </c>
      <c r="B6" s="2785"/>
      <c r="C6" s="2786">
        <f ca="1">SUM(C10:K10)</f>
        <v>290477</v>
      </c>
      <c r="D6" s="2785"/>
      <c r="E6" s="2785"/>
      <c r="F6" s="2785"/>
      <c r="G6" s="2785"/>
      <c r="H6" s="2785"/>
      <c r="I6" s="2785"/>
      <c r="J6" s="2785"/>
      <c r="K6" s="2787"/>
    </row>
    <row r="7" spans="1:31" s="2099" customFormat="1" ht="15">
      <c r="A7" s="2788" t="s">
        <v>470</v>
      </c>
      <c r="B7" s="2789" t="s">
        <v>471</v>
      </c>
      <c r="C7" s="436" t="s">
        <v>923</v>
      </c>
      <c r="D7" s="436" t="s">
        <v>3001</v>
      </c>
      <c r="E7" s="436" t="s">
        <v>2999</v>
      </c>
      <c r="F7" s="436" t="s">
        <v>3005</v>
      </c>
      <c r="G7" s="436" t="s">
        <v>3052</v>
      </c>
      <c r="H7" s="436" t="s">
        <v>3277</v>
      </c>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12507</v>
      </c>
      <c r="D8" s="2790">
        <f>'不动产比较法-住宅 (叠拼)'!B3</f>
        <v>13999</v>
      </c>
      <c r="E8" s="2790">
        <f ca="1">不动产收益法!B3</f>
        <v>9346</v>
      </c>
      <c r="F8" s="2790">
        <f ca="1">'不动产收益法 (车库)'!B3</f>
        <v>2309</v>
      </c>
      <c r="G8" s="2790">
        <f ca="1">'不动产收益法 (高层仓促)'!B3</f>
        <v>2106</v>
      </c>
      <c r="H8" s="2790">
        <v>0</v>
      </c>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167854.67</v>
      </c>
      <c r="D9" s="441">
        <f>SUMIF('数据-汇总表'!$C19:$C33,'剩余法-待开发'!D7,'数据-汇总表'!$E19:$E33)</f>
        <v>47476.27</v>
      </c>
      <c r="E9" s="441">
        <f>SUMIF('数据-汇总表'!$C19:$C33,'剩余法-待开发'!E7,'数据-汇总表'!$E19:$E33)</f>
        <v>1947.33</v>
      </c>
      <c r="F9" s="441">
        <f>SUMIF('数据-汇总表'!$C19:$C33,'剩余法-待开发'!F7,'数据-汇总表'!$E19:$E33)</f>
        <v>47196.729999999996</v>
      </c>
      <c r="G9" s="441">
        <f>SUMIF('数据-汇总表'!$C19:$C33,'剩余法-待开发'!G7,'数据-汇总表'!$E19:$E33)</f>
        <v>6458.14</v>
      </c>
      <c r="H9" s="441">
        <f>SUMIF('数据-汇总表'!$C19:$C33,'剩余法-待开发'!H7,'数据-汇总表'!$E19:$E33)</f>
        <v>11074.19</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f>'不动产比较法-住宅'!B2</f>
        <v>209936</v>
      </c>
      <c r="D10" s="2981">
        <f>'不动产比较法-住宅 (叠拼)'!B2</f>
        <v>66462</v>
      </c>
      <c r="E10" s="2981">
        <f ca="1">不动产收益法!B2</f>
        <v>1820</v>
      </c>
      <c r="F10" s="2793">
        <f ca="1">'不动产收益法 (车库)'!B2</f>
        <v>10899</v>
      </c>
      <c r="G10" s="2793">
        <f ca="1">'不动产收益法 (高层仓促)'!B2</f>
        <v>1360</v>
      </c>
      <c r="H10" s="2793">
        <v>0</v>
      </c>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93135</v>
      </c>
      <c r="D13" s="2800"/>
      <c r="E13" s="2801"/>
      <c r="F13" s="2802"/>
      <c r="G13" s="2768"/>
      <c r="H13" s="2769"/>
      <c r="I13" s="2769"/>
      <c r="J13" s="2769"/>
      <c r="K13" s="2770"/>
    </row>
    <row r="14" spans="1:31" s="2102" customFormat="1" ht="13.5" customHeight="1">
      <c r="A14" s="2798" t="s">
        <v>1849</v>
      </c>
      <c r="B14" s="2799" t="s">
        <v>480</v>
      </c>
      <c r="C14" s="53">
        <f ca="1">ROUND(C13*F14,0)</f>
        <v>2794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3566</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6044</v>
      </c>
      <c r="D16" s="2800">
        <f ca="1">IF(B1="",'数据-汇总表'!E3,INDIRECT("'数据-取费表'!K"&amp;$K$1)+INDIRECT("'数据-取费表'!S"&amp;$K$1))</f>
        <v>302223.06</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1397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106936</v>
      </c>
      <c r="D18" s="2809"/>
      <c r="E18" s="468"/>
      <c r="F18" s="468"/>
      <c r="G18" s="2772" t="s">
        <v>2430</v>
      </c>
      <c r="H18" s="2773"/>
      <c r="I18" s="2773"/>
      <c r="J18" s="2773"/>
      <c r="K18" s="2774"/>
    </row>
    <row r="19" spans="1:14" s="2102" customFormat="1" ht="13.5" customHeight="1">
      <c r="A19" s="2806" t="s">
        <v>1854</v>
      </c>
      <c r="B19" s="2807" t="s">
        <v>488</v>
      </c>
      <c r="C19" s="2764">
        <f ca="1">ROUND(D19*E19/10000,0)</f>
        <v>3022</v>
      </c>
      <c r="D19" s="2810">
        <f ca="1">D16</f>
        <v>302223.06</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2720</v>
      </c>
      <c r="D20" s="2810"/>
      <c r="E20" s="2764"/>
      <c r="F20" s="2811"/>
      <c r="G20" s="3040"/>
      <c r="H20" s="2766"/>
      <c r="I20" s="2767" t="s">
        <v>2651</v>
      </c>
      <c r="J20" s="2773"/>
      <c r="K20" s="2774"/>
    </row>
    <row r="21" spans="1:14" s="2102" customFormat="1" ht="13.5" customHeight="1">
      <c r="A21" s="2798" t="s">
        <v>1856</v>
      </c>
      <c r="B21" s="2799" t="s">
        <v>491</v>
      </c>
      <c r="C21" s="53">
        <f ca="1">ROUND(D21*E21/10000,0)</f>
        <v>1938</v>
      </c>
      <c r="D21" s="2800">
        <f ca="1">IF(B1="",'数据-汇总表'!E5,IF(INDIRECT("'数据-取费表'!c"&amp;$K$1)="住宅",INDIRECT("'数据-取费表'!k"&amp;$K$1),0))</f>
        <v>215330.94</v>
      </c>
      <c r="E21" s="53">
        <f>'数据-取费表'!B27</f>
        <v>90</v>
      </c>
      <c r="F21" s="2803"/>
      <c r="G21" s="26"/>
      <c r="H21" s="51"/>
      <c r="I21" s="51"/>
      <c r="J21" s="51"/>
      <c r="K21" s="2775"/>
    </row>
    <row r="22" spans="1:14" s="2102" customFormat="1" ht="13.5" customHeight="1">
      <c r="A22" s="2798" t="s">
        <v>1857</v>
      </c>
      <c r="B22" s="2799" t="s">
        <v>492</v>
      </c>
      <c r="C22" s="53">
        <f ca="1">ROUND(D22*E22/10000,0)</f>
        <v>782</v>
      </c>
      <c r="D22" s="2800">
        <f ca="1">IF(B1="",'数据-汇总表'!E6,IF(INDIRECT("'数据-取费表'!c"&amp;$K$1)="住宅",INDIRECT("'数据-取费表'!s"&amp;$K$1),INDIRECT("'数据-取费表'!k"&amp;$K$1)+INDIRECT("'数据-取费表'!s"&amp;$K$1)))</f>
        <v>86892.12</v>
      </c>
      <c r="E22" s="53">
        <f>'数据-取费表'!B28</f>
        <v>90</v>
      </c>
      <c r="F22" s="2803"/>
      <c r="G22" s="26"/>
      <c r="H22" s="51"/>
      <c r="I22" s="51"/>
      <c r="J22" s="51"/>
      <c r="K22" s="2775"/>
    </row>
    <row r="23" spans="1:14" s="2102" customFormat="1" ht="13.5" customHeight="1">
      <c r="A23" s="2806" t="s">
        <v>1858</v>
      </c>
      <c r="B23" s="2987" t="s">
        <v>2834</v>
      </c>
      <c r="C23" s="2808">
        <f ca="1">ROUND((C18+C19+C20)*F23,0)</f>
        <v>2254</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7" t="s">
        <v>2837</v>
      </c>
      <c r="C24" s="2808">
        <f ca="1">ROUND(C6*F24,0)</f>
        <v>5810</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7"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8" t="s">
        <v>2836</v>
      </c>
      <c r="C26" s="2813">
        <f ca="1">C28</f>
        <v>10215</v>
      </c>
      <c r="D26" s="467">
        <f ca="1">C27</f>
        <v>0.18149999999999999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0.18149999999999999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10215</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15215</v>
      </c>
      <c r="D29" s="468"/>
      <c r="E29" s="468"/>
      <c r="F29" s="2989">
        <f>'数据-取费表'!B41</f>
        <v>5.5000000000000007E-2</v>
      </c>
      <c r="G29" s="2777" t="s">
        <v>498</v>
      </c>
      <c r="H29" s="2769"/>
      <c r="I29" s="2769"/>
      <c r="J29" s="2769"/>
      <c r="K29" s="2770"/>
    </row>
    <row r="30" spans="1:14" s="2107" customFormat="1" ht="13.5" customHeight="1">
      <c r="A30" s="1621" t="s">
        <v>1863</v>
      </c>
      <c r="B30" s="2818" t="s">
        <v>500</v>
      </c>
      <c r="C30" s="2813">
        <f ca="1">C31</f>
        <v>146172</v>
      </c>
      <c r="D30" s="477">
        <f ca="1">C32</f>
        <v>0.21049999999999999</v>
      </c>
      <c r="E30" s="469" t="s">
        <v>495</v>
      </c>
      <c r="F30" s="471"/>
      <c r="G30" s="2776" t="s">
        <v>2973</v>
      </c>
      <c r="H30" s="2769"/>
      <c r="I30" s="2769"/>
      <c r="J30" s="2769"/>
      <c r="K30" s="2770"/>
    </row>
    <row r="31" spans="1:14" s="2106" customFormat="1" ht="13.5" customHeight="1">
      <c r="A31" s="803" t="s">
        <v>1856</v>
      </c>
      <c r="B31" s="2814"/>
      <c r="C31" s="450">
        <f ca="1">C18+C19+C20+C23+C24+C26+C29</f>
        <v>146172</v>
      </c>
      <c r="D31" s="472"/>
      <c r="E31" s="473"/>
      <c r="F31" s="474"/>
      <c r="G31" s="261"/>
      <c r="H31" s="2771"/>
      <c r="I31" s="2771"/>
      <c r="J31" s="2771"/>
      <c r="K31" s="279"/>
    </row>
    <row r="32" spans="1:14" s="2106" customFormat="1" ht="13.5" customHeight="1">
      <c r="A32" s="803" t="s">
        <v>1857</v>
      </c>
      <c r="B32" s="2814"/>
      <c r="C32" s="53">
        <f ca="1">ROUND(C25+D26,4)</f>
        <v>0.21049999999999999</v>
      </c>
      <c r="D32" s="472"/>
      <c r="E32" s="473"/>
      <c r="F32" s="474"/>
      <c r="G32" s="261"/>
      <c r="H32" s="2771"/>
      <c r="I32" s="2771"/>
      <c r="J32" s="2771"/>
      <c r="K32" s="279"/>
    </row>
    <row r="33" spans="1:11" s="2108" customFormat="1" ht="13.5" customHeight="1">
      <c r="A33" s="2986" t="s">
        <v>2833</v>
      </c>
      <c r="B33" s="2984" t="s">
        <v>2831</v>
      </c>
      <c r="C33" s="478">
        <f ca="1">C35</f>
        <v>20526</v>
      </c>
      <c r="D33" s="467">
        <f ca="1">C34</f>
        <v>0.1749</v>
      </c>
      <c r="E33" s="469" t="s">
        <v>495</v>
      </c>
      <c r="F33" s="479">
        <f ca="1">IF(B1="",'数据-取费表'!Q16,INDIRECT("'数据-取费表'!q"&amp;$K$1))</f>
        <v>0.17</v>
      </c>
      <c r="G33" s="2772"/>
      <c r="H33" s="2773"/>
      <c r="I33" s="2773"/>
      <c r="J33" s="2773"/>
      <c r="K33" s="2774"/>
    </row>
    <row r="34" spans="1:11" s="2109" customFormat="1" ht="13.5" customHeight="1">
      <c r="A34" s="375" t="s">
        <v>1856</v>
      </c>
      <c r="B34" s="2819" t="s">
        <v>501</v>
      </c>
      <c r="C34" s="472">
        <f ca="1">ROUND((1+C25)*F33,4)</f>
        <v>0.1749</v>
      </c>
      <c r="D34" s="472"/>
      <c r="E34" s="473"/>
      <c r="F34" s="480"/>
      <c r="G34" s="261" t="s">
        <v>2290</v>
      </c>
      <c r="H34" s="2771"/>
      <c r="I34" s="2771"/>
      <c r="J34" s="2771"/>
      <c r="K34" s="279"/>
    </row>
    <row r="35" spans="1:11" s="2109" customFormat="1" ht="13.5" customHeight="1" thickBot="1">
      <c r="A35" s="1622" t="s">
        <v>1857</v>
      </c>
      <c r="B35" s="2985" t="s">
        <v>2839</v>
      </c>
      <c r="C35" s="1614">
        <f ca="1">ROUND((C18+C19+C20+C23+C24)*F33,0)</f>
        <v>20526</v>
      </c>
      <c r="D35" s="1615"/>
      <c r="E35" s="2820"/>
      <c r="F35" s="1616"/>
      <c r="G35" s="2778"/>
      <c r="H35" s="2779"/>
      <c r="I35" s="2779"/>
      <c r="J35" s="2779"/>
      <c r="K35" s="2780"/>
    </row>
    <row r="36" spans="1:11" s="2071" customFormat="1" ht="13.5" customHeight="1" thickBot="1">
      <c r="A36" s="284" t="s">
        <v>1844</v>
      </c>
      <c r="B36" s="2782"/>
      <c r="C36" s="2821">
        <f ca="1">ROUND((C6-C30-C33)/(1+D30+D33),0)</f>
        <v>89345</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12</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93135</v>
      </c>
      <c r="D13" s="451"/>
      <c r="E13" s="365"/>
      <c r="F13" s="452"/>
      <c r="G13" s="444"/>
      <c r="H13" s="447"/>
      <c r="I13" s="447"/>
      <c r="J13" s="447"/>
      <c r="K13" s="448"/>
    </row>
    <row r="14" spans="1:41" s="2102" customFormat="1" ht="13.5" customHeight="1">
      <c r="A14" s="1619" t="s">
        <v>1849</v>
      </c>
      <c r="B14" s="449" t="s">
        <v>480</v>
      </c>
      <c r="C14" s="53">
        <f ca="1">ROUND(C13*F14,0)</f>
        <v>2794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3566</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6044</v>
      </c>
      <c r="D16" s="451">
        <f ca="1">IF(B1="",'数据-汇总表'!E3,INDIRECT("'数据-取费表'!K"&amp;$K$1)+INDIRECT("'数据-取费表'!S"&amp;$K$1))</f>
        <v>302223.06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1397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106936</v>
      </c>
      <c r="D18" s="461"/>
      <c r="E18" s="462"/>
      <c r="F18" s="462"/>
      <c r="G18" s="1323" t="s">
        <v>2432</v>
      </c>
      <c r="H18" s="447"/>
      <c r="I18" s="447"/>
      <c r="J18" s="447"/>
      <c r="K18" s="448"/>
    </row>
    <row r="19" spans="1:14" s="2105" customFormat="1" ht="13.5" customHeight="1">
      <c r="A19" s="1620" t="s">
        <v>1854</v>
      </c>
      <c r="B19" s="459" t="s">
        <v>493</v>
      </c>
      <c r="C19" s="460">
        <f ca="1">ROUND(C18*F19,0)</f>
        <v>2139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2">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9228</v>
      </c>
      <c r="D21" s="467">
        <f ca="1">C23</f>
        <v>1.6999999999999999E-3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9228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1.6999999999999999E-3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4" t="s">
        <v>2832</v>
      </c>
      <c r="C24" s="478">
        <f ca="1">C25</f>
        <v>18543</v>
      </c>
      <c r="D24" s="489">
        <f ca="1">C26</f>
        <v>3.3999999999999998E-3</v>
      </c>
      <c r="E24" s="469" t="s">
        <v>507</v>
      </c>
      <c r="F24" s="479">
        <f ca="1">IF(B1="",'数据-取费表'!Q16,INDIRECT("'数据-取费表'!q"&amp;$K$1))</f>
        <v>0.17</v>
      </c>
      <c r="G24" s="444"/>
      <c r="H24" s="447"/>
      <c r="I24" s="447"/>
      <c r="J24" s="447"/>
      <c r="K24" s="448"/>
    </row>
    <row r="25" spans="1:14" s="2106" customFormat="1" ht="13.5" customHeight="1">
      <c r="A25" s="1619" t="s">
        <v>1848</v>
      </c>
      <c r="B25" s="1324" t="s">
        <v>2436</v>
      </c>
      <c r="C25" s="490">
        <f ca="1">ROUND((C18+C19)*F24,0)</f>
        <v>18543</v>
      </c>
      <c r="D25" s="472"/>
      <c r="E25" s="473"/>
      <c r="F25" s="480"/>
      <c r="G25" s="1322" t="s">
        <v>2433</v>
      </c>
      <c r="H25" s="457"/>
      <c r="I25" s="457"/>
      <c r="J25" s="457"/>
      <c r="K25" s="458"/>
    </row>
    <row r="26" spans="1:14" s="2106" customFormat="1" ht="13.5" customHeight="1">
      <c r="A26" s="1619" t="s">
        <v>1849</v>
      </c>
      <c r="B26" s="1324" t="s">
        <v>509</v>
      </c>
      <c r="C26" s="491">
        <f ca="1">ROUND(F20*F24,4)</f>
        <v>3.3999999999999998E-3</v>
      </c>
      <c r="D26" s="472"/>
      <c r="E26" s="481"/>
      <c r="F26" s="480"/>
      <c r="G26" s="1322" t="s">
        <v>510</v>
      </c>
      <c r="H26" s="457"/>
      <c r="I26" s="457"/>
      <c r="J26" s="457"/>
      <c r="K26" s="458"/>
    </row>
    <row r="27" spans="1:14" s="2106" customFormat="1" ht="13.5" customHeight="1">
      <c r="A27" s="1623" t="s">
        <v>1867</v>
      </c>
      <c r="B27" s="459" t="s">
        <v>511</v>
      </c>
      <c r="C27" s="2983">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148343</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5" t="s">
        <v>522</v>
      </c>
      <c r="D6" s="3426"/>
      <c r="E6" s="3449" t="s">
        <v>523</v>
      </c>
      <c r="F6" s="3450"/>
      <c r="G6" s="3425" t="s">
        <v>524</v>
      </c>
      <c r="H6" s="3426"/>
      <c r="I6" s="3425" t="s">
        <v>525</v>
      </c>
      <c r="J6" s="3426"/>
      <c r="K6" s="514" t="s">
        <v>526</v>
      </c>
      <c r="L6" s="2119"/>
      <c r="M6" s="2120"/>
      <c r="N6" s="2120"/>
      <c r="O6" s="2120"/>
      <c r="P6" s="3427" t="s">
        <v>527</v>
      </c>
      <c r="Q6" s="3428"/>
      <c r="R6" s="3413" t="s">
        <v>523</v>
      </c>
      <c r="S6" s="3414"/>
      <c r="T6" s="3413" t="s">
        <v>524</v>
      </c>
      <c r="U6" s="3414"/>
      <c r="V6" s="3433" t="s">
        <v>525</v>
      </c>
      <c r="W6" s="3433"/>
      <c r="X6" s="1554"/>
      <c r="Y6" s="3413" t="s">
        <v>527</v>
      </c>
      <c r="Z6" s="3414"/>
      <c r="AA6" s="3408" t="s">
        <v>523</v>
      </c>
      <c r="AB6" s="3409" t="s">
        <v>524</v>
      </c>
      <c r="AC6" s="3408" t="s">
        <v>525</v>
      </c>
    </row>
    <row r="7" spans="1:29" ht="15">
      <c r="A7" s="515"/>
      <c r="B7" s="516"/>
      <c r="C7" s="3436" t="s">
        <v>2931</v>
      </c>
      <c r="D7" s="3437"/>
      <c r="E7" s="3451" t="s">
        <v>2932</v>
      </c>
      <c r="F7" s="3452"/>
      <c r="G7" s="3436" t="s">
        <v>2933</v>
      </c>
      <c r="H7" s="3437"/>
      <c r="I7" s="3436" t="s">
        <v>2934</v>
      </c>
      <c r="J7" s="3437"/>
      <c r="K7" s="514"/>
      <c r="L7" s="2119"/>
      <c r="M7" s="2120"/>
      <c r="N7" s="2120"/>
      <c r="O7" s="2120"/>
      <c r="P7" s="3429"/>
      <c r="Q7" s="3430"/>
      <c r="R7" s="3415"/>
      <c r="S7" s="3416"/>
      <c r="T7" s="3415"/>
      <c r="U7" s="3416"/>
      <c r="V7" s="3433"/>
      <c r="W7" s="3433"/>
      <c r="X7" s="1554"/>
      <c r="Y7" s="3415"/>
      <c r="Z7" s="3416"/>
      <c r="AA7" s="3409"/>
      <c r="AB7" s="3409"/>
      <c r="AC7" s="3409"/>
    </row>
    <row r="8" spans="1:29" ht="15.75" thickBot="1">
      <c r="A8" s="517"/>
      <c r="B8" s="518"/>
      <c r="C8" s="3434" t="s">
        <v>2935</v>
      </c>
      <c r="D8" s="3435"/>
      <c r="E8" s="3453" t="s">
        <v>2935</v>
      </c>
      <c r="F8" s="3454"/>
      <c r="G8" s="3434" t="s">
        <v>2935</v>
      </c>
      <c r="H8" s="3435"/>
      <c r="I8" s="3434" t="s">
        <v>2935</v>
      </c>
      <c r="J8" s="3435"/>
      <c r="K8" s="514" t="s">
        <v>528</v>
      </c>
      <c r="L8" s="2119"/>
      <c r="M8" s="2120"/>
      <c r="N8" s="2120"/>
      <c r="O8" s="2120"/>
      <c r="P8" s="3431"/>
      <c r="Q8" s="3432"/>
      <c r="R8" s="3415"/>
      <c r="S8" s="3416"/>
      <c r="T8" s="3417"/>
      <c r="U8" s="3418"/>
      <c r="V8" s="3433"/>
      <c r="W8" s="3433"/>
      <c r="X8" s="1554"/>
      <c r="Y8" s="3417"/>
      <c r="Z8" s="3418"/>
      <c r="AA8" s="3410"/>
      <c r="AB8" s="3410"/>
      <c r="AC8" s="3410"/>
    </row>
    <row r="9" spans="1:29" s="1216" customFormat="1" ht="15.75" thickBot="1">
      <c r="A9" s="2868"/>
      <c r="B9" s="2875" t="s">
        <v>529</v>
      </c>
      <c r="C9" s="519">
        <f>'数据-取费表'!B2</f>
        <v>43672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1" t="s">
        <v>530</v>
      </c>
      <c r="Q9" s="3420"/>
      <c r="R9" s="1555" t="s">
        <v>8</v>
      </c>
      <c r="S9" s="1556">
        <f t="shared" ref="S9:S17" si="0">F9</f>
        <v>0</v>
      </c>
      <c r="T9" s="1555" t="s">
        <v>8</v>
      </c>
      <c r="U9" s="1556">
        <f t="shared" ref="U9:U17" si="1">H9</f>
        <v>0</v>
      </c>
      <c r="V9" s="1555" t="s">
        <v>8</v>
      </c>
      <c r="W9" s="1556">
        <f t="shared" ref="W9:W17" si="2">J9</f>
        <v>0</v>
      </c>
      <c r="X9" s="1557"/>
      <c r="Y9" s="3411" t="s">
        <v>530</v>
      </c>
      <c r="Z9" s="341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1" t="s">
        <v>533</v>
      </c>
      <c r="Q10" s="3412"/>
      <c r="R10" s="1555" t="s">
        <v>8</v>
      </c>
      <c r="S10" s="1556">
        <f t="shared" si="0"/>
        <v>0</v>
      </c>
      <c r="T10" s="1555" t="s">
        <v>8</v>
      </c>
      <c r="U10" s="1556">
        <f t="shared" si="1"/>
        <v>0</v>
      </c>
      <c r="V10" s="1555" t="s">
        <v>8</v>
      </c>
      <c r="W10" s="1556">
        <f t="shared" si="2"/>
        <v>0</v>
      </c>
      <c r="X10" s="1557"/>
      <c r="Y10" s="3411" t="s">
        <v>533</v>
      </c>
      <c r="Z10" s="341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9" t="s">
        <v>535</v>
      </c>
      <c r="Q11" s="1147" t="str">
        <f t="shared" ref="Q11:Q17" si="6">B11</f>
        <v>用途</v>
      </c>
      <c r="R11" s="1555" t="s">
        <v>8</v>
      </c>
      <c r="S11" s="1556">
        <f t="shared" si="0"/>
        <v>100</v>
      </c>
      <c r="T11" s="1555" t="s">
        <v>8</v>
      </c>
      <c r="U11" s="1556">
        <f t="shared" si="1"/>
        <v>100</v>
      </c>
      <c r="V11" s="1555" t="s">
        <v>8</v>
      </c>
      <c r="W11" s="1556">
        <f t="shared" si="2"/>
        <v>100</v>
      </c>
      <c r="X11" s="1557"/>
      <c r="Y11" s="337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19"/>
      <c r="Q12" s="1147" t="str">
        <f t="shared" si="6"/>
        <v>土地使用年限（年）</v>
      </c>
      <c r="R12" s="1555" t="s">
        <v>8</v>
      </c>
      <c r="S12" s="1556">
        <f t="shared" si="0"/>
        <v>100</v>
      </c>
      <c r="T12" s="1555" t="s">
        <v>8</v>
      </c>
      <c r="U12" s="1556">
        <f t="shared" si="1"/>
        <v>100</v>
      </c>
      <c r="V12" s="1555" t="s">
        <v>8</v>
      </c>
      <c r="W12" s="1556">
        <f t="shared" si="2"/>
        <v>100</v>
      </c>
      <c r="X12" s="1557"/>
      <c r="Y12" s="3376"/>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9"/>
      <c r="Q13" s="1147" t="str">
        <f t="shared" si="6"/>
        <v>容积率</v>
      </c>
      <c r="R13" s="1555" t="s">
        <v>8</v>
      </c>
      <c r="S13" s="1556" t="e">
        <f t="shared" si="0"/>
        <v>#N/A</v>
      </c>
      <c r="T13" s="1555" t="s">
        <v>8</v>
      </c>
      <c r="U13" s="1556" t="e">
        <f t="shared" si="1"/>
        <v>#N/A</v>
      </c>
      <c r="V13" s="1555" t="s">
        <v>8</v>
      </c>
      <c r="W13" s="1556" t="e">
        <f t="shared" si="2"/>
        <v>#N/A</v>
      </c>
      <c r="X13" s="1557"/>
      <c r="Y13" s="337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9"/>
      <c r="Q14" s="1147">
        <f t="shared" si="6"/>
        <v>111</v>
      </c>
      <c r="R14" s="1555" t="s">
        <v>8</v>
      </c>
      <c r="S14" s="1556">
        <f t="shared" si="0"/>
        <v>100</v>
      </c>
      <c r="T14" s="1555" t="s">
        <v>8</v>
      </c>
      <c r="U14" s="1556">
        <f t="shared" si="1"/>
        <v>100</v>
      </c>
      <c r="V14" s="1555" t="s">
        <v>8</v>
      </c>
      <c r="W14" s="1556">
        <f t="shared" si="2"/>
        <v>100</v>
      </c>
      <c r="X14" s="1557"/>
      <c r="Y14" s="337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9"/>
      <c r="Q15" s="1147">
        <f t="shared" si="6"/>
        <v>111</v>
      </c>
      <c r="R15" s="1555" t="s">
        <v>8</v>
      </c>
      <c r="S15" s="1556">
        <f t="shared" si="0"/>
        <v>100</v>
      </c>
      <c r="T15" s="1555" t="s">
        <v>8</v>
      </c>
      <c r="U15" s="1556">
        <f t="shared" si="1"/>
        <v>100</v>
      </c>
      <c r="V15" s="1555" t="s">
        <v>8</v>
      </c>
      <c r="W15" s="1556">
        <f t="shared" si="2"/>
        <v>100</v>
      </c>
      <c r="X15" s="1557"/>
      <c r="Y15" s="337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9"/>
      <c r="Q16" s="1147">
        <f t="shared" si="6"/>
        <v>111</v>
      </c>
      <c r="R16" s="1555" t="s">
        <v>8</v>
      </c>
      <c r="S16" s="1556">
        <f t="shared" si="0"/>
        <v>100</v>
      </c>
      <c r="T16" s="1555" t="s">
        <v>8</v>
      </c>
      <c r="U16" s="1556">
        <f t="shared" si="1"/>
        <v>100</v>
      </c>
      <c r="V16" s="1555" t="s">
        <v>8</v>
      </c>
      <c r="W16" s="1556">
        <f t="shared" si="2"/>
        <v>100</v>
      </c>
      <c r="X16" s="1557"/>
      <c r="Y16" s="337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21" t="s">
        <v>540</v>
      </c>
      <c r="Q17" s="1559" t="str">
        <f t="shared" si="6"/>
        <v>产业集聚程度</v>
      </c>
      <c r="R17" s="1560" t="s">
        <v>8</v>
      </c>
      <c r="S17" s="1561">
        <f t="shared" si="0"/>
        <v>100</v>
      </c>
      <c r="T17" s="1560" t="s">
        <v>8</v>
      </c>
      <c r="U17" s="1561">
        <f t="shared" si="1"/>
        <v>100</v>
      </c>
      <c r="V17" s="1560" t="s">
        <v>8</v>
      </c>
      <c r="W17" s="1561">
        <f t="shared" si="2"/>
        <v>100</v>
      </c>
      <c r="X17" s="1554"/>
      <c r="Y17" s="3421"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2"/>
      <c r="Q18" s="1559"/>
      <c r="R18" s="1560"/>
      <c r="S18" s="1561"/>
      <c r="T18" s="1560"/>
      <c r="U18" s="1561"/>
      <c r="V18" s="1560"/>
      <c r="W18" s="1561"/>
      <c r="X18" s="1554"/>
      <c r="Y18" s="3422"/>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2"/>
      <c r="Q19" s="1559" t="str">
        <f>B19</f>
        <v>交通便捷度</v>
      </c>
      <c r="R19" s="1560" t="s">
        <v>8</v>
      </c>
      <c r="S19" s="1561">
        <f>F19</f>
        <v>100</v>
      </c>
      <c r="T19" s="1560" t="s">
        <v>8</v>
      </c>
      <c r="U19" s="1561">
        <f>H19</f>
        <v>100</v>
      </c>
      <c r="V19" s="1560" t="s">
        <v>8</v>
      </c>
      <c r="W19" s="1561">
        <f>J19</f>
        <v>100</v>
      </c>
      <c r="X19" s="1554"/>
      <c r="Y19" s="342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2"/>
      <c r="Q20" s="1559"/>
      <c r="R20" s="1560"/>
      <c r="S20" s="1561"/>
      <c r="T20" s="1560"/>
      <c r="U20" s="1561"/>
      <c r="V20" s="1560"/>
      <c r="W20" s="1561"/>
      <c r="X20" s="1554"/>
      <c r="Y20" s="3422"/>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2"/>
      <c r="Q21" s="1559" t="str">
        <f t="shared" ref="Q21:Q35" si="8">B21</f>
        <v>区域土地利用方向</v>
      </c>
      <c r="R21" s="1560" t="s">
        <v>8</v>
      </c>
      <c r="S21" s="1561">
        <f>F21</f>
        <v>100</v>
      </c>
      <c r="T21" s="1560" t="s">
        <v>8</v>
      </c>
      <c r="U21" s="1561">
        <f>H21</f>
        <v>100</v>
      </c>
      <c r="V21" s="1560" t="s">
        <v>8</v>
      </c>
      <c r="W21" s="1561">
        <f>J21</f>
        <v>100</v>
      </c>
      <c r="X21" s="1554"/>
      <c r="Y21" s="342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2"/>
      <c r="Q22" s="1559"/>
      <c r="R22" s="1560"/>
      <c r="S22" s="1561"/>
      <c r="T22" s="1560"/>
      <c r="U22" s="1561"/>
      <c r="V22" s="1560"/>
      <c r="W22" s="1561"/>
      <c r="X22" s="1554"/>
      <c r="Y22" s="3422"/>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2"/>
      <c r="Q23" s="1559" t="str">
        <f t="shared" si="8"/>
        <v>环境状况</v>
      </c>
      <c r="R23" s="1560" t="s">
        <v>8</v>
      </c>
      <c r="S23" s="1561">
        <f>F23</f>
        <v>100</v>
      </c>
      <c r="T23" s="1560" t="s">
        <v>8</v>
      </c>
      <c r="U23" s="1561">
        <f>H23</f>
        <v>100</v>
      </c>
      <c r="V23" s="1560" t="s">
        <v>8</v>
      </c>
      <c r="W23" s="1561">
        <f>J23</f>
        <v>100</v>
      </c>
      <c r="X23" s="1554"/>
      <c r="Y23" s="342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2"/>
      <c r="Q24" s="1559"/>
      <c r="R24" s="1560"/>
      <c r="S24" s="1561"/>
      <c r="T24" s="1560"/>
      <c r="U24" s="1561"/>
      <c r="V24" s="1560"/>
      <c r="W24" s="1561"/>
      <c r="X24" s="1554"/>
      <c r="Y24" s="3422"/>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2"/>
      <c r="Q25" s="1147" t="str">
        <f t="shared" si="8"/>
        <v>公共配套设施</v>
      </c>
      <c r="R25" s="1555" t="s">
        <v>8</v>
      </c>
      <c r="S25" s="1556">
        <f>F25</f>
        <v>100</v>
      </c>
      <c r="T25" s="1555" t="s">
        <v>8</v>
      </c>
      <c r="U25" s="1556">
        <f>H25</f>
        <v>100</v>
      </c>
      <c r="V25" s="1555" t="s">
        <v>8</v>
      </c>
      <c r="W25" s="1556">
        <f>J25</f>
        <v>100</v>
      </c>
      <c r="X25" s="1557"/>
      <c r="Y25" s="3422"/>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2"/>
      <c r="Q26" s="1147"/>
      <c r="R26" s="1555"/>
      <c r="S26" s="1556"/>
      <c r="T26" s="1555"/>
      <c r="U26" s="1556"/>
      <c r="V26" s="1555"/>
      <c r="W26" s="1556"/>
      <c r="X26" s="1557"/>
      <c r="Y26" s="3422"/>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2"/>
      <c r="Q27" s="2543" t="str">
        <f t="shared" ref="Q27" si="9">B27</f>
        <v>基础设施水平</v>
      </c>
      <c r="R27" s="1555" t="s">
        <v>8</v>
      </c>
      <c r="S27" s="1556">
        <f>F27</f>
        <v>100</v>
      </c>
      <c r="T27" s="1555" t="s">
        <v>8</v>
      </c>
      <c r="U27" s="1556">
        <f>H27</f>
        <v>100</v>
      </c>
      <c r="V27" s="1555" t="s">
        <v>8</v>
      </c>
      <c r="W27" s="1556">
        <f>J27</f>
        <v>100</v>
      </c>
      <c r="X27" s="1557"/>
      <c r="Y27" s="3422"/>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2"/>
      <c r="Q28" s="2543"/>
      <c r="R28" s="1555"/>
      <c r="S28" s="1556"/>
      <c r="T28" s="1555"/>
      <c r="U28" s="1556"/>
      <c r="V28" s="1555"/>
      <c r="W28" s="1556"/>
      <c r="X28" s="1557"/>
      <c r="Y28" s="3422"/>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2"/>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2"/>
      <c r="Q30" s="1559" t="str">
        <f t="shared" si="8"/>
        <v>毗邻道路的类型与等级</v>
      </c>
      <c r="R30" s="1560" t="s">
        <v>8</v>
      </c>
      <c r="S30" s="1561">
        <f t="shared" si="10"/>
        <v>100</v>
      </c>
      <c r="T30" s="1560" t="s">
        <v>8</v>
      </c>
      <c r="U30" s="1561">
        <f t="shared" si="11"/>
        <v>100</v>
      </c>
      <c r="V30" s="1560" t="s">
        <v>8</v>
      </c>
      <c r="W30" s="1561">
        <f t="shared" si="12"/>
        <v>100</v>
      </c>
      <c r="X30" s="1554"/>
      <c r="Y30" s="3422"/>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2"/>
      <c r="Q31" s="1559"/>
      <c r="R31" s="1560"/>
      <c r="S31" s="1561"/>
      <c r="T31" s="1560"/>
      <c r="U31" s="1561"/>
      <c r="V31" s="1560"/>
      <c r="W31" s="1561"/>
      <c r="X31" s="1554"/>
      <c r="Y31" s="3422"/>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2"/>
      <c r="Q32" s="1559" t="str">
        <f t="shared" si="8"/>
        <v>土地级别</v>
      </c>
      <c r="R32" s="1560" t="s">
        <v>8</v>
      </c>
      <c r="S32" s="1561">
        <f t="shared" si="10"/>
        <v>100</v>
      </c>
      <c r="T32" s="1560" t="s">
        <v>8</v>
      </c>
      <c r="U32" s="1561">
        <f t="shared" si="11"/>
        <v>100</v>
      </c>
      <c r="V32" s="1560" t="s">
        <v>8</v>
      </c>
      <c r="W32" s="1561">
        <f t="shared" si="12"/>
        <v>100</v>
      </c>
      <c r="X32" s="1554"/>
      <c r="Y32" s="3422"/>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2"/>
      <c r="Q33" s="1559">
        <f t="shared" si="8"/>
        <v>111</v>
      </c>
      <c r="R33" s="1560" t="s">
        <v>8</v>
      </c>
      <c r="S33" s="1561">
        <f t="shared" si="10"/>
        <v>100</v>
      </c>
      <c r="T33" s="1560" t="s">
        <v>8</v>
      </c>
      <c r="U33" s="1561">
        <f t="shared" si="11"/>
        <v>100</v>
      </c>
      <c r="V33" s="1560" t="s">
        <v>8</v>
      </c>
      <c r="W33" s="1561">
        <f t="shared" si="12"/>
        <v>100</v>
      </c>
      <c r="X33" s="1554"/>
      <c r="Y33" s="3422"/>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3" t="s">
        <v>550</v>
      </c>
      <c r="Q34" s="1559">
        <f t="shared" si="8"/>
        <v>111</v>
      </c>
      <c r="R34" s="1560" t="s">
        <v>8</v>
      </c>
      <c r="S34" s="1561">
        <f t="shared" si="10"/>
        <v>100</v>
      </c>
      <c r="T34" s="1560" t="s">
        <v>8</v>
      </c>
      <c r="U34" s="1561">
        <f t="shared" si="11"/>
        <v>100</v>
      </c>
      <c r="V34" s="1560" t="s">
        <v>8</v>
      </c>
      <c r="W34" s="1561">
        <f t="shared" si="12"/>
        <v>100</v>
      </c>
      <c r="X34" s="1554"/>
      <c r="Y34" s="3424"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4"/>
      <c r="Q35" s="1559">
        <f t="shared" si="8"/>
        <v>111</v>
      </c>
      <c r="R35" s="1564" t="s">
        <v>8</v>
      </c>
      <c r="S35" s="1565">
        <f t="shared" si="10"/>
        <v>100</v>
      </c>
      <c r="T35" s="1564" t="s">
        <v>8</v>
      </c>
      <c r="U35" s="1565">
        <f t="shared" si="11"/>
        <v>100</v>
      </c>
      <c r="V35" s="1564" t="s">
        <v>8</v>
      </c>
      <c r="W35" s="1565">
        <f t="shared" si="12"/>
        <v>100</v>
      </c>
      <c r="X35" s="1566"/>
      <c r="Y35" s="3424"/>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4"/>
      <c r="Q36" s="1559" t="str">
        <f>B36</f>
        <v>宗地面积</v>
      </c>
      <c r="R36" s="1560" t="s">
        <v>8</v>
      </c>
      <c r="S36" s="1561" t="e">
        <f t="shared" si="10"/>
        <v>#N/A</v>
      </c>
      <c r="T36" s="1560" t="s">
        <v>8</v>
      </c>
      <c r="U36" s="1561" t="e">
        <f t="shared" si="11"/>
        <v>#N/A</v>
      </c>
      <c r="V36" s="1560" t="s">
        <v>8</v>
      </c>
      <c r="W36" s="1561" t="e">
        <f t="shared" si="12"/>
        <v>#N/A</v>
      </c>
      <c r="X36" s="1554"/>
      <c r="Y36" s="3424"/>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4"/>
      <c r="Q37" s="1559" t="str">
        <f t="shared" ref="Q37:Q42" si="14">B37</f>
        <v>宗地形状</v>
      </c>
      <c r="R37" s="1560" t="s">
        <v>8</v>
      </c>
      <c r="S37" s="1561">
        <f t="shared" si="10"/>
        <v>100</v>
      </c>
      <c r="T37" s="1560" t="s">
        <v>8</v>
      </c>
      <c r="U37" s="1561">
        <f t="shared" si="11"/>
        <v>100</v>
      </c>
      <c r="V37" s="1560" t="s">
        <v>8</v>
      </c>
      <c r="W37" s="1561">
        <f t="shared" si="12"/>
        <v>100</v>
      </c>
      <c r="X37" s="1554"/>
      <c r="Y37" s="3424"/>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4"/>
      <c r="Q38" s="1559" t="str">
        <f t="shared" si="14"/>
        <v>宗地开发程度</v>
      </c>
      <c r="R38" s="1555" t="s">
        <v>8</v>
      </c>
      <c r="S38" s="1556">
        <f t="shared" si="10"/>
        <v>100</v>
      </c>
      <c r="T38" s="1555" t="s">
        <v>8</v>
      </c>
      <c r="U38" s="1556">
        <f t="shared" si="11"/>
        <v>100</v>
      </c>
      <c r="V38" s="1555" t="s">
        <v>8</v>
      </c>
      <c r="W38" s="1556">
        <f t="shared" si="12"/>
        <v>100</v>
      </c>
      <c r="X38" s="1557"/>
      <c r="Y38" s="3424"/>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4" t="s">
        <v>601</v>
      </c>
      <c r="Q39" s="1559" t="str">
        <f t="shared" si="14"/>
        <v>工程地质条件</v>
      </c>
      <c r="R39" s="1560" t="s">
        <v>8</v>
      </c>
      <c r="S39" s="1561">
        <f t="shared" si="10"/>
        <v>100</v>
      </c>
      <c r="T39" s="1560" t="s">
        <v>8</v>
      </c>
      <c r="U39" s="1561">
        <f t="shared" si="11"/>
        <v>100</v>
      </c>
      <c r="V39" s="1560" t="s">
        <v>8</v>
      </c>
      <c r="W39" s="1561">
        <f t="shared" si="12"/>
        <v>100</v>
      </c>
      <c r="X39" s="1554"/>
      <c r="Y39" s="3424"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4"/>
      <c r="Q40" s="1559">
        <f t="shared" si="14"/>
        <v>111</v>
      </c>
      <c r="R40" s="1560" t="s">
        <v>8</v>
      </c>
      <c r="S40" s="1561">
        <f t="shared" si="10"/>
        <v>100</v>
      </c>
      <c r="T40" s="1560" t="s">
        <v>8</v>
      </c>
      <c r="U40" s="1561">
        <f t="shared" si="11"/>
        <v>100</v>
      </c>
      <c r="V40" s="1560" t="s">
        <v>8</v>
      </c>
      <c r="W40" s="1561">
        <f t="shared" si="12"/>
        <v>100</v>
      </c>
      <c r="X40" s="1554"/>
      <c r="Y40" s="342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4"/>
      <c r="Q41" s="1559">
        <f t="shared" si="14"/>
        <v>111</v>
      </c>
      <c r="R41" s="1560" t="s">
        <v>8</v>
      </c>
      <c r="S41" s="1561">
        <f t="shared" si="10"/>
        <v>100</v>
      </c>
      <c r="T41" s="1560" t="s">
        <v>8</v>
      </c>
      <c r="U41" s="1561">
        <f t="shared" si="11"/>
        <v>100</v>
      </c>
      <c r="V41" s="1560" t="s">
        <v>8</v>
      </c>
      <c r="W41" s="1561">
        <f t="shared" si="12"/>
        <v>100</v>
      </c>
      <c r="X41" s="1554"/>
      <c r="Y41" s="342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4"/>
      <c r="Q42" s="1559">
        <f t="shared" si="14"/>
        <v>111</v>
      </c>
      <c r="R42" s="1564" t="s">
        <v>8</v>
      </c>
      <c r="S42" s="1565">
        <f t="shared" si="10"/>
        <v>100</v>
      </c>
      <c r="T42" s="1564" t="s">
        <v>8</v>
      </c>
      <c r="U42" s="1565">
        <f t="shared" si="11"/>
        <v>100</v>
      </c>
      <c r="V42" s="1564" t="s">
        <v>8</v>
      </c>
      <c r="W42" s="1565">
        <f t="shared" si="12"/>
        <v>100</v>
      </c>
      <c r="X42" s="1566"/>
      <c r="Y42" s="3424"/>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19" t="str">
        <f>A43</f>
        <v>成交单价</v>
      </c>
      <c r="Q43" s="3419"/>
      <c r="R43" s="3433">
        <f>E43</f>
        <v>0</v>
      </c>
      <c r="S43" s="3433"/>
      <c r="T43" s="3433">
        <f>G43</f>
        <v>0</v>
      </c>
      <c r="U43" s="3433"/>
      <c r="V43" s="3433">
        <f>I43</f>
        <v>0</v>
      </c>
      <c r="W43" s="3433"/>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19" t="str">
        <f>A44</f>
        <v>比较价格（元/平方米）</v>
      </c>
      <c r="Q44" s="3419"/>
      <c r="R44" s="3443" t="e">
        <f>ROUND(PRODUCT(R43,AA9:AA42),0)</f>
        <v>#DIV/0!</v>
      </c>
      <c r="S44" s="3443"/>
      <c r="T44" s="3443" t="e">
        <f>ROUND(PRODUCT(T43,AB9:AB42),0)</f>
        <v>#DIV/0!</v>
      </c>
      <c r="U44" s="3443"/>
      <c r="V44" s="3443" t="e">
        <f>ROUND(PRODUCT(V43,AC9:AC42),0)</f>
        <v>#DIV/0!</v>
      </c>
      <c r="W44" s="3443"/>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40" t="str">
        <f>A45</f>
        <v>估价对象XX用房的比较价格（楼面单价，元/平方米）</v>
      </c>
      <c r="Q45" s="3441"/>
      <c r="R45" s="3442" t="e">
        <f>ROUND(AVERAGE(R44:V44),0)</f>
        <v>#DIV/0!</v>
      </c>
      <c r="S45" s="3442"/>
      <c r="T45" s="3442"/>
      <c r="U45" s="3442"/>
      <c r="V45" s="3442"/>
      <c r="W45" s="344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4" t="s">
        <v>2284</v>
      </c>
      <c r="H52" s="344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217278.27</v>
      </c>
      <c r="F53" s="1936" t="e">
        <f t="shared" ref="F53:F62" si="15">ROUND(B53*E53/10000,0)</f>
        <v>#DIV/0!</v>
      </c>
      <c r="G53" s="3446"/>
      <c r="H53" s="344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17532.330000000002</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47196.729999999996</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105380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6"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57"/>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7" t="s">
        <v>2783</v>
      </c>
      <c r="X8" s="3468"/>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57"/>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6"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7"/>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7"/>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6"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56"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6"/>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8"/>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si="0"/>
        <v>#DIV/0!</v>
      </c>
      <c r="U13" s="2882"/>
      <c r="V13" s="2893" t="e">
        <f t="shared" si="1"/>
        <v>#DIV/0!</v>
      </c>
      <c r="W13" s="3466"/>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58"/>
      <c r="B14" s="1448"/>
      <c r="C14" s="1449"/>
      <c r="D14" s="1450"/>
      <c r="E14" s="1450"/>
      <c r="F14" s="1451"/>
      <c r="G14" s="1452" t="s">
        <v>949</v>
      </c>
      <c r="H14" s="1453"/>
      <c r="I14" s="1454"/>
      <c r="J14" s="1455"/>
      <c r="K14" s="3150"/>
      <c r="L14" s="3150"/>
      <c r="M14" s="3150"/>
      <c r="N14" s="3150"/>
      <c r="O14" s="3150"/>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9"/>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6" t="s">
        <v>1838</v>
      </c>
      <c r="B16" s="1424" t="s">
        <v>950</v>
      </c>
      <c r="C16" s="1052" t="e">
        <f>ROUND(IF(F17="与级别开发程度一致",0,(G17-E17)/C17),0)</f>
        <v>#DIV/0!</v>
      </c>
      <c r="D16" s="3474" t="s">
        <v>954</v>
      </c>
      <c r="E16" s="3475"/>
      <c r="F16" s="3474" t="s">
        <v>951</v>
      </c>
      <c r="G16" s="3475"/>
      <c r="H16" s="1456"/>
      <c r="I16" s="1456"/>
      <c r="J16" s="1456"/>
      <c r="K16" s="1456"/>
      <c r="L16" s="1456"/>
      <c r="M16" s="1456"/>
      <c r="N16" s="1456"/>
      <c r="O16" s="3174"/>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0"/>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43672</v>
      </c>
      <c r="H19" s="1464" t="s">
        <v>2997</v>
      </c>
      <c r="I19" s="2741" t="str">
        <f>IF(H19="季度增幅（自定义）",SUMIF(N21:N24,E2,O21:O24),"")</f>
        <v/>
      </c>
      <c r="J19" s="1460"/>
      <c r="K19" s="3149"/>
      <c r="L19" s="2992" t="s">
        <v>2841</v>
      </c>
      <c r="M19" s="2993">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3"/>
      <c r="L24" s="1470"/>
      <c r="M24" s="1470"/>
      <c r="N24" s="1467" t="s">
        <v>981</v>
      </c>
      <c r="O24" s="3157"/>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3"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t="e">
        <f>ROUND(POWER(1+E41,H41-G41)*(POWER(1+E41,G41)-1)/(POWER(1+E41,H41)-1),4)</f>
        <v>#DIV/0!</v>
      </c>
      <c r="D41" s="378" t="s">
        <v>2987</v>
      </c>
      <c r="E41" s="3146">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1" t="s">
        <v>1633</v>
      </c>
      <c r="B90" s="3461"/>
      <c r="C90" s="3461"/>
      <c r="D90" s="3461"/>
      <c r="E90" s="3461"/>
      <c r="F90" s="3461"/>
      <c r="G90" s="3461"/>
      <c r="H90" s="3461"/>
      <c r="I90" s="3461"/>
      <c r="J90" s="3461"/>
      <c r="K90" s="2415"/>
      <c r="L90" s="2415"/>
      <c r="M90" s="2415"/>
      <c r="N90" s="2415"/>
    </row>
    <row r="91" spans="1:40">
      <c r="A91" s="3462" t="s">
        <v>1443</v>
      </c>
      <c r="B91" s="3462" t="s">
        <v>1634</v>
      </c>
      <c r="C91" s="1136" t="s">
        <v>1635</v>
      </c>
      <c r="D91" s="1137"/>
      <c r="E91" s="1137"/>
      <c r="F91" s="1137"/>
      <c r="G91" s="1137"/>
      <c r="H91" s="1137"/>
      <c r="I91" s="1137"/>
      <c r="J91" s="1138"/>
      <c r="K91" s="1130"/>
      <c r="L91" s="1130"/>
      <c r="M91" s="1130"/>
      <c r="N91" s="1130"/>
    </row>
    <row r="92" spans="1:40">
      <c r="A92" s="3462"/>
      <c r="B92" s="346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9"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7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7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7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7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7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7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7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9"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70"/>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70"/>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70"/>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70"/>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70"/>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70"/>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70"/>
      <c r="B108" s="347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71"/>
      <c r="B109" s="3473"/>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5" t="s">
        <v>1639</v>
      </c>
      <c r="B110" s="3455"/>
      <c r="C110" s="3455"/>
      <c r="D110" s="3455"/>
      <c r="E110" s="3455"/>
      <c r="F110" s="3455"/>
      <c r="G110" s="3455"/>
      <c r="H110" s="3455"/>
      <c r="I110" s="3455"/>
      <c r="J110" s="3455"/>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2" t="s">
        <v>1007</v>
      </c>
      <c r="B18" s="1150" t="s">
        <v>1446</v>
      </c>
      <c r="C18" s="1127" t="s">
        <v>1447</v>
      </c>
      <c r="D18" s="1128"/>
      <c r="E18" s="1150">
        <v>1</v>
      </c>
      <c r="F18" s="1129" t="s">
        <v>1448</v>
      </c>
      <c r="G18" s="1130"/>
      <c r="H18" s="1101"/>
      <c r="I18" s="1101"/>
    </row>
    <row r="19" spans="1:9" s="1585" customFormat="1" ht="19.5" customHeight="1">
      <c r="A19" s="3462"/>
      <c r="B19" s="3462" t="s">
        <v>1449</v>
      </c>
      <c r="C19" s="1127" t="s">
        <v>1450</v>
      </c>
      <c r="D19" s="1128"/>
      <c r="E19" s="1150">
        <v>0.9</v>
      </c>
      <c r="F19" s="1129" t="s">
        <v>1451</v>
      </c>
      <c r="G19" s="1130"/>
      <c r="H19" s="1101"/>
      <c r="I19" s="1101"/>
    </row>
    <row r="20" spans="1:9" s="1585" customFormat="1" ht="19.5" customHeight="1">
      <c r="A20" s="3462"/>
      <c r="B20" s="3462"/>
      <c r="C20" s="1127" t="s">
        <v>1452</v>
      </c>
      <c r="D20" s="1128"/>
      <c r="E20" s="1150">
        <v>1.1000000000000001</v>
      </c>
      <c r="F20" s="1129" t="s">
        <v>1453</v>
      </c>
      <c r="G20" s="1130"/>
      <c r="H20" s="1101"/>
      <c r="I20" s="1101"/>
    </row>
    <row r="21" spans="1:9" s="1585" customFormat="1" ht="19.5" customHeight="1">
      <c r="A21" s="3462"/>
      <c r="B21" s="3462"/>
      <c r="C21" s="1127" t="s">
        <v>1454</v>
      </c>
      <c r="D21" s="1128"/>
      <c r="E21" s="1150">
        <v>0.8</v>
      </c>
      <c r="F21" s="1129" t="s">
        <v>1455</v>
      </c>
      <c r="G21" s="1130"/>
      <c r="H21" s="1101"/>
      <c r="I21" s="1101"/>
    </row>
    <row r="22" spans="1:9" s="1585" customFormat="1" ht="19.5" customHeight="1">
      <c r="A22" s="3462"/>
      <c r="B22" s="3462"/>
      <c r="C22" s="1127" t="s">
        <v>1456</v>
      </c>
      <c r="D22" s="1128"/>
      <c r="E22" s="1150">
        <v>0.5</v>
      </c>
      <c r="F22" s="1129"/>
      <c r="G22" s="1130"/>
      <c r="H22" s="1101"/>
      <c r="I22" s="1101"/>
    </row>
    <row r="23" spans="1:9" s="1585" customFormat="1" ht="19.5" customHeight="1">
      <c r="A23" s="3462" t="s">
        <v>1029</v>
      </c>
      <c r="B23" s="1150" t="s">
        <v>1446</v>
      </c>
      <c r="C23" s="1127" t="s">
        <v>1457</v>
      </c>
      <c r="D23" s="1128"/>
      <c r="E23" s="1150">
        <v>1</v>
      </c>
      <c r="F23" s="1129" t="s">
        <v>1458</v>
      </c>
      <c r="G23" s="1130"/>
      <c r="H23" s="1101"/>
      <c r="I23" s="1101"/>
    </row>
    <row r="24" spans="1:9" s="1585" customFormat="1" ht="19.5" customHeight="1">
      <c r="A24" s="3462"/>
      <c r="B24" s="3462" t="s">
        <v>1449</v>
      </c>
      <c r="C24" s="1127" t="s">
        <v>1459</v>
      </c>
      <c r="D24" s="1128"/>
      <c r="E24" s="1150">
        <v>0.5</v>
      </c>
      <c r="F24" s="1129"/>
      <c r="G24" s="1130"/>
      <c r="H24" s="1101"/>
      <c r="I24" s="1101"/>
    </row>
    <row r="25" spans="1:9" s="1585" customFormat="1" ht="19.5" customHeight="1">
      <c r="A25" s="3462"/>
      <c r="B25" s="3462"/>
      <c r="C25" s="1127" t="s">
        <v>1460</v>
      </c>
      <c r="D25" s="1128"/>
      <c r="E25" s="1150">
        <v>1.1000000000000001</v>
      </c>
      <c r="F25" s="1129"/>
      <c r="G25" s="1130"/>
      <c r="H25" s="1101"/>
      <c r="I25" s="1101"/>
    </row>
    <row r="26" spans="1:9" s="1585" customFormat="1" ht="19.5" customHeight="1">
      <c r="A26" s="3462"/>
      <c r="B26" s="3462"/>
      <c r="C26" s="1127" t="s">
        <v>1461</v>
      </c>
      <c r="D26" s="1128"/>
      <c r="E26" s="1150">
        <v>1.1000000000000001</v>
      </c>
      <c r="F26" s="1129"/>
      <c r="G26" s="1130"/>
      <c r="H26" s="1101"/>
      <c r="I26" s="1101"/>
    </row>
    <row r="27" spans="1:9" s="1585" customFormat="1" ht="19.5" customHeight="1">
      <c r="A27" s="3462"/>
      <c r="B27" s="3462"/>
      <c r="C27" s="1127" t="s">
        <v>1462</v>
      </c>
      <c r="D27" s="1128"/>
      <c r="E27" s="1150">
        <v>0.9</v>
      </c>
      <c r="F27" s="1129" t="s">
        <v>1463</v>
      </c>
      <c r="G27" s="1130"/>
      <c r="H27" s="1101"/>
      <c r="I27" s="1101"/>
    </row>
    <row r="28" spans="1:9" s="1585" customFormat="1" ht="19.5" customHeight="1">
      <c r="A28" s="3462"/>
      <c r="B28" s="3462"/>
      <c r="C28" s="1127" t="s">
        <v>1464</v>
      </c>
      <c r="D28" s="1128"/>
      <c r="E28" s="1150">
        <v>0.9</v>
      </c>
      <c r="F28" s="1129" t="s">
        <v>1465</v>
      </c>
      <c r="G28" s="1130"/>
      <c r="H28" s="1101"/>
      <c r="I28" s="1101"/>
    </row>
    <row r="29" spans="1:9" s="1585" customFormat="1" ht="19.5" customHeight="1">
      <c r="A29" s="3462"/>
      <c r="B29" s="3462"/>
      <c r="C29" s="1127" t="s">
        <v>1466</v>
      </c>
      <c r="D29" s="1128"/>
      <c r="E29" s="1150">
        <v>0.9</v>
      </c>
      <c r="F29" s="1129" t="s">
        <v>1467</v>
      </c>
      <c r="G29" s="1130"/>
      <c r="H29" s="1101"/>
      <c r="I29" s="1101"/>
    </row>
    <row r="30" spans="1:9" s="1585" customFormat="1" ht="19.5" customHeight="1">
      <c r="A30" s="3462"/>
      <c r="B30" s="3462"/>
      <c r="C30" s="1127" t="s">
        <v>1468</v>
      </c>
      <c r="D30" s="1128"/>
      <c r="E30" s="1150">
        <v>0.9</v>
      </c>
      <c r="F30" s="1129" t="s">
        <v>1469</v>
      </c>
      <c r="G30" s="1130"/>
      <c r="H30" s="1101"/>
      <c r="I30" s="1101"/>
    </row>
    <row r="31" spans="1:9" s="1585" customFormat="1" ht="19.5" customHeight="1">
      <c r="A31" s="3462"/>
      <c r="B31" s="3462"/>
      <c r="C31" s="1127" t="s">
        <v>1470</v>
      </c>
      <c r="D31" s="1128"/>
      <c r="E31" s="1150">
        <v>0.8</v>
      </c>
      <c r="F31" s="1129" t="s">
        <v>1471</v>
      </c>
      <c r="G31" s="1130"/>
      <c r="H31" s="1101"/>
      <c r="I31" s="1101"/>
    </row>
    <row r="32" spans="1:9" s="1585" customFormat="1" ht="19.5" customHeight="1">
      <c r="A32" s="3462"/>
      <c r="B32" s="3462"/>
      <c r="C32" s="1127" t="s">
        <v>1472</v>
      </c>
      <c r="D32" s="1128"/>
      <c r="E32" s="1150">
        <v>0.8</v>
      </c>
      <c r="F32" s="1129" t="s">
        <v>1473</v>
      </c>
      <c r="G32" s="1130"/>
      <c r="H32" s="1101"/>
      <c r="I32" s="1101"/>
    </row>
    <row r="33" spans="1:9" s="1585" customFormat="1" ht="19.5" customHeight="1">
      <c r="A33" s="3462" t="s">
        <v>1474</v>
      </c>
      <c r="B33" s="1150" t="s">
        <v>1446</v>
      </c>
      <c r="C33" s="1127" t="s">
        <v>1475</v>
      </c>
      <c r="D33" s="1128"/>
      <c r="E33" s="1150">
        <v>1</v>
      </c>
      <c r="F33" s="1129" t="s">
        <v>1476</v>
      </c>
      <c r="G33" s="1130"/>
      <c r="H33" s="1101"/>
      <c r="I33" s="1101"/>
    </row>
    <row r="34" spans="1:9" s="1585" customFormat="1" ht="19.5" customHeight="1">
      <c r="A34" s="3462"/>
      <c r="B34" s="1150" t="s">
        <v>1449</v>
      </c>
      <c r="C34" s="1127" t="s">
        <v>1477</v>
      </c>
      <c r="D34" s="1128"/>
      <c r="E34" s="1150">
        <v>1.5</v>
      </c>
      <c r="F34" s="1129" t="s">
        <v>1478</v>
      </c>
      <c r="G34" s="1130"/>
      <c r="H34" s="1101"/>
      <c r="I34" s="1101"/>
    </row>
    <row r="35" spans="1:9" s="1585" customFormat="1" ht="19.5" customHeight="1">
      <c r="A35" s="3462" t="s">
        <v>1432</v>
      </c>
      <c r="B35" s="1150" t="s">
        <v>1446</v>
      </c>
      <c r="C35" s="1127" t="s">
        <v>1479</v>
      </c>
      <c r="D35" s="1128"/>
      <c r="E35" s="1150">
        <v>1</v>
      </c>
      <c r="F35" s="1129" t="s">
        <v>1480</v>
      </c>
      <c r="G35" s="1130"/>
      <c r="H35" s="1101"/>
      <c r="I35" s="1101"/>
    </row>
    <row r="36" spans="1:9" s="1585" customFormat="1" ht="19.5" customHeight="1">
      <c r="A36" s="3462"/>
      <c r="B36" s="3462" t="s">
        <v>1449</v>
      </c>
      <c r="C36" s="1127" t="s">
        <v>1481</v>
      </c>
      <c r="D36" s="1128"/>
      <c r="E36" s="1150">
        <v>1</v>
      </c>
      <c r="F36" s="1129" t="s">
        <v>1482</v>
      </c>
      <c r="G36" s="1130"/>
      <c r="H36" s="1101"/>
      <c r="I36" s="1101"/>
    </row>
    <row r="37" spans="1:9" s="1585" customFormat="1" ht="19.5" customHeight="1">
      <c r="A37" s="3462"/>
      <c r="B37" s="3462"/>
      <c r="C37" s="1127" t="s">
        <v>1483</v>
      </c>
      <c r="D37" s="1128"/>
      <c r="E37" s="1150">
        <v>1.5</v>
      </c>
      <c r="F37" s="1129" t="s">
        <v>1484</v>
      </c>
      <c r="G37" s="1130"/>
      <c r="H37" s="1101"/>
      <c r="I37" s="1101"/>
    </row>
    <row r="38" spans="1:9" s="1585" customFormat="1" ht="19.5" customHeight="1">
      <c r="A38" s="3462"/>
      <c r="B38" s="3462"/>
      <c r="C38" s="1127" t="s">
        <v>1485</v>
      </c>
      <c r="D38" s="1128"/>
      <c r="E38" s="1150">
        <v>1</v>
      </c>
      <c r="F38" s="1129" t="s">
        <v>1486</v>
      </c>
      <c r="G38" s="1130"/>
      <c r="H38" s="1101"/>
      <c r="I38" s="1101"/>
    </row>
    <row r="39" spans="1:9" s="1585" customFormat="1" ht="19.5" customHeight="1">
      <c r="A39" s="3462"/>
      <c r="B39" s="346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2" t="s">
        <v>1501</v>
      </c>
      <c r="C61" s="1064" t="s">
        <v>1502</v>
      </c>
      <c r="D61" s="1064" t="s">
        <v>1503</v>
      </c>
      <c r="E61" s="1135">
        <v>0.5</v>
      </c>
      <c r="F61" s="1150">
        <v>80</v>
      </c>
      <c r="H61" s="1101">
        <f>SUMIF(C59:C119,基准地价!C8,E59:E119)</f>
        <v>0</v>
      </c>
    </row>
    <row r="62" spans="1:8" s="1101" customFormat="1" ht="24">
      <c r="A62" s="1150">
        <v>2</v>
      </c>
      <c r="B62" s="3462"/>
      <c r="C62" s="1064" t="s">
        <v>1504</v>
      </c>
      <c r="D62" s="1064" t="s">
        <v>1505</v>
      </c>
      <c r="E62" s="1135">
        <v>0.5</v>
      </c>
      <c r="F62" s="1150">
        <v>80</v>
      </c>
    </row>
    <row r="63" spans="1:8" s="1101" customFormat="1" ht="36">
      <c r="A63" s="1150">
        <v>3</v>
      </c>
      <c r="B63" s="3462"/>
      <c r="C63" s="1064" t="s">
        <v>1506</v>
      </c>
      <c r="D63" s="1064" t="s">
        <v>1507</v>
      </c>
      <c r="E63" s="1135">
        <v>0.5</v>
      </c>
      <c r="F63" s="1150">
        <v>80</v>
      </c>
    </row>
    <row r="64" spans="1:8" s="1101" customFormat="1" ht="36">
      <c r="A64" s="1150">
        <v>4</v>
      </c>
      <c r="B64" s="3462"/>
      <c r="C64" s="1064" t="s">
        <v>1508</v>
      </c>
      <c r="D64" s="1064" t="s">
        <v>1509</v>
      </c>
      <c r="E64" s="1135">
        <v>0.4</v>
      </c>
      <c r="F64" s="1150">
        <v>60</v>
      </c>
    </row>
    <row r="65" spans="1:6" s="1101" customFormat="1" ht="36">
      <c r="A65" s="1150">
        <v>5</v>
      </c>
      <c r="B65" s="3462"/>
      <c r="C65" s="1064" t="s">
        <v>1510</v>
      </c>
      <c r="D65" s="1064" t="s">
        <v>1511</v>
      </c>
      <c r="E65" s="1135">
        <v>0.2</v>
      </c>
      <c r="F65" s="1150">
        <v>30</v>
      </c>
    </row>
    <row r="66" spans="1:6" s="1101" customFormat="1" ht="36">
      <c r="A66" s="1150">
        <v>6</v>
      </c>
      <c r="B66" s="3462"/>
      <c r="C66" s="1064" t="s">
        <v>1512</v>
      </c>
      <c r="D66" s="1064" t="s">
        <v>1513</v>
      </c>
      <c r="E66" s="1135">
        <v>0.3</v>
      </c>
      <c r="F66" s="1150">
        <v>50</v>
      </c>
    </row>
    <row r="67" spans="1:6" s="1101" customFormat="1" ht="36">
      <c r="A67" s="1150">
        <v>7</v>
      </c>
      <c r="B67" s="3462"/>
      <c r="C67" s="1064" t="s">
        <v>1514</v>
      </c>
      <c r="D67" s="1064" t="s">
        <v>1515</v>
      </c>
      <c r="E67" s="1135">
        <v>0.2</v>
      </c>
      <c r="F67" s="1150">
        <v>30</v>
      </c>
    </row>
    <row r="68" spans="1:6" s="1101" customFormat="1" ht="36">
      <c r="A68" s="1150">
        <v>8</v>
      </c>
      <c r="B68" s="3462"/>
      <c r="C68" s="1064" t="s">
        <v>1516</v>
      </c>
      <c r="D68" s="1064" t="s">
        <v>1517</v>
      </c>
      <c r="E68" s="1135">
        <v>0.2</v>
      </c>
      <c r="F68" s="1150">
        <v>30</v>
      </c>
    </row>
    <row r="69" spans="1:6" s="1101" customFormat="1" ht="36">
      <c r="A69" s="1150">
        <v>9</v>
      </c>
      <c r="B69" s="3462"/>
      <c r="C69" s="1064" t="s">
        <v>1518</v>
      </c>
      <c r="D69" s="1064" t="s">
        <v>1519</v>
      </c>
      <c r="E69" s="1135">
        <v>0.2</v>
      </c>
      <c r="F69" s="1150">
        <v>30</v>
      </c>
    </row>
    <row r="70" spans="1:6" s="1101" customFormat="1" ht="48">
      <c r="A70" s="1150">
        <v>10</v>
      </c>
      <c r="B70" s="3462"/>
      <c r="C70" s="1064" t="s">
        <v>1520</v>
      </c>
      <c r="D70" s="1064" t="s">
        <v>1521</v>
      </c>
      <c r="E70" s="1135">
        <v>0.2</v>
      </c>
      <c r="F70" s="1150">
        <v>30</v>
      </c>
    </row>
    <row r="71" spans="1:6" s="1101" customFormat="1" ht="48">
      <c r="A71" s="1150">
        <v>11</v>
      </c>
      <c r="B71" s="3462"/>
      <c r="C71" s="1064" t="s">
        <v>1522</v>
      </c>
      <c r="D71" s="1064" t="s">
        <v>1523</v>
      </c>
      <c r="E71" s="1135">
        <v>0.2</v>
      </c>
      <c r="F71" s="1150">
        <v>30</v>
      </c>
    </row>
    <row r="72" spans="1:6" s="1101" customFormat="1" ht="36">
      <c r="A72" s="1150">
        <v>12</v>
      </c>
      <c r="B72" s="3462"/>
      <c r="C72" s="1064" t="s">
        <v>1524</v>
      </c>
      <c r="D72" s="1064" t="s">
        <v>1525</v>
      </c>
      <c r="E72" s="1135">
        <v>0.5</v>
      </c>
      <c r="F72" s="1150">
        <v>80</v>
      </c>
    </row>
    <row r="73" spans="1:6" s="1101" customFormat="1" ht="24">
      <c r="A73" s="1150">
        <v>13</v>
      </c>
      <c r="B73" s="3462"/>
      <c r="C73" s="1064" t="s">
        <v>1526</v>
      </c>
      <c r="D73" s="1064" t="s">
        <v>1527</v>
      </c>
      <c r="E73" s="1135">
        <v>0.4</v>
      </c>
      <c r="F73" s="1150">
        <v>60</v>
      </c>
    </row>
    <row r="74" spans="1:6" s="1101" customFormat="1" ht="24">
      <c r="A74" s="1150">
        <v>14</v>
      </c>
      <c r="B74" s="3462"/>
      <c r="C74" s="1064" t="s">
        <v>1528</v>
      </c>
      <c r="D74" s="1064" t="s">
        <v>1529</v>
      </c>
      <c r="E74" s="1135">
        <v>0.2</v>
      </c>
      <c r="F74" s="1150">
        <v>30</v>
      </c>
    </row>
    <row r="75" spans="1:6" s="1101" customFormat="1" ht="24">
      <c r="A75" s="1150">
        <v>15</v>
      </c>
      <c r="B75" s="3462"/>
      <c r="C75" s="1064" t="s">
        <v>1530</v>
      </c>
      <c r="D75" s="1064" t="s">
        <v>1531</v>
      </c>
      <c r="E75" s="1135">
        <v>0.2</v>
      </c>
      <c r="F75" s="1150">
        <v>30</v>
      </c>
    </row>
    <row r="76" spans="1:6" s="1101" customFormat="1" ht="24">
      <c r="A76" s="1150">
        <v>16</v>
      </c>
      <c r="B76" s="3462" t="s">
        <v>1532</v>
      </c>
      <c r="C76" s="1064" t="s">
        <v>1533</v>
      </c>
      <c r="D76" s="1064" t="s">
        <v>1534</v>
      </c>
      <c r="E76" s="1135">
        <v>0.5</v>
      </c>
      <c r="F76" s="1150">
        <v>80</v>
      </c>
    </row>
    <row r="77" spans="1:6" s="1101" customFormat="1" ht="24">
      <c r="A77" s="1150">
        <v>17</v>
      </c>
      <c r="B77" s="3462"/>
      <c r="C77" s="1064" t="s">
        <v>1535</v>
      </c>
      <c r="D77" s="1064" t="s">
        <v>1536</v>
      </c>
      <c r="E77" s="1135">
        <v>0.5</v>
      </c>
      <c r="F77" s="1150">
        <v>80</v>
      </c>
    </row>
    <row r="78" spans="1:6" s="1101" customFormat="1" ht="24">
      <c r="A78" s="1150">
        <v>18</v>
      </c>
      <c r="B78" s="3462"/>
      <c r="C78" s="1064" t="s">
        <v>1537</v>
      </c>
      <c r="D78" s="1064" t="s">
        <v>1538</v>
      </c>
      <c r="E78" s="1135">
        <v>0.2</v>
      </c>
      <c r="F78" s="1150">
        <v>30</v>
      </c>
    </row>
    <row r="79" spans="1:6" s="1101" customFormat="1" ht="24">
      <c r="A79" s="1150">
        <v>19</v>
      </c>
      <c r="B79" s="3462"/>
      <c r="C79" s="1064" t="s">
        <v>1539</v>
      </c>
      <c r="D79" s="1064" t="s">
        <v>1540</v>
      </c>
      <c r="E79" s="1135">
        <v>0.5</v>
      </c>
      <c r="F79" s="1150">
        <v>80</v>
      </c>
    </row>
    <row r="80" spans="1:6" s="1101" customFormat="1" ht="36">
      <c r="A80" s="1150">
        <v>20</v>
      </c>
      <c r="B80" s="3462"/>
      <c r="C80" s="1064" t="s">
        <v>1541</v>
      </c>
      <c r="D80" s="1064" t="s">
        <v>1542</v>
      </c>
      <c r="E80" s="1135">
        <v>0.2</v>
      </c>
      <c r="F80" s="1150">
        <v>30</v>
      </c>
    </row>
    <row r="81" spans="1:6" s="1101" customFormat="1" ht="36">
      <c r="A81" s="1150">
        <v>21</v>
      </c>
      <c r="B81" s="3462"/>
      <c r="C81" s="1064" t="s">
        <v>1543</v>
      </c>
      <c r="D81" s="1064" t="s">
        <v>1544</v>
      </c>
      <c r="E81" s="1135">
        <v>0.2</v>
      </c>
      <c r="F81" s="1150">
        <v>30</v>
      </c>
    </row>
    <row r="82" spans="1:6" s="1101" customFormat="1" ht="48">
      <c r="A82" s="1150">
        <v>22</v>
      </c>
      <c r="B82" s="3462"/>
      <c r="C82" s="1064" t="s">
        <v>1545</v>
      </c>
      <c r="D82" s="1064" t="s">
        <v>1546</v>
      </c>
      <c r="E82" s="1135">
        <v>0.2</v>
      </c>
      <c r="F82" s="1150">
        <v>30</v>
      </c>
    </row>
    <row r="83" spans="1:6" s="1101" customFormat="1" ht="48">
      <c r="A83" s="1150">
        <v>23</v>
      </c>
      <c r="B83" s="3462"/>
      <c r="C83" s="1064" t="s">
        <v>1547</v>
      </c>
      <c r="D83" s="1064" t="s">
        <v>1548</v>
      </c>
      <c r="E83" s="1135">
        <v>0.2</v>
      </c>
      <c r="F83" s="1150">
        <v>30</v>
      </c>
    </row>
    <row r="84" spans="1:6" s="1101" customFormat="1" ht="36">
      <c r="A84" s="1150">
        <v>24</v>
      </c>
      <c r="B84" s="3462"/>
      <c r="C84" s="1064" t="s">
        <v>1549</v>
      </c>
      <c r="D84" s="1064" t="s">
        <v>1550</v>
      </c>
      <c r="E84" s="1135">
        <v>0.2</v>
      </c>
      <c r="F84" s="1150">
        <v>30</v>
      </c>
    </row>
    <row r="85" spans="1:6" s="1101" customFormat="1" ht="36">
      <c r="A85" s="1150">
        <v>25</v>
      </c>
      <c r="B85" s="3462"/>
      <c r="C85" s="1064" t="s">
        <v>1551</v>
      </c>
      <c r="D85" s="1064" t="s">
        <v>1552</v>
      </c>
      <c r="E85" s="1135">
        <v>0.5</v>
      </c>
      <c r="F85" s="1150">
        <v>80</v>
      </c>
    </row>
    <row r="86" spans="1:6" s="1101" customFormat="1" ht="36">
      <c r="A86" s="1150">
        <v>26</v>
      </c>
      <c r="B86" s="3462"/>
      <c r="C86" s="1064" t="s">
        <v>1553</v>
      </c>
      <c r="D86" s="1064" t="s">
        <v>1554</v>
      </c>
      <c r="E86" s="1135">
        <v>0.2</v>
      </c>
      <c r="F86" s="1150">
        <v>30</v>
      </c>
    </row>
    <row r="87" spans="1:6" s="1101" customFormat="1" ht="36">
      <c r="A87" s="1150">
        <v>27</v>
      </c>
      <c r="B87" s="3462"/>
      <c r="C87" s="1064" t="s">
        <v>1555</v>
      </c>
      <c r="D87" s="1064" t="s">
        <v>1556</v>
      </c>
      <c r="E87" s="1135">
        <v>0.2</v>
      </c>
      <c r="F87" s="1150">
        <v>30</v>
      </c>
    </row>
    <row r="88" spans="1:6" s="1101" customFormat="1" ht="36">
      <c r="A88" s="1150">
        <v>28</v>
      </c>
      <c r="B88" s="3462"/>
      <c r="C88" s="1064" t="s">
        <v>1557</v>
      </c>
      <c r="D88" s="1064" t="s">
        <v>1558</v>
      </c>
      <c r="E88" s="1135">
        <v>0.2</v>
      </c>
      <c r="F88" s="1150">
        <v>30</v>
      </c>
    </row>
    <row r="89" spans="1:6" s="1101" customFormat="1" ht="24">
      <c r="A89" s="1150">
        <v>29</v>
      </c>
      <c r="B89" s="3462"/>
      <c r="C89" s="1064" t="s">
        <v>1559</v>
      </c>
      <c r="D89" s="1064" t="s">
        <v>1560</v>
      </c>
      <c r="E89" s="1135">
        <v>0.2</v>
      </c>
      <c r="F89" s="1150">
        <v>30</v>
      </c>
    </row>
    <row r="90" spans="1:6" s="1101" customFormat="1" ht="24">
      <c r="A90" s="1150">
        <v>30</v>
      </c>
      <c r="B90" s="3462"/>
      <c r="C90" s="1064" t="s">
        <v>1561</v>
      </c>
      <c r="D90" s="1064" t="s">
        <v>1562</v>
      </c>
      <c r="E90" s="1135">
        <v>0.2</v>
      </c>
      <c r="F90" s="1150">
        <v>30</v>
      </c>
    </row>
    <row r="91" spans="1:6" s="1101" customFormat="1" ht="36">
      <c r="A91" s="1150">
        <v>31</v>
      </c>
      <c r="B91" s="3462"/>
      <c r="C91" s="1064" t="s">
        <v>1563</v>
      </c>
      <c r="D91" s="1064" t="s">
        <v>1564</v>
      </c>
      <c r="E91" s="1135">
        <v>0.2</v>
      </c>
      <c r="F91" s="1150">
        <v>30</v>
      </c>
    </row>
    <row r="92" spans="1:6" s="1101" customFormat="1" ht="24">
      <c r="A92" s="1150">
        <v>32</v>
      </c>
      <c r="B92" s="3462" t="s">
        <v>1565</v>
      </c>
      <c r="C92" s="1150" t="s">
        <v>1566</v>
      </c>
      <c r="D92" s="1064" t="s">
        <v>1567</v>
      </c>
      <c r="E92" s="1135">
        <v>0.2</v>
      </c>
      <c r="F92" s="1150">
        <v>30</v>
      </c>
    </row>
    <row r="93" spans="1:6" s="1101" customFormat="1" ht="36">
      <c r="A93" s="1150">
        <v>33</v>
      </c>
      <c r="B93" s="3462"/>
      <c r="C93" s="1150" t="s">
        <v>1568</v>
      </c>
      <c r="D93" s="1064" t="s">
        <v>1569</v>
      </c>
      <c r="E93" s="1135">
        <v>0.2</v>
      </c>
      <c r="F93" s="1150">
        <v>30</v>
      </c>
    </row>
    <row r="94" spans="1:6" s="1101" customFormat="1" ht="48">
      <c r="A94" s="1150">
        <v>34</v>
      </c>
      <c r="B94" s="3462"/>
      <c r="C94" s="1150" t="s">
        <v>1570</v>
      </c>
      <c r="D94" s="1064" t="s">
        <v>1571</v>
      </c>
      <c r="E94" s="1135">
        <v>0.2</v>
      </c>
      <c r="F94" s="1150">
        <v>30</v>
      </c>
    </row>
    <row r="95" spans="1:6" s="1101" customFormat="1" ht="36">
      <c r="A95" s="1150">
        <v>35</v>
      </c>
      <c r="B95" s="3462"/>
      <c r="C95" s="1150" t="s">
        <v>1572</v>
      </c>
      <c r="D95" s="1064" t="s">
        <v>1573</v>
      </c>
      <c r="E95" s="1135">
        <v>0.2</v>
      </c>
      <c r="F95" s="1150">
        <v>30</v>
      </c>
    </row>
    <row r="96" spans="1:6" s="1101" customFormat="1" ht="48">
      <c r="A96" s="1150">
        <v>36</v>
      </c>
      <c r="B96" s="3462"/>
      <c r="C96" s="1064" t="s">
        <v>1574</v>
      </c>
      <c r="D96" s="1064" t="s">
        <v>1575</v>
      </c>
      <c r="E96" s="1135">
        <v>0.2</v>
      </c>
      <c r="F96" s="1150">
        <v>30</v>
      </c>
    </row>
    <row r="97" spans="1:6" s="1101" customFormat="1" ht="36">
      <c r="A97" s="1150">
        <v>37</v>
      </c>
      <c r="B97" s="3462"/>
      <c r="C97" s="1150" t="s">
        <v>1576</v>
      </c>
      <c r="D97" s="1064" t="s">
        <v>1577</v>
      </c>
      <c r="E97" s="1135">
        <v>0.2</v>
      </c>
      <c r="F97" s="1150">
        <v>30</v>
      </c>
    </row>
    <row r="98" spans="1:6" s="1101" customFormat="1" ht="36">
      <c r="A98" s="1150">
        <v>38</v>
      </c>
      <c r="B98" s="3462"/>
      <c r="C98" s="1150" t="s">
        <v>1578</v>
      </c>
      <c r="D98" s="1064" t="s">
        <v>1579</v>
      </c>
      <c r="E98" s="1135">
        <v>0.2</v>
      </c>
      <c r="F98" s="1150">
        <v>30</v>
      </c>
    </row>
    <row r="99" spans="1:6" s="1101" customFormat="1" ht="36">
      <c r="A99" s="1150">
        <v>39</v>
      </c>
      <c r="B99" s="3462" t="s">
        <v>1580</v>
      </c>
      <c r="C99" s="1150" t="s">
        <v>1581</v>
      </c>
      <c r="D99" s="1064" t="s">
        <v>1582</v>
      </c>
      <c r="E99" s="1135">
        <v>0.3</v>
      </c>
      <c r="F99" s="1150">
        <v>50</v>
      </c>
    </row>
    <row r="100" spans="1:6" s="1101" customFormat="1" ht="24">
      <c r="A100" s="1150">
        <v>40</v>
      </c>
      <c r="B100" s="3462"/>
      <c r="C100" s="1150" t="s">
        <v>1583</v>
      </c>
      <c r="D100" s="1064" t="s">
        <v>1584</v>
      </c>
      <c r="E100" s="1135">
        <v>0.2</v>
      </c>
      <c r="F100" s="1150">
        <v>30</v>
      </c>
    </row>
    <row r="101" spans="1:6" s="1101" customFormat="1" ht="36">
      <c r="A101" s="1150">
        <v>41</v>
      </c>
      <c r="B101" s="346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2" t="s">
        <v>1595</v>
      </c>
      <c r="C105" s="1150" t="s">
        <v>1596</v>
      </c>
      <c r="D105" s="1064" t="s">
        <v>1597</v>
      </c>
      <c r="E105" s="1135">
        <v>0.2</v>
      </c>
      <c r="F105" s="1150">
        <v>30</v>
      </c>
    </row>
    <row r="106" spans="1:6" s="1101" customFormat="1" ht="36">
      <c r="A106" s="1150">
        <v>46</v>
      </c>
      <c r="B106" s="3462"/>
      <c r="C106" s="1150" t="s">
        <v>1598</v>
      </c>
      <c r="D106" s="1064" t="s">
        <v>1599</v>
      </c>
      <c r="E106" s="1135">
        <v>0.2</v>
      </c>
      <c r="F106" s="1150">
        <v>30</v>
      </c>
    </row>
    <row r="107" spans="1:6" s="1101" customFormat="1" ht="36">
      <c r="A107" s="1150">
        <v>47</v>
      </c>
      <c r="B107" s="3462" t="s">
        <v>1600</v>
      </c>
      <c r="C107" s="1150" t="s">
        <v>1601</v>
      </c>
      <c r="D107" s="1064" t="s">
        <v>1602</v>
      </c>
      <c r="E107" s="1135">
        <v>0.3</v>
      </c>
      <c r="F107" s="1150">
        <v>50</v>
      </c>
    </row>
    <row r="108" spans="1:6" s="1101" customFormat="1" ht="36">
      <c r="A108" s="1150">
        <v>48</v>
      </c>
      <c r="B108" s="346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2" t="s">
        <v>1611</v>
      </c>
      <c r="C111" s="1150" t="s">
        <v>1612</v>
      </c>
      <c r="D111" s="1064" t="s">
        <v>1613</v>
      </c>
      <c r="E111" s="1135">
        <v>0.2</v>
      </c>
      <c r="F111" s="1150">
        <v>30</v>
      </c>
    </row>
    <row r="112" spans="1:6" s="1101" customFormat="1" ht="24">
      <c r="A112" s="1150">
        <v>52</v>
      </c>
      <c r="B112" s="3462"/>
      <c r="C112" s="1150" t="s">
        <v>1614</v>
      </c>
      <c r="D112" s="1064" t="s">
        <v>1615</v>
      </c>
      <c r="E112" s="1135">
        <v>0.2</v>
      </c>
      <c r="F112" s="1150">
        <v>30</v>
      </c>
    </row>
    <row r="113" spans="1:14" s="1101" customFormat="1" ht="24">
      <c r="A113" s="1150">
        <v>53</v>
      </c>
      <c r="B113" s="346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2" t="s">
        <v>1624</v>
      </c>
      <c r="C116" s="1150" t="s">
        <v>1625</v>
      </c>
      <c r="D116" s="1064" t="s">
        <v>1626</v>
      </c>
      <c r="E116" s="1135">
        <v>0.2</v>
      </c>
      <c r="F116" s="1150">
        <v>30</v>
      </c>
    </row>
    <row r="117" spans="1:14" ht="36">
      <c r="A117" s="1150">
        <v>57</v>
      </c>
      <c r="B117" s="346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1" t="s">
        <v>1633</v>
      </c>
      <c r="B121" s="3461"/>
      <c r="C121" s="3461"/>
      <c r="D121" s="3461"/>
      <c r="E121" s="3461"/>
      <c r="F121" s="3461"/>
      <c r="G121" s="3461"/>
      <c r="H121" s="3461"/>
      <c r="I121" s="3461"/>
      <c r="J121" s="346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6" t="s">
        <v>1039</v>
      </c>
      <c r="B1" s="3476"/>
      <c r="C1" s="3476"/>
      <c r="D1" s="3476"/>
      <c r="E1" s="3476"/>
      <c r="F1" s="347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7" t="s">
        <v>1052</v>
      </c>
      <c r="B2" s="3477"/>
      <c r="C2" s="3477"/>
      <c r="D2" s="3477"/>
      <c r="E2" s="3477"/>
      <c r="F2" s="347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80" t="s">
        <v>2079</v>
      </c>
      <c r="B1" s="3480"/>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3" t="s">
        <v>2576</v>
      </c>
      <c r="C1" s="3483"/>
      <c r="D1" s="3483"/>
      <c r="E1" s="3483"/>
      <c r="F1" s="3483"/>
      <c r="G1" s="3482" t="s">
        <v>2577</v>
      </c>
      <c r="H1" s="3482"/>
      <c r="I1" s="3482"/>
      <c r="J1" s="3482"/>
      <c r="K1" s="3482"/>
      <c r="L1" s="3482"/>
      <c r="N1" s="3482" t="s">
        <v>2578</v>
      </c>
      <c r="O1" s="3482"/>
      <c r="P1" s="3482"/>
      <c r="Q1" s="3482"/>
      <c r="R1" s="2619"/>
      <c r="S1" s="3482" t="s">
        <v>2579</v>
      </c>
      <c r="T1" s="3482"/>
      <c r="U1" s="3482"/>
      <c r="V1" s="3482"/>
      <c r="X1" s="3481" t="s">
        <v>2639</v>
      </c>
      <c r="Y1" s="3482"/>
      <c r="Z1" s="3482"/>
      <c r="AA1" s="3482"/>
      <c r="AB1" s="3482"/>
      <c r="AD1" s="3481" t="s">
        <v>2643</v>
      </c>
      <c r="AE1" s="3482"/>
      <c r="AF1" s="3482"/>
      <c r="AG1" s="3482"/>
      <c r="AH1" s="3482"/>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94">
        <v>1.53</v>
      </c>
      <c r="J6" s="3194">
        <v>1.01</v>
      </c>
      <c r="K6" s="3194">
        <v>1.62</v>
      </c>
      <c r="L6" s="3195">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85">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85"/>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85"/>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91"/>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90">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85"/>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85"/>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91"/>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90">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85"/>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85"/>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6"/>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84">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85"/>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85"/>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6"/>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84">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85"/>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85"/>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6"/>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7">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8"/>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8"/>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9"/>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84">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85"/>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85"/>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86"/>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84">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85">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85">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6">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84">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85">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85">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6">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84">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85">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85">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6">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84">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85">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85">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6">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84">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85">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85">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6">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84">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85">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85">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6">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84">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85">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85">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6">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84">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85">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85">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6">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84">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85">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85">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86">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84">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85">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85">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86">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105380平方米。根据《建设工程规划许可证》[]、《出让合同》[]，估价对象规划建筑面积为302223.06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2019年7月26日（评估专业人员勘察现场之日）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根据《国有土地使用证》[]，估价对象（分摊）出让国有建设用地使用权面积为105380平方米。根据《建设工程规划许可证》[]、《出让合同》[]，估价对象规划建筑面积为302223.06平方米。</v>
      </c>
    </row>
    <row r="21" spans="1:1" ht="18.75">
      <c r="A21" s="1777" t="s">
        <v>2074</v>
      </c>
    </row>
    <row r="22" spans="1:1" ht="11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15日、商业2059年8月15日地下车库2069年8月15日、地下仓储2069年8月15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-3.5</v>
      </c>
      <c r="G1" s="774">
        <f>MATCH(C1,'数据-取费表'!A6:A16,0)+5</f>
        <v>12</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93" t="s">
        <v>2463</v>
      </c>
      <c r="C8" s="1811">
        <f ca="1">ROUND(F8*F10*F9*(1-F11)/10000,0)</f>
        <v>0</v>
      </c>
      <c r="D8" s="1808" t="s">
        <v>2534</v>
      </c>
      <c r="E8" s="61" t="s">
        <v>637</v>
      </c>
      <c r="F8" s="785">
        <f ca="1">INDIRECT("'数据-取费表'!u"&amp;$G$1)</f>
        <v>0</v>
      </c>
      <c r="G8" s="1579"/>
      <c r="H8" s="2469" t="s">
        <v>1824</v>
      </c>
      <c r="I8" s="3493" t="s">
        <v>2463</v>
      </c>
      <c r="J8" s="783">
        <f ca="1">ROUND(M8*M10*M9*(1-M11)/10000,0)</f>
        <v>0</v>
      </c>
      <c r="K8" s="341" t="s">
        <v>2534</v>
      </c>
      <c r="L8" s="784" t="s">
        <v>1738</v>
      </c>
      <c r="M8" s="785">
        <f ca="1">INDIRECT("'数据-取费表'!z"&amp;$G$1)</f>
        <v>0</v>
      </c>
    </row>
    <row r="9" spans="1:25" ht="18" customHeight="1">
      <c r="A9" s="2465"/>
      <c r="B9" s="3494"/>
      <c r="C9" s="1812"/>
      <c r="D9" s="1809"/>
      <c r="E9" s="61" t="s">
        <v>638</v>
      </c>
      <c r="F9" s="785">
        <f ca="1">IF(INDIRECT("'数据-取费表'!ah"&amp;$G$1)="",INDIRECT("'数据-取费表'!k"&amp;$G$1),INDIRECT("'数据-取费表'!ah"&amp;$G$1))</f>
        <v>0</v>
      </c>
      <c r="G9" s="1579"/>
      <c r="H9" s="2454"/>
      <c r="I9" s="3494"/>
      <c r="J9" s="788"/>
      <c r="K9" s="789"/>
      <c r="L9" s="784" t="s">
        <v>1739</v>
      </c>
      <c r="M9" s="785">
        <f ca="1">F9</f>
        <v>0</v>
      </c>
    </row>
    <row r="10" spans="1:25" ht="18" customHeight="1">
      <c r="A10" s="2458"/>
      <c r="B10" s="3495"/>
      <c r="C10" s="1812"/>
      <c r="D10" s="1809"/>
      <c r="E10" s="61" t="s">
        <v>639</v>
      </c>
      <c r="F10" s="785">
        <f ca="1">INDIRECT("'数据-取费表'!ai"&amp;$G$1)</f>
        <v>0</v>
      </c>
      <c r="G10" s="1579"/>
      <c r="H10" s="2454"/>
      <c r="I10" s="3495"/>
      <c r="J10" s="788"/>
      <c r="K10" s="789"/>
      <c r="L10" s="784" t="s">
        <v>1740</v>
      </c>
      <c r="M10" s="785">
        <f ca="1">INDIRECT("'数据-取费表'!ai"&amp;$G$1)</f>
        <v>0</v>
      </c>
    </row>
    <row r="11" spans="1:25" ht="18" customHeight="1">
      <c r="A11" s="786"/>
      <c r="B11" s="3496"/>
      <c r="C11" s="1812"/>
      <c r="D11" s="1809"/>
      <c r="E11" s="61" t="s">
        <v>640</v>
      </c>
      <c r="F11" s="794">
        <f ca="1">INDIRECT("'数据-取费表'!w"&amp;$G$1)</f>
        <v>0</v>
      </c>
      <c r="G11" s="1579"/>
      <c r="H11" s="2470"/>
      <c r="I11" s="3495"/>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1.6999999999999999E-3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92"/>
      <c r="J36" s="2065"/>
      <c r="K36" s="2066"/>
      <c r="L36" s="2065"/>
      <c r="M36" s="2065"/>
    </row>
    <row r="37" spans="1:18" ht="18" customHeight="1">
      <c r="A37" s="815"/>
      <c r="B37" s="793"/>
      <c r="C37" s="69"/>
      <c r="D37" s="816"/>
      <c r="E37" s="784" t="s">
        <v>674</v>
      </c>
      <c r="F37" s="785">
        <f ca="1">INDIRECT("'数据-取费表'!r"&amp;$G$1)</f>
        <v>0</v>
      </c>
      <c r="G37" s="2048"/>
      <c r="H37" s="2051"/>
      <c r="I37" s="349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0">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f ca="1">C31</f>
        <v>0</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-3.5</v>
      </c>
      <c r="K54" s="3497"/>
      <c r="L54" s="3498"/>
      <c r="O54" s="2366" t="s">
        <v>2388</v>
      </c>
      <c r="P54" s="2364" t="s">
        <v>2389</v>
      </c>
      <c r="Q54" s="2365">
        <f ca="1">J54</f>
        <v>-3.5</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1" zoomScale="80" zoomScaleNormal="80" workbookViewId="0">
      <selection activeCell="M42" sqref="M4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3001</v>
      </c>
      <c r="E1" s="2591"/>
      <c r="F1" s="2763" t="s">
        <v>3267</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66462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13999</v>
      </c>
      <c r="C3" s="852" t="s">
        <v>722</v>
      </c>
      <c r="D3" s="851">
        <f>SUMIF('数据-汇总表'!$C19:$C33,D1,'数据-汇总表'!$E19:$E33)</f>
        <v>47476.27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5" t="s">
        <v>522</v>
      </c>
      <c r="D4" s="3426"/>
      <c r="E4" s="3449" t="s">
        <v>523</v>
      </c>
      <c r="F4" s="3450"/>
      <c r="G4" s="3425" t="s">
        <v>524</v>
      </c>
      <c r="H4" s="3426"/>
      <c r="I4" s="3425" t="s">
        <v>525</v>
      </c>
      <c r="J4" s="3426"/>
      <c r="K4" s="853" t="s">
        <v>526</v>
      </c>
      <c r="L4" s="2119"/>
      <c r="M4" s="2120"/>
      <c r="N4" s="2120"/>
      <c r="O4" s="2120"/>
      <c r="P4" s="3427" t="s">
        <v>527</v>
      </c>
      <c r="Q4" s="3428"/>
      <c r="R4" s="3413" t="s">
        <v>523</v>
      </c>
      <c r="S4" s="3414"/>
      <c r="T4" s="3413" t="s">
        <v>524</v>
      </c>
      <c r="U4" s="3414"/>
      <c r="V4" s="3433" t="s">
        <v>525</v>
      </c>
      <c r="W4" s="3433"/>
      <c r="X4" s="3189"/>
      <c r="Y4" s="3413" t="s">
        <v>527</v>
      </c>
      <c r="Z4" s="3414"/>
      <c r="AA4" s="3408" t="s">
        <v>523</v>
      </c>
      <c r="AB4" s="3408" t="s">
        <v>524</v>
      </c>
      <c r="AC4" s="3408" t="s">
        <v>525</v>
      </c>
    </row>
    <row r="5" spans="1:29" ht="15">
      <c r="A5" s="515"/>
      <c r="B5" s="516"/>
      <c r="C5" s="3436" t="s">
        <v>2931</v>
      </c>
      <c r="D5" s="3437"/>
      <c r="E5" s="3502" t="s">
        <v>3231</v>
      </c>
      <c r="F5" s="3452"/>
      <c r="G5" s="3503" t="s">
        <v>3253</v>
      </c>
      <c r="H5" s="3437"/>
      <c r="I5" s="3503" t="s">
        <v>3274</v>
      </c>
      <c r="J5" s="3437"/>
      <c r="K5" s="854"/>
      <c r="L5" s="2119"/>
      <c r="M5" s="2120"/>
      <c r="N5" s="2120"/>
      <c r="O5" s="2120"/>
      <c r="P5" s="3429"/>
      <c r="Q5" s="3430"/>
      <c r="R5" s="3415"/>
      <c r="S5" s="3416"/>
      <c r="T5" s="3415"/>
      <c r="U5" s="3416"/>
      <c r="V5" s="3433"/>
      <c r="W5" s="3433"/>
      <c r="X5" s="3189"/>
      <c r="Y5" s="3415"/>
      <c r="Z5" s="3416"/>
      <c r="AA5" s="3409"/>
      <c r="AB5" s="3409"/>
      <c r="AC5" s="3409"/>
    </row>
    <row r="6" spans="1:29" ht="15.75" thickBot="1">
      <c r="A6" s="517"/>
      <c r="B6" s="518"/>
      <c r="C6" s="3434" t="s">
        <v>2935</v>
      </c>
      <c r="D6" s="3435"/>
      <c r="E6" s="3453" t="s">
        <v>2935</v>
      </c>
      <c r="F6" s="3454"/>
      <c r="G6" s="3434" t="s">
        <v>2935</v>
      </c>
      <c r="H6" s="3435"/>
      <c r="I6" s="3434" t="s">
        <v>2935</v>
      </c>
      <c r="J6" s="3435"/>
      <c r="K6" s="854" t="s">
        <v>528</v>
      </c>
      <c r="L6" s="2119"/>
      <c r="M6" s="2120"/>
      <c r="N6" s="2120"/>
      <c r="O6" s="2120"/>
      <c r="P6" s="3431"/>
      <c r="Q6" s="3432"/>
      <c r="R6" s="3415"/>
      <c r="S6" s="3416"/>
      <c r="T6" s="3417"/>
      <c r="U6" s="3418"/>
      <c r="V6" s="3433"/>
      <c r="W6" s="3433"/>
      <c r="X6" s="3189"/>
      <c r="Y6" s="3417"/>
      <c r="Z6" s="3418"/>
      <c r="AA6" s="3410"/>
      <c r="AB6" s="3410"/>
      <c r="AC6" s="3410"/>
    </row>
    <row r="7" spans="1:29" s="1216" customFormat="1" ht="15.75" thickBot="1">
      <c r="A7" s="2868"/>
      <c r="B7" s="2875" t="s">
        <v>529</v>
      </c>
      <c r="C7" s="519">
        <f>'数据-取费表'!B2</f>
        <v>43672</v>
      </c>
      <c r="D7" s="520">
        <v>100</v>
      </c>
      <c r="E7" s="521">
        <f>C7</f>
        <v>43672</v>
      </c>
      <c r="F7" s="522">
        <f>SUMIF(58:58,YEAR(E7)&amp;"-"&amp;MONTH(E7),59:59)</f>
        <v>100</v>
      </c>
      <c r="G7" s="521">
        <f>E7</f>
        <v>43672</v>
      </c>
      <c r="H7" s="520">
        <f>SUMIF(58:58,YEAR(G7)&amp;"-"&amp;MONTH(G7),59:59)</f>
        <v>100</v>
      </c>
      <c r="I7" s="521">
        <f>G7</f>
        <v>43672</v>
      </c>
      <c r="J7" s="520">
        <f>SUMIF(58:58,YEAR(I7)&amp;"-"&amp;MONTH(I7),59:59)</f>
        <v>100</v>
      </c>
      <c r="K7" s="855"/>
      <c r="L7" s="2121"/>
      <c r="M7" s="2122"/>
      <c r="N7" s="2122"/>
      <c r="O7" s="2122"/>
      <c r="P7" s="3411" t="s">
        <v>530</v>
      </c>
      <c r="Q7" s="3420"/>
      <c r="R7" s="1555" t="s">
        <v>13</v>
      </c>
      <c r="S7" s="1556">
        <f t="shared" ref="S7:S15" si="0">F7</f>
        <v>100</v>
      </c>
      <c r="T7" s="1555" t="s">
        <v>13</v>
      </c>
      <c r="U7" s="1556">
        <f t="shared" ref="U7:U15" si="1">H7</f>
        <v>100</v>
      </c>
      <c r="V7" s="1555" t="s">
        <v>13</v>
      </c>
      <c r="W7" s="1556">
        <f t="shared" ref="W7:W15" si="2">J7</f>
        <v>100</v>
      </c>
      <c r="X7" s="1557"/>
      <c r="Y7" s="3411" t="s">
        <v>530</v>
      </c>
      <c r="Z7" s="3412"/>
      <c r="AA7" s="1558">
        <f>D7/F7</f>
        <v>1</v>
      </c>
      <c r="AB7" s="1558">
        <f>D7/H7</f>
        <v>1</v>
      </c>
      <c r="AC7" s="1558">
        <f>D7/J7</f>
        <v>1</v>
      </c>
    </row>
    <row r="8" spans="1:29" s="1216" customFormat="1" ht="15.75" thickBot="1">
      <c r="A8" s="2869"/>
      <c r="B8" s="2876" t="s">
        <v>531</v>
      </c>
      <c r="C8" s="525" t="s">
        <v>576</v>
      </c>
      <c r="D8" s="520">
        <v>100</v>
      </c>
      <c r="E8" s="856" t="s">
        <v>3225</v>
      </c>
      <c r="F8" s="522">
        <f>SUMIF(61:61,E8,62:62)-SUMIF(61:61,C8,62:62)+100</f>
        <v>100</v>
      </c>
      <c r="G8" s="525" t="s">
        <v>3225</v>
      </c>
      <c r="H8" s="520">
        <f>SUMIF(61:61,G8,62:62)-SUMIF(61:61,C8,62:62)+100</f>
        <v>100</v>
      </c>
      <c r="I8" s="856" t="s">
        <v>3225</v>
      </c>
      <c r="J8" s="520">
        <f>SUMIF(61:61,I8,62:62)-SUMIF(61:61,C8,62:62)+100</f>
        <v>100</v>
      </c>
      <c r="K8" s="855"/>
      <c r="L8" s="2121"/>
      <c r="M8" s="2122"/>
      <c r="N8" s="2122"/>
      <c r="O8" s="2122"/>
      <c r="P8" s="3411" t="s">
        <v>533</v>
      </c>
      <c r="Q8" s="3412"/>
      <c r="R8" s="1555" t="s">
        <v>13</v>
      </c>
      <c r="S8" s="1556">
        <f t="shared" si="0"/>
        <v>100</v>
      </c>
      <c r="T8" s="1555" t="s">
        <v>13</v>
      </c>
      <c r="U8" s="1556">
        <f t="shared" si="1"/>
        <v>100</v>
      </c>
      <c r="V8" s="1555" t="s">
        <v>13</v>
      </c>
      <c r="W8" s="1556">
        <f t="shared" si="2"/>
        <v>100</v>
      </c>
      <c r="X8" s="1557"/>
      <c r="Y8" s="3411" t="s">
        <v>533</v>
      </c>
      <c r="Z8" s="3412"/>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9" t="s">
        <v>535</v>
      </c>
      <c r="Q9" s="3184" t="str">
        <f t="shared" ref="Q9:Q15" si="6">B9</f>
        <v>用途</v>
      </c>
      <c r="R9" s="1555" t="s">
        <v>8</v>
      </c>
      <c r="S9" s="1556">
        <f t="shared" si="0"/>
        <v>100</v>
      </c>
      <c r="T9" s="1555" t="s">
        <v>8</v>
      </c>
      <c r="U9" s="1556">
        <f t="shared" si="1"/>
        <v>100</v>
      </c>
      <c r="V9" s="1555" t="s">
        <v>8</v>
      </c>
      <c r="W9" s="1556">
        <f t="shared" si="2"/>
        <v>100</v>
      </c>
      <c r="X9" s="1557"/>
      <c r="Y9" s="3376" t="s">
        <v>536</v>
      </c>
      <c r="Z9" s="3182"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9"/>
      <c r="Q10" s="3184" t="str">
        <f t="shared" si="6"/>
        <v>土地使用年限（年）</v>
      </c>
      <c r="R10" s="1555" t="s">
        <v>8</v>
      </c>
      <c r="S10" s="1556">
        <f t="shared" si="0"/>
        <v>100</v>
      </c>
      <c r="T10" s="1555" t="s">
        <v>8</v>
      </c>
      <c r="U10" s="1556">
        <f t="shared" si="1"/>
        <v>100</v>
      </c>
      <c r="V10" s="1555" t="s">
        <v>8</v>
      </c>
      <c r="W10" s="1556">
        <f t="shared" si="2"/>
        <v>100</v>
      </c>
      <c r="X10" s="1557"/>
      <c r="Y10" s="3376"/>
      <c r="Z10" s="3182" t="str">
        <f t="shared" si="7"/>
        <v>土地使用年限（年）</v>
      </c>
      <c r="AA10" s="1558">
        <f t="shared" si="3"/>
        <v>1</v>
      </c>
      <c r="AB10" s="1558">
        <f t="shared" si="4"/>
        <v>1</v>
      </c>
      <c r="AC10" s="1558">
        <f t="shared" si="5"/>
        <v>1</v>
      </c>
    </row>
    <row r="11" spans="1:29" ht="15.75" thickBot="1">
      <c r="A11" s="2872"/>
      <c r="B11" s="2876" t="s">
        <v>2758</v>
      </c>
      <c r="C11" s="533">
        <f>'数据-汇总表'!I6</f>
        <v>2.1</v>
      </c>
      <c r="D11" s="255">
        <v>100</v>
      </c>
      <c r="E11" s="534">
        <v>1.8</v>
      </c>
      <c r="F11" s="863">
        <f>LOOKUP(E11,68:68,69:69)-LOOKUP(C11,68:68,69:69)+100</f>
        <v>102</v>
      </c>
      <c r="G11" s="533">
        <v>2</v>
      </c>
      <c r="H11" s="255">
        <f>LOOKUP(G11,68:68,69:69)-LOOKUP(C11,68:68,69:69)+100</f>
        <v>100</v>
      </c>
      <c r="I11" s="533">
        <v>1.8</v>
      </c>
      <c r="J11" s="255">
        <f>LOOKUP(I11,68:68,69:69)-LOOKUP(C11,68:68,69:69)+100</f>
        <v>102</v>
      </c>
      <c r="K11" s="864">
        <v>2</v>
      </c>
      <c r="L11" s="2126"/>
      <c r="M11" s="2120"/>
      <c r="N11" s="2120"/>
      <c r="O11" s="2127"/>
      <c r="P11" s="3419"/>
      <c r="Q11" s="3184" t="str">
        <f t="shared" si="6"/>
        <v>容积率</v>
      </c>
      <c r="R11" s="1555" t="s">
        <v>11</v>
      </c>
      <c r="S11" s="1556">
        <f t="shared" si="0"/>
        <v>102</v>
      </c>
      <c r="T11" s="1555" t="s">
        <v>11</v>
      </c>
      <c r="U11" s="1556">
        <f t="shared" si="1"/>
        <v>100</v>
      </c>
      <c r="V11" s="1555" t="s">
        <v>11</v>
      </c>
      <c r="W11" s="1556">
        <f t="shared" si="2"/>
        <v>102</v>
      </c>
      <c r="X11" s="1557"/>
      <c r="Y11" s="3376"/>
      <c r="Z11" s="3182" t="str">
        <f t="shared" si="7"/>
        <v>容积率</v>
      </c>
      <c r="AA11" s="1558">
        <f t="shared" si="3"/>
        <v>0.98039215686274506</v>
      </c>
      <c r="AB11" s="1558">
        <f t="shared" si="4"/>
        <v>1</v>
      </c>
      <c r="AC11" s="1558">
        <f t="shared" si="5"/>
        <v>0.98039215686274506</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9"/>
      <c r="Q12" s="3184">
        <f t="shared" si="6"/>
        <v>111</v>
      </c>
      <c r="R12" s="1555" t="s">
        <v>11</v>
      </c>
      <c r="S12" s="1556">
        <f t="shared" si="0"/>
        <v>100</v>
      </c>
      <c r="T12" s="1555" t="s">
        <v>11</v>
      </c>
      <c r="U12" s="1556">
        <f t="shared" si="1"/>
        <v>100</v>
      </c>
      <c r="V12" s="1555" t="s">
        <v>11</v>
      </c>
      <c r="W12" s="1556">
        <f t="shared" si="2"/>
        <v>100</v>
      </c>
      <c r="X12" s="1557"/>
      <c r="Y12" s="3376"/>
      <c r="Z12" s="3182">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9"/>
      <c r="Q13" s="3184">
        <f t="shared" si="6"/>
        <v>111</v>
      </c>
      <c r="R13" s="1555" t="s">
        <v>11</v>
      </c>
      <c r="S13" s="1556">
        <f t="shared" si="0"/>
        <v>100</v>
      </c>
      <c r="T13" s="1555" t="s">
        <v>11</v>
      </c>
      <c r="U13" s="1556">
        <f t="shared" si="1"/>
        <v>100</v>
      </c>
      <c r="V13" s="1555" t="s">
        <v>11</v>
      </c>
      <c r="W13" s="1556">
        <f t="shared" si="2"/>
        <v>100</v>
      </c>
      <c r="X13" s="1557"/>
      <c r="Y13" s="3376"/>
      <c r="Z13" s="3182">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9"/>
      <c r="Q14" s="3184">
        <f t="shared" si="6"/>
        <v>111</v>
      </c>
      <c r="R14" s="1555" t="s">
        <v>11</v>
      </c>
      <c r="S14" s="1556">
        <f t="shared" si="0"/>
        <v>100</v>
      </c>
      <c r="T14" s="1555" t="s">
        <v>11</v>
      </c>
      <c r="U14" s="1556">
        <f t="shared" si="1"/>
        <v>100</v>
      </c>
      <c r="V14" s="1555" t="s">
        <v>11</v>
      </c>
      <c r="W14" s="1556">
        <f t="shared" si="2"/>
        <v>100</v>
      </c>
      <c r="X14" s="1557"/>
      <c r="Y14" s="3376"/>
      <c r="Z14" s="3182">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110</v>
      </c>
      <c r="G15" s="552"/>
      <c r="H15" s="549">
        <f>SUMIF(76:76,G16,77:77)-SUMIF(76:76,C16,77:77)+100</f>
        <v>110</v>
      </c>
      <c r="I15" s="550"/>
      <c r="J15" s="549">
        <f>SUMIF(76:76,I16,77:77)-SUMIF(76:76,C16,77:77)+100</f>
        <v>105</v>
      </c>
      <c r="K15" s="868">
        <v>5</v>
      </c>
      <c r="L15" s="2128"/>
      <c r="M15" s="2120"/>
      <c r="N15" s="2120"/>
      <c r="O15" s="2127"/>
      <c r="P15" s="3421" t="s">
        <v>540</v>
      </c>
      <c r="Q15" s="3190" t="str">
        <f t="shared" si="6"/>
        <v>居住社区成熟度</v>
      </c>
      <c r="R15" s="1560" t="s">
        <v>11</v>
      </c>
      <c r="S15" s="1561">
        <f t="shared" si="0"/>
        <v>110</v>
      </c>
      <c r="T15" s="1560" t="s">
        <v>11</v>
      </c>
      <c r="U15" s="1561">
        <f t="shared" si="1"/>
        <v>110</v>
      </c>
      <c r="V15" s="1560" t="s">
        <v>11</v>
      </c>
      <c r="W15" s="1561">
        <f t="shared" si="2"/>
        <v>105</v>
      </c>
      <c r="X15" s="3189"/>
      <c r="Y15" s="3421" t="s">
        <v>540</v>
      </c>
      <c r="Z15" s="3191" t="str">
        <f t="shared" si="7"/>
        <v>居住社区成熟度</v>
      </c>
      <c r="AA15" s="3192">
        <f t="shared" si="3"/>
        <v>0.90909090909090906</v>
      </c>
      <c r="AB15" s="3192">
        <f t="shared" si="4"/>
        <v>0.90909090909090906</v>
      </c>
      <c r="AC15" s="3192">
        <f t="shared" si="5"/>
        <v>0.95238095238095233</v>
      </c>
    </row>
    <row r="16" spans="1:29" ht="15">
      <c r="A16" s="532"/>
      <c r="B16" s="869"/>
      <c r="C16" s="576" t="s">
        <v>3276</v>
      </c>
      <c r="D16" s="555"/>
      <c r="E16" s="556" t="s">
        <v>3227</v>
      </c>
      <c r="F16" s="557"/>
      <c r="G16" s="558" t="s">
        <v>3227</v>
      </c>
      <c r="H16" s="559"/>
      <c r="I16" s="556" t="s">
        <v>3226</v>
      </c>
      <c r="J16" s="555"/>
      <c r="K16" s="870"/>
      <c r="L16" s="2128"/>
      <c r="M16" s="2120"/>
      <c r="N16" s="2120"/>
      <c r="O16" s="2127"/>
      <c r="P16" s="3422"/>
      <c r="Q16" s="3190"/>
      <c r="R16" s="1560"/>
      <c r="S16" s="1561"/>
      <c r="T16" s="1560"/>
      <c r="U16" s="1561"/>
      <c r="V16" s="1560"/>
      <c r="W16" s="1561"/>
      <c r="X16" s="3189"/>
      <c r="Y16" s="3422"/>
      <c r="Z16" s="3191"/>
      <c r="AA16" s="3192">
        <v>1</v>
      </c>
      <c r="AB16" s="3192">
        <v>1</v>
      </c>
      <c r="AC16" s="319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105</v>
      </c>
      <c r="G17" s="564"/>
      <c r="H17" s="565">
        <f>SUMIF(78:78,G18,79:79)-SUMIF(78:78,C18,79:79)+100</f>
        <v>105</v>
      </c>
      <c r="I17" s="562"/>
      <c r="J17" s="565">
        <f>SUMIF(78:78,I18,79:79)-SUMIF(78:78,C18,79:79)+100</f>
        <v>100</v>
      </c>
      <c r="K17" s="868">
        <v>5</v>
      </c>
      <c r="L17" s="2128"/>
      <c r="M17" s="2120"/>
      <c r="N17" s="2120"/>
      <c r="O17" s="2127"/>
      <c r="P17" s="3422"/>
      <c r="Q17" s="3190" t="str">
        <f>B17</f>
        <v>交通便捷度</v>
      </c>
      <c r="R17" s="1560" t="s">
        <v>11</v>
      </c>
      <c r="S17" s="1561">
        <f>F17</f>
        <v>105</v>
      </c>
      <c r="T17" s="1560" t="s">
        <v>11</v>
      </c>
      <c r="U17" s="1561">
        <f>H17</f>
        <v>105</v>
      </c>
      <c r="V17" s="1560" t="s">
        <v>11</v>
      </c>
      <c r="W17" s="1561">
        <f>J17</f>
        <v>100</v>
      </c>
      <c r="X17" s="3189"/>
      <c r="Y17" s="3422"/>
      <c r="Z17" s="3191" t="str">
        <f>Q17</f>
        <v>交通便捷度</v>
      </c>
      <c r="AA17" s="3192">
        <f t="shared" si="3"/>
        <v>0.95238095238095233</v>
      </c>
      <c r="AB17" s="3192">
        <f t="shared" si="4"/>
        <v>0.95238095238095233</v>
      </c>
      <c r="AC17" s="3192">
        <f t="shared" si="5"/>
        <v>1</v>
      </c>
    </row>
    <row r="18" spans="1:29" ht="15">
      <c r="A18" s="532"/>
      <c r="B18" s="595"/>
      <c r="C18" s="873" t="s">
        <v>3226</v>
      </c>
      <c r="D18" s="559"/>
      <c r="E18" s="568" t="s">
        <v>3227</v>
      </c>
      <c r="F18" s="563"/>
      <c r="G18" s="569" t="s">
        <v>3227</v>
      </c>
      <c r="H18" s="555"/>
      <c r="I18" s="568" t="s">
        <v>3226</v>
      </c>
      <c r="J18" s="555"/>
      <c r="K18" s="870"/>
      <c r="L18" s="2128"/>
      <c r="M18" s="2120"/>
      <c r="N18" s="2120"/>
      <c r="O18" s="2127"/>
      <c r="P18" s="3422"/>
      <c r="Q18" s="3190"/>
      <c r="R18" s="1560"/>
      <c r="S18" s="1561"/>
      <c r="T18" s="1560"/>
      <c r="U18" s="1561"/>
      <c r="V18" s="1560"/>
      <c r="W18" s="1561"/>
      <c r="X18" s="3189"/>
      <c r="Y18" s="3422"/>
      <c r="Z18" s="3191"/>
      <c r="AA18" s="3192">
        <v>1</v>
      </c>
      <c r="AB18" s="3192">
        <v>1</v>
      </c>
      <c r="AC18" s="3192">
        <v>1</v>
      </c>
    </row>
    <row r="19" spans="1:29" ht="42.75">
      <c r="A19" s="532"/>
      <c r="B19" s="2565" t="s">
        <v>2546</v>
      </c>
      <c r="C19" s="872" t="str">
        <f>估价对象房地状况!C7</f>
        <v>估价对象所在区域公共配套设施齐备情况</v>
      </c>
      <c r="D19" s="565">
        <v>100</v>
      </c>
      <c r="E19" s="570"/>
      <c r="F19" s="571">
        <f>SUMIF(80:80,E20,81:81)-SUMIF(80:80,C20,81:81)+100</f>
        <v>110</v>
      </c>
      <c r="G19" s="572"/>
      <c r="H19" s="559">
        <f>SUMIF(80:80,G20,81:81)-SUMIF(80:80,C20,81:81)+100</f>
        <v>110</v>
      </c>
      <c r="I19" s="570"/>
      <c r="J19" s="559">
        <f>SUMIF(80:80,I20,81:81)-SUMIF(80:80,C20,81:81)+100</f>
        <v>105</v>
      </c>
      <c r="K19" s="868">
        <v>5</v>
      </c>
      <c r="L19" s="2128"/>
      <c r="M19" s="2120"/>
      <c r="N19" s="2120"/>
      <c r="O19" s="2127"/>
      <c r="P19" s="3422"/>
      <c r="Q19" s="3190" t="str">
        <f>B19</f>
        <v>公共配套设施</v>
      </c>
      <c r="R19" s="1560" t="s">
        <v>11</v>
      </c>
      <c r="S19" s="1561">
        <f>F19</f>
        <v>110</v>
      </c>
      <c r="T19" s="1560" t="s">
        <v>11</v>
      </c>
      <c r="U19" s="1561">
        <f>H19</f>
        <v>110</v>
      </c>
      <c r="V19" s="1560" t="s">
        <v>11</v>
      </c>
      <c r="W19" s="1561">
        <f>J19</f>
        <v>105</v>
      </c>
      <c r="X19" s="3189"/>
      <c r="Y19" s="3422"/>
      <c r="Z19" s="3191" t="str">
        <f>Q19</f>
        <v>公共配套设施</v>
      </c>
      <c r="AA19" s="3192">
        <f t="shared" si="3"/>
        <v>0.90909090909090906</v>
      </c>
      <c r="AB19" s="3192">
        <f t="shared" si="4"/>
        <v>0.90909090909090906</v>
      </c>
      <c r="AC19" s="3192">
        <f t="shared" si="5"/>
        <v>0.95238095238095233</v>
      </c>
    </row>
    <row r="20" spans="1:29" ht="15">
      <c r="A20" s="532"/>
      <c r="B20" s="595"/>
      <c r="C20" s="576" t="s">
        <v>3276</v>
      </c>
      <c r="D20" s="555"/>
      <c r="E20" s="556" t="s">
        <v>3227</v>
      </c>
      <c r="F20" s="557"/>
      <c r="G20" s="558" t="s">
        <v>3227</v>
      </c>
      <c r="H20" s="555"/>
      <c r="I20" s="556" t="s">
        <v>3226</v>
      </c>
      <c r="J20" s="555"/>
      <c r="K20" s="870"/>
      <c r="L20" s="2128"/>
      <c r="M20" s="2120"/>
      <c r="N20" s="2120"/>
      <c r="O20" s="2127"/>
      <c r="P20" s="3422"/>
      <c r="Q20" s="3190"/>
      <c r="R20" s="1560"/>
      <c r="S20" s="1561"/>
      <c r="T20" s="1560"/>
      <c r="U20" s="1561"/>
      <c r="V20" s="1560"/>
      <c r="W20" s="1561"/>
      <c r="X20" s="3189"/>
      <c r="Y20" s="3422"/>
      <c r="Z20" s="3191"/>
      <c r="AA20" s="3192">
        <v>1</v>
      </c>
      <c r="AB20" s="3192">
        <v>1</v>
      </c>
      <c r="AC20" s="3192">
        <v>1</v>
      </c>
    </row>
    <row r="21" spans="1:29" ht="28.5">
      <c r="A21" s="532"/>
      <c r="B21" s="2558" t="s">
        <v>2547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8"/>
      <c r="M21" s="2120"/>
      <c r="N21" s="2120"/>
      <c r="O21" s="2127"/>
      <c r="P21" s="3422"/>
      <c r="Q21" s="3190" t="str">
        <f>B21</f>
        <v>基础设施水平</v>
      </c>
      <c r="R21" s="1560" t="s">
        <v>11</v>
      </c>
      <c r="S21" s="1561">
        <f>F21</f>
        <v>100</v>
      </c>
      <c r="T21" s="1560" t="s">
        <v>11</v>
      </c>
      <c r="U21" s="1561">
        <f>H21</f>
        <v>100</v>
      </c>
      <c r="V21" s="1560" t="s">
        <v>11</v>
      </c>
      <c r="W21" s="1561">
        <f>J21</f>
        <v>100</v>
      </c>
      <c r="X21" s="3189"/>
      <c r="Y21" s="3422"/>
      <c r="Z21" s="3191" t="str">
        <f>Q21</f>
        <v>基础设施水平</v>
      </c>
      <c r="AA21" s="3192">
        <f t="shared" ref="AA21" si="8">D21/F21</f>
        <v>1</v>
      </c>
      <c r="AB21" s="3192">
        <f t="shared" ref="AB21" si="9">D21/H21</f>
        <v>1</v>
      </c>
      <c r="AC21" s="3192">
        <f t="shared" ref="AC21" si="10">D21/J21</f>
        <v>1</v>
      </c>
    </row>
    <row r="22" spans="1:29" ht="15">
      <c r="A22" s="532"/>
      <c r="B22" s="922"/>
      <c r="C22" s="873" t="s">
        <v>3228</v>
      </c>
      <c r="D22" s="555"/>
      <c r="E22" s="576" t="s">
        <v>3228</v>
      </c>
      <c r="F22" s="557"/>
      <c r="G22" s="576" t="s">
        <v>3228</v>
      </c>
      <c r="H22" s="555"/>
      <c r="I22" s="576" t="s">
        <v>3228</v>
      </c>
      <c r="J22" s="555"/>
      <c r="K22" s="2564"/>
      <c r="L22" s="2128"/>
      <c r="M22" s="2120"/>
      <c r="N22" s="2120"/>
      <c r="O22" s="2127"/>
      <c r="P22" s="3422"/>
      <c r="Q22" s="3190"/>
      <c r="R22" s="1560"/>
      <c r="S22" s="1561"/>
      <c r="T22" s="1560"/>
      <c r="U22" s="1561"/>
      <c r="V22" s="1560"/>
      <c r="W22" s="1561"/>
      <c r="X22" s="3189"/>
      <c r="Y22" s="3422"/>
      <c r="Z22" s="3191"/>
      <c r="AA22" s="3192">
        <v>1</v>
      </c>
      <c r="AB22" s="3192">
        <v>1</v>
      </c>
      <c r="AC22" s="319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22"/>
      <c r="Q23" s="3190" t="str">
        <f>B23</f>
        <v>自然及人文环境</v>
      </c>
      <c r="R23" s="1560" t="s">
        <v>11</v>
      </c>
      <c r="S23" s="1561">
        <f>F23</f>
        <v>100</v>
      </c>
      <c r="T23" s="1560" t="s">
        <v>11</v>
      </c>
      <c r="U23" s="1561">
        <f>H23</f>
        <v>100</v>
      </c>
      <c r="V23" s="1560" t="s">
        <v>11</v>
      </c>
      <c r="W23" s="1561">
        <f>J23</f>
        <v>100</v>
      </c>
      <c r="X23" s="3189"/>
      <c r="Y23" s="3422"/>
      <c r="Z23" s="3191" t="str">
        <f>Q23</f>
        <v>自然及人文环境</v>
      </c>
      <c r="AA23" s="3192">
        <f t="shared" si="3"/>
        <v>1</v>
      </c>
      <c r="AB23" s="3192">
        <f t="shared" si="4"/>
        <v>1</v>
      </c>
      <c r="AC23" s="3192">
        <f t="shared" si="5"/>
        <v>1</v>
      </c>
    </row>
    <row r="24" spans="1:29" ht="15.75" thickBot="1">
      <c r="A24" s="532"/>
      <c r="B24" s="595"/>
      <c r="C24" s="576" t="s">
        <v>3227</v>
      </c>
      <c r="D24" s="555"/>
      <c r="E24" s="556" t="s">
        <v>3227</v>
      </c>
      <c r="F24" s="557"/>
      <c r="G24" s="558" t="s">
        <v>3227</v>
      </c>
      <c r="H24" s="555"/>
      <c r="I24" s="556" t="s">
        <v>3227</v>
      </c>
      <c r="J24" s="555"/>
      <c r="K24" s="870"/>
      <c r="L24" s="2128"/>
      <c r="M24" s="2120"/>
      <c r="N24" s="2120"/>
      <c r="O24" s="2127"/>
      <c r="P24" s="3422"/>
      <c r="Q24" s="3190"/>
      <c r="R24" s="1560"/>
      <c r="S24" s="1561"/>
      <c r="T24" s="1560"/>
      <c r="U24" s="1561"/>
      <c r="V24" s="1560"/>
      <c r="W24" s="1561"/>
      <c r="X24" s="3189"/>
      <c r="Y24" s="3422"/>
      <c r="Z24" s="3191"/>
      <c r="AA24" s="3192">
        <v>1</v>
      </c>
      <c r="AB24" s="3192">
        <v>1</v>
      </c>
      <c r="AC24" s="3192">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2"/>
      <c r="Q25" s="3190" t="str">
        <f t="shared" ref="Q25:Q46" si="11">B25</f>
        <v>楼层-1</v>
      </c>
      <c r="R25" s="1560" t="s">
        <v>11</v>
      </c>
      <c r="S25" s="1561">
        <f>F25</f>
        <v>100</v>
      </c>
      <c r="T25" s="1560" t="s">
        <v>11</v>
      </c>
      <c r="U25" s="1561">
        <f>H25</f>
        <v>100</v>
      </c>
      <c r="V25" s="1560" t="s">
        <v>11</v>
      </c>
      <c r="W25" s="1561">
        <f>J25</f>
        <v>100</v>
      </c>
      <c r="X25" s="3189"/>
      <c r="Y25" s="3422"/>
      <c r="Z25" s="3191" t="str">
        <f>Q25</f>
        <v>楼层-1</v>
      </c>
      <c r="AA25" s="3192">
        <f t="shared" si="3"/>
        <v>1</v>
      </c>
      <c r="AB25" s="3192">
        <f t="shared" si="4"/>
        <v>1</v>
      </c>
      <c r="AC25" s="319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2"/>
      <c r="Q26" s="3190" t="str">
        <f t="shared" si="11"/>
        <v>朝向</v>
      </c>
      <c r="R26" s="1560" t="s">
        <v>11</v>
      </c>
      <c r="S26" s="1561">
        <f>F26</f>
        <v>100</v>
      </c>
      <c r="T26" s="1560" t="s">
        <v>11</v>
      </c>
      <c r="U26" s="1561">
        <f>H26</f>
        <v>100</v>
      </c>
      <c r="V26" s="1560" t="s">
        <v>11</v>
      </c>
      <c r="W26" s="1561">
        <f>J26</f>
        <v>100</v>
      </c>
      <c r="X26" s="3189"/>
      <c r="Y26" s="3422"/>
      <c r="Z26" s="3191" t="str">
        <f>Q26</f>
        <v>朝向</v>
      </c>
      <c r="AA26" s="3192">
        <f t="shared" si="3"/>
        <v>1</v>
      </c>
      <c r="AB26" s="3192">
        <f t="shared" si="4"/>
        <v>1</v>
      </c>
      <c r="AC26" s="3192">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2"/>
      <c r="Q27" s="3184" t="str">
        <f t="shared" si="11"/>
        <v>道路级别</v>
      </c>
      <c r="R27" s="1555" t="s">
        <v>11</v>
      </c>
      <c r="S27" s="1556">
        <f>F27</f>
        <v>100</v>
      </c>
      <c r="T27" s="1555" t="s">
        <v>11</v>
      </c>
      <c r="U27" s="1556">
        <f>H27</f>
        <v>100</v>
      </c>
      <c r="V27" s="1555" t="s">
        <v>11</v>
      </c>
      <c r="W27" s="1556">
        <f>J27</f>
        <v>100</v>
      </c>
      <c r="X27" s="1557"/>
      <c r="Y27" s="3422"/>
      <c r="Z27" s="3182" t="str">
        <f>Q27</f>
        <v>道路级别</v>
      </c>
      <c r="AA27" s="3192">
        <f>D27/F27</f>
        <v>1</v>
      </c>
      <c r="AB27" s="3192">
        <f>D27/H27</f>
        <v>1</v>
      </c>
      <c r="AC27" s="319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2"/>
      <c r="Q28" s="3190">
        <f t="shared" si="11"/>
        <v>111</v>
      </c>
      <c r="R28" s="1560" t="s">
        <v>11</v>
      </c>
      <c r="S28" s="1561">
        <f t="shared" ref="S28:S46" si="12">F28</f>
        <v>100</v>
      </c>
      <c r="T28" s="1560" t="s">
        <v>11</v>
      </c>
      <c r="U28" s="1561">
        <f t="shared" ref="U28:U46" si="13">H28</f>
        <v>100</v>
      </c>
      <c r="V28" s="1560" t="s">
        <v>11</v>
      </c>
      <c r="W28" s="1561">
        <f t="shared" ref="W28:W46" si="14">J28</f>
        <v>100</v>
      </c>
      <c r="X28" s="3189"/>
      <c r="Y28" s="3422"/>
      <c r="Z28" s="3191">
        <f t="shared" ref="Z28:Z46" si="15">Q28</f>
        <v>111</v>
      </c>
      <c r="AA28" s="3192">
        <f t="shared" si="3"/>
        <v>1</v>
      </c>
      <c r="AB28" s="3192">
        <f t="shared" si="4"/>
        <v>1</v>
      </c>
      <c r="AC28" s="319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2"/>
      <c r="Q29" s="3190">
        <f t="shared" si="11"/>
        <v>111</v>
      </c>
      <c r="R29" s="1560" t="s">
        <v>11</v>
      </c>
      <c r="S29" s="1561">
        <f t="shared" si="12"/>
        <v>100</v>
      </c>
      <c r="T29" s="1560" t="s">
        <v>11</v>
      </c>
      <c r="U29" s="1561">
        <f t="shared" si="13"/>
        <v>100</v>
      </c>
      <c r="V29" s="1560" t="s">
        <v>11</v>
      </c>
      <c r="W29" s="1561">
        <f t="shared" si="14"/>
        <v>100</v>
      </c>
      <c r="X29" s="3189"/>
      <c r="Y29" s="3422"/>
      <c r="Z29" s="3191">
        <f t="shared" si="15"/>
        <v>111</v>
      </c>
      <c r="AA29" s="3192">
        <f t="shared" si="3"/>
        <v>1</v>
      </c>
      <c r="AB29" s="3192">
        <f t="shared" si="4"/>
        <v>1</v>
      </c>
      <c r="AC29" s="319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2"/>
      <c r="Q30" s="3190">
        <f t="shared" si="11"/>
        <v>111</v>
      </c>
      <c r="R30" s="1560" t="s">
        <v>11</v>
      </c>
      <c r="S30" s="1561">
        <f t="shared" si="12"/>
        <v>100</v>
      </c>
      <c r="T30" s="1560" t="s">
        <v>11</v>
      </c>
      <c r="U30" s="1561">
        <f t="shared" si="13"/>
        <v>100</v>
      </c>
      <c r="V30" s="1560" t="s">
        <v>11</v>
      </c>
      <c r="W30" s="1561">
        <f t="shared" si="14"/>
        <v>100</v>
      </c>
      <c r="X30" s="3189"/>
      <c r="Y30" s="3422"/>
      <c r="Z30" s="3191">
        <f t="shared" si="15"/>
        <v>111</v>
      </c>
      <c r="AA30" s="3192">
        <f t="shared" si="3"/>
        <v>1</v>
      </c>
      <c r="AB30" s="3192">
        <f t="shared" si="4"/>
        <v>1</v>
      </c>
      <c r="AC30" s="319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2"/>
      <c r="Q31" s="3190">
        <f t="shared" si="11"/>
        <v>111</v>
      </c>
      <c r="R31" s="1560" t="s">
        <v>11</v>
      </c>
      <c r="S31" s="1561">
        <f t="shared" si="12"/>
        <v>100</v>
      </c>
      <c r="T31" s="1560" t="s">
        <v>11</v>
      </c>
      <c r="U31" s="1561">
        <f t="shared" si="13"/>
        <v>100</v>
      </c>
      <c r="V31" s="1560" t="s">
        <v>11</v>
      </c>
      <c r="W31" s="1561">
        <f t="shared" si="14"/>
        <v>100</v>
      </c>
      <c r="X31" s="3189"/>
      <c r="Y31" s="3422"/>
      <c r="Z31" s="3191">
        <f t="shared" si="15"/>
        <v>111</v>
      </c>
      <c r="AA31" s="3192">
        <f t="shared" si="3"/>
        <v>1</v>
      </c>
      <c r="AB31" s="3192">
        <f t="shared" si="4"/>
        <v>1</v>
      </c>
      <c r="AC31" s="3192">
        <f t="shared" si="5"/>
        <v>1</v>
      </c>
    </row>
    <row r="32" spans="1:29" ht="15">
      <c r="A32" s="2863" t="s">
        <v>2755</v>
      </c>
      <c r="B32" s="172" t="s">
        <v>725</v>
      </c>
      <c r="C32" s="878" t="s">
        <v>3001</v>
      </c>
      <c r="D32" s="597">
        <v>100</v>
      </c>
      <c r="E32" s="879" t="s">
        <v>3247</v>
      </c>
      <c r="F32" s="575">
        <f>SUMIF(100:100,E32,101:101)-SUMIF(100:100,C32,101:101)+100</f>
        <v>94</v>
      </c>
      <c r="G32" s="878" t="s">
        <v>3247</v>
      </c>
      <c r="H32" s="597">
        <f>SUMIF(100:100,G32,101:101)-SUMIF(100:100,C32,101:101)+100</f>
        <v>94</v>
      </c>
      <c r="I32" s="879" t="s">
        <v>3247</v>
      </c>
      <c r="J32" s="540">
        <f>SUMIF(100:100,I32,101:101)-SUMIF(100:100,C32,101:101)+100</f>
        <v>94</v>
      </c>
      <c r="K32" s="864">
        <v>6</v>
      </c>
      <c r="L32" s="2128"/>
      <c r="M32" s="2120"/>
      <c r="N32" s="2120"/>
      <c r="O32" s="2127"/>
      <c r="P32" s="3423" t="s">
        <v>550</v>
      </c>
      <c r="Q32" s="3190" t="str">
        <f t="shared" si="11"/>
        <v>建筑类型</v>
      </c>
      <c r="R32" s="1560" t="s">
        <v>11</v>
      </c>
      <c r="S32" s="1561">
        <f t="shared" si="12"/>
        <v>94</v>
      </c>
      <c r="T32" s="1560" t="s">
        <v>11</v>
      </c>
      <c r="U32" s="1561">
        <f t="shared" si="13"/>
        <v>94</v>
      </c>
      <c r="V32" s="1560" t="s">
        <v>11</v>
      </c>
      <c r="W32" s="1561">
        <f t="shared" si="14"/>
        <v>94</v>
      </c>
      <c r="X32" s="3189"/>
      <c r="Y32" s="3424" t="s">
        <v>550</v>
      </c>
      <c r="Z32" s="3191" t="str">
        <f t="shared" si="15"/>
        <v>建筑类型</v>
      </c>
      <c r="AA32" s="3192">
        <f t="shared" si="3"/>
        <v>1.0638297872340425</v>
      </c>
      <c r="AB32" s="3192">
        <f t="shared" si="4"/>
        <v>1.0638297872340425</v>
      </c>
      <c r="AC32" s="3192">
        <f t="shared" si="5"/>
        <v>1.0638297872340425</v>
      </c>
    </row>
    <row r="33" spans="1:29" s="1335" customFormat="1" ht="15">
      <c r="A33" s="603"/>
      <c r="B33" s="527" t="s">
        <v>726</v>
      </c>
      <c r="C33" s="880">
        <f>'数据-基础表'!B3</f>
        <v>302223.06</v>
      </c>
      <c r="D33" s="255">
        <v>100</v>
      </c>
      <c r="E33" s="534">
        <v>192929.5</v>
      </c>
      <c r="F33" s="863">
        <f>LOOKUP(E33,103:103,104:104)-LOOKUP(C33,103:103,104:104)+100</f>
        <v>100</v>
      </c>
      <c r="G33" s="533">
        <v>245000</v>
      </c>
      <c r="H33" s="255">
        <f>LOOKUP(G33,103:103,104:104)-LOOKUP(C33,103:103,104:104)+100</f>
        <v>100</v>
      </c>
      <c r="I33" s="534">
        <v>175500</v>
      </c>
      <c r="J33" s="255">
        <f>LOOKUP(I33,103:103,104:104)-LOOKUP(C33,103:103,104:104)+100</f>
        <v>100</v>
      </c>
      <c r="K33" s="865"/>
      <c r="L33" s="2126"/>
      <c r="M33" s="2157"/>
      <c r="N33" s="2157"/>
      <c r="O33" s="2129"/>
      <c r="P33" s="3424"/>
      <c r="Q33" s="1591" t="str">
        <f t="shared" si="11"/>
        <v>项目建筑规模</v>
      </c>
      <c r="R33" s="1564" t="s">
        <v>11</v>
      </c>
      <c r="S33" s="1565">
        <f t="shared" si="12"/>
        <v>100</v>
      </c>
      <c r="T33" s="1564" t="s">
        <v>11</v>
      </c>
      <c r="U33" s="1565">
        <f t="shared" si="13"/>
        <v>100</v>
      </c>
      <c r="V33" s="1564" t="s">
        <v>11</v>
      </c>
      <c r="W33" s="1565">
        <f t="shared" si="14"/>
        <v>100</v>
      </c>
      <c r="X33" s="1566"/>
      <c r="Y33" s="3424"/>
      <c r="Z33" s="1567" t="str">
        <f t="shared" si="15"/>
        <v>项目建筑规模</v>
      </c>
      <c r="AA33" s="3192">
        <f t="shared" si="3"/>
        <v>1</v>
      </c>
      <c r="AB33" s="3192">
        <f t="shared" si="4"/>
        <v>1</v>
      </c>
      <c r="AC33" s="3192">
        <f t="shared" si="5"/>
        <v>1</v>
      </c>
    </row>
    <row r="34" spans="1:29" ht="15">
      <c r="A34" s="594"/>
      <c r="B34" s="527" t="s">
        <v>727</v>
      </c>
      <c r="C34" s="881" t="s">
        <v>3235</v>
      </c>
      <c r="D34" s="540">
        <v>100</v>
      </c>
      <c r="E34" s="882" t="s">
        <v>3235</v>
      </c>
      <c r="F34" s="575">
        <f>SUMIF(105:105,E34,106:106)-SUMIF(105:105,C34,106:106)+100</f>
        <v>100</v>
      </c>
      <c r="G34" s="881" t="s">
        <v>3235</v>
      </c>
      <c r="H34" s="540">
        <f>SUMIF(105:105,G34,106:106)-SUMIF(105:105,C34,106:106)+100</f>
        <v>100</v>
      </c>
      <c r="I34" s="882" t="s">
        <v>3235</v>
      </c>
      <c r="J34" s="540">
        <f>SUMIF(105:105,I34,106:106)-SUMIF(105:105,C34,106:106)+100</f>
        <v>100</v>
      </c>
      <c r="K34" s="864">
        <v>2</v>
      </c>
      <c r="L34" s="2128"/>
      <c r="M34" s="2120"/>
      <c r="N34" s="2120"/>
      <c r="O34" s="2127"/>
      <c r="P34" s="3424"/>
      <c r="Q34" s="3190" t="str">
        <f t="shared" si="11"/>
        <v>建筑结构</v>
      </c>
      <c r="R34" s="1560" t="s">
        <v>11</v>
      </c>
      <c r="S34" s="1561">
        <f t="shared" si="12"/>
        <v>100</v>
      </c>
      <c r="T34" s="1560" t="s">
        <v>11</v>
      </c>
      <c r="U34" s="1561">
        <f t="shared" si="13"/>
        <v>100</v>
      </c>
      <c r="V34" s="1560" t="s">
        <v>11</v>
      </c>
      <c r="W34" s="1561">
        <f t="shared" si="14"/>
        <v>100</v>
      </c>
      <c r="X34" s="3189"/>
      <c r="Y34" s="3424"/>
      <c r="Z34" s="3191" t="str">
        <f t="shared" si="15"/>
        <v>建筑结构</v>
      </c>
      <c r="AA34" s="3192">
        <f t="shared" si="3"/>
        <v>1</v>
      </c>
      <c r="AB34" s="3192">
        <f t="shared" si="4"/>
        <v>1</v>
      </c>
      <c r="AC34" s="3192">
        <f t="shared" si="5"/>
        <v>1</v>
      </c>
    </row>
    <row r="35" spans="1:29" ht="15">
      <c r="A35" s="594"/>
      <c r="B35" s="527" t="s">
        <v>728</v>
      </c>
      <c r="C35" s="599" t="s">
        <v>3265</v>
      </c>
      <c r="D35" s="540">
        <v>100</v>
      </c>
      <c r="E35" s="874" t="s">
        <v>3265</v>
      </c>
      <c r="F35" s="575">
        <f>SUMIF(107:107,E35,108:108)-SUMIF(107:107,C35,108:108)+100</f>
        <v>100</v>
      </c>
      <c r="G35" s="599" t="s">
        <v>3265</v>
      </c>
      <c r="H35" s="540">
        <f>SUMIF(107:107,G35,108:108)-SUMIF(107:107,C35,108:108)+100</f>
        <v>100</v>
      </c>
      <c r="I35" s="874" t="s">
        <v>3265</v>
      </c>
      <c r="J35" s="540">
        <f>SUMIF(107:107,I35,108:108)-SUMIF(107:107,C35,108:108)+100</f>
        <v>100</v>
      </c>
      <c r="K35" s="864">
        <v>2</v>
      </c>
      <c r="L35" s="2128"/>
      <c r="M35" s="2120"/>
      <c r="N35" s="2120"/>
      <c r="O35" s="2127"/>
      <c r="P35" s="3424"/>
      <c r="Q35" s="3190" t="str">
        <f t="shared" si="11"/>
        <v>建筑品质</v>
      </c>
      <c r="R35" s="1560" t="s">
        <v>11</v>
      </c>
      <c r="S35" s="1561">
        <f t="shared" si="12"/>
        <v>100</v>
      </c>
      <c r="T35" s="1560" t="s">
        <v>11</v>
      </c>
      <c r="U35" s="1561">
        <f t="shared" si="13"/>
        <v>100</v>
      </c>
      <c r="V35" s="1560" t="s">
        <v>11</v>
      </c>
      <c r="W35" s="1561">
        <f t="shared" si="14"/>
        <v>100</v>
      </c>
      <c r="X35" s="3189"/>
      <c r="Y35" s="3424"/>
      <c r="Z35" s="3191" t="str">
        <f t="shared" si="15"/>
        <v>建筑品质</v>
      </c>
      <c r="AA35" s="3192">
        <f t="shared" si="3"/>
        <v>1</v>
      </c>
      <c r="AB35" s="3192">
        <f t="shared" si="4"/>
        <v>1</v>
      </c>
      <c r="AC35" s="3192">
        <f t="shared" si="5"/>
        <v>1</v>
      </c>
    </row>
    <row r="36" spans="1:29" ht="15">
      <c r="A36" s="594"/>
      <c r="B36" s="527" t="s">
        <v>729</v>
      </c>
      <c r="C36" s="599" t="s">
        <v>3251</v>
      </c>
      <c r="D36" s="540">
        <v>100</v>
      </c>
      <c r="E36" s="874" t="s">
        <v>3251</v>
      </c>
      <c r="F36" s="575">
        <f>SUMIF(109:109,E36,110:110)-SUMIF(109:109,C36,110:110)+100</f>
        <v>100</v>
      </c>
      <c r="G36" s="599" t="s">
        <v>3251</v>
      </c>
      <c r="H36" s="540">
        <f>SUMIF(109:109,G36,110:110)-SUMIF(109:109,C36,110:110)+100</f>
        <v>100</v>
      </c>
      <c r="I36" s="874" t="s">
        <v>3251</v>
      </c>
      <c r="J36" s="540">
        <f>SUMIF(109:109,I36,110:110)-SUMIF(109:109,C36,110:110)+100</f>
        <v>100</v>
      </c>
      <c r="K36" s="864">
        <v>1</v>
      </c>
      <c r="L36" s="2128"/>
      <c r="M36" s="2120"/>
      <c r="N36" s="2120"/>
      <c r="O36" s="2127"/>
      <c r="P36" s="3424"/>
      <c r="Q36" s="3190" t="str">
        <f t="shared" si="11"/>
        <v>公共部分装修</v>
      </c>
      <c r="R36" s="1560" t="s">
        <v>11</v>
      </c>
      <c r="S36" s="1561">
        <f t="shared" si="12"/>
        <v>100</v>
      </c>
      <c r="T36" s="1560" t="s">
        <v>11</v>
      </c>
      <c r="U36" s="1561">
        <f t="shared" si="13"/>
        <v>100</v>
      </c>
      <c r="V36" s="1560" t="s">
        <v>11</v>
      </c>
      <c r="W36" s="1561">
        <f t="shared" si="14"/>
        <v>100</v>
      </c>
      <c r="X36" s="3189"/>
      <c r="Y36" s="3424"/>
      <c r="Z36" s="3191" t="str">
        <f t="shared" si="15"/>
        <v>公共部分装修</v>
      </c>
      <c r="AA36" s="3192">
        <f t="shared" si="3"/>
        <v>1</v>
      </c>
      <c r="AB36" s="3192">
        <f t="shared" si="4"/>
        <v>1</v>
      </c>
      <c r="AC36" s="3192">
        <f t="shared" si="5"/>
        <v>1</v>
      </c>
    </row>
    <row r="37" spans="1:29" s="1216" customFormat="1" ht="21.75" customHeight="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424"/>
      <c r="Q37" s="3184" t="str">
        <f t="shared" si="11"/>
        <v>成新度</v>
      </c>
      <c r="R37" s="1555" t="s">
        <v>11</v>
      </c>
      <c r="S37" s="1556">
        <f t="shared" si="12"/>
        <v>100</v>
      </c>
      <c r="T37" s="1555" t="s">
        <v>11</v>
      </c>
      <c r="U37" s="1556">
        <f t="shared" si="13"/>
        <v>100</v>
      </c>
      <c r="V37" s="1555" t="s">
        <v>11</v>
      </c>
      <c r="W37" s="1556">
        <f t="shared" si="14"/>
        <v>100</v>
      </c>
      <c r="X37" s="1557"/>
      <c r="Y37" s="3424"/>
      <c r="Z37" s="3182" t="str">
        <f t="shared" si="15"/>
        <v>成新度</v>
      </c>
      <c r="AA37" s="1558">
        <f t="shared" si="3"/>
        <v>1</v>
      </c>
      <c r="AB37" s="1558">
        <f t="shared" si="4"/>
        <v>1</v>
      </c>
      <c r="AC37" s="1558">
        <f t="shared" si="5"/>
        <v>1</v>
      </c>
    </row>
    <row r="38" spans="1:29" ht="15">
      <c r="A38" s="594"/>
      <c r="B38" s="527" t="s">
        <v>731</v>
      </c>
      <c r="C38" s="599" t="s">
        <v>3240</v>
      </c>
      <c r="D38" s="540">
        <v>100</v>
      </c>
      <c r="E38" s="874" t="s">
        <v>3240</v>
      </c>
      <c r="F38" s="575">
        <f>SUMIF(114:114,E38,115:115)-SUMIF(114:114,C38,115:115)+100</f>
        <v>100</v>
      </c>
      <c r="G38" s="599" t="s">
        <v>3240</v>
      </c>
      <c r="H38" s="540">
        <f>SUMIF(114:114,G38,115:115)-SUMIF(114:114,C38,115:115)+100</f>
        <v>100</v>
      </c>
      <c r="I38" s="874" t="s">
        <v>3240</v>
      </c>
      <c r="J38" s="540">
        <f>SUMIF(114:114,I38,115:115)-SUMIF(114:114,C38,115:115)+100</f>
        <v>100</v>
      </c>
      <c r="K38" s="864">
        <v>2</v>
      </c>
      <c r="L38" s="2128"/>
      <c r="M38" s="2120"/>
      <c r="N38" s="2120"/>
      <c r="O38" s="2127"/>
      <c r="P38" s="3424" t="s">
        <v>550</v>
      </c>
      <c r="Q38" s="3190" t="str">
        <f t="shared" si="11"/>
        <v>物业管理</v>
      </c>
      <c r="R38" s="1560" t="s">
        <v>11</v>
      </c>
      <c r="S38" s="1561">
        <f t="shared" si="12"/>
        <v>100</v>
      </c>
      <c r="T38" s="1560" t="s">
        <v>11</v>
      </c>
      <c r="U38" s="1561">
        <f t="shared" si="13"/>
        <v>100</v>
      </c>
      <c r="V38" s="1560" t="s">
        <v>11</v>
      </c>
      <c r="W38" s="1561">
        <f t="shared" si="14"/>
        <v>100</v>
      </c>
      <c r="X38" s="3189"/>
      <c r="Y38" s="3424" t="s">
        <v>550</v>
      </c>
      <c r="Z38" s="3191" t="str">
        <f t="shared" si="15"/>
        <v>物业管理</v>
      </c>
      <c r="AA38" s="3192">
        <f t="shared" si="3"/>
        <v>1</v>
      </c>
      <c r="AB38" s="3192">
        <f t="shared" si="4"/>
        <v>1</v>
      </c>
      <c r="AC38" s="3192">
        <f t="shared" si="5"/>
        <v>1</v>
      </c>
    </row>
    <row r="39" spans="1:29" ht="15">
      <c r="A39" s="594"/>
      <c r="B39" s="1881" t="s">
        <v>2564</v>
      </c>
      <c r="C39" s="599" t="s">
        <v>3228</v>
      </c>
      <c r="D39" s="540">
        <v>100</v>
      </c>
      <c r="E39" s="874" t="s">
        <v>3228</v>
      </c>
      <c r="F39" s="575">
        <f>SUMIF(116:116,E39,117:117)-SUMIF(116:116,C39,117:117)+100</f>
        <v>100</v>
      </c>
      <c r="G39" s="599" t="s">
        <v>3228</v>
      </c>
      <c r="H39" s="540">
        <f>SUMIF(116:116,G39,117:117)-SUMIF(116:116,C39,117:117)+100</f>
        <v>100</v>
      </c>
      <c r="I39" s="874" t="s">
        <v>3228</v>
      </c>
      <c r="J39" s="540">
        <f>SUMIF(116:116,I39,117:117)-SUMIF(116:116,C39,117:117)+100</f>
        <v>100</v>
      </c>
      <c r="K39" s="864">
        <v>1</v>
      </c>
      <c r="L39" s="2128"/>
      <c r="M39" s="2120"/>
      <c r="N39" s="2120"/>
      <c r="O39" s="2127"/>
      <c r="P39" s="3424"/>
      <c r="Q39" s="3190" t="str">
        <f t="shared" si="11"/>
        <v>市政基础设施</v>
      </c>
      <c r="R39" s="1560" t="s">
        <v>11</v>
      </c>
      <c r="S39" s="1561">
        <f t="shared" si="12"/>
        <v>100</v>
      </c>
      <c r="T39" s="1560" t="s">
        <v>11</v>
      </c>
      <c r="U39" s="1561">
        <f t="shared" si="13"/>
        <v>100</v>
      </c>
      <c r="V39" s="1560" t="s">
        <v>11</v>
      </c>
      <c r="W39" s="1561">
        <f t="shared" si="14"/>
        <v>100</v>
      </c>
      <c r="X39" s="3189"/>
      <c r="Y39" s="3424"/>
      <c r="Z39" s="3191" t="str">
        <f t="shared" si="15"/>
        <v>市政基础设施</v>
      </c>
      <c r="AA39" s="3192">
        <f t="shared" si="3"/>
        <v>1</v>
      </c>
      <c r="AB39" s="3192">
        <f t="shared" si="4"/>
        <v>1</v>
      </c>
      <c r="AC39" s="319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4"/>
      <c r="Q40" s="3190" t="str">
        <f t="shared" si="11"/>
        <v>房型</v>
      </c>
      <c r="R40" s="1560" t="s">
        <v>11</v>
      </c>
      <c r="S40" s="1561">
        <f t="shared" si="12"/>
        <v>100</v>
      </c>
      <c r="T40" s="1560" t="s">
        <v>11</v>
      </c>
      <c r="U40" s="1561">
        <f t="shared" si="13"/>
        <v>100</v>
      </c>
      <c r="V40" s="1560" t="s">
        <v>11</v>
      </c>
      <c r="W40" s="1561">
        <f t="shared" si="14"/>
        <v>100</v>
      </c>
      <c r="X40" s="3189"/>
      <c r="Y40" s="3424"/>
      <c r="Z40" s="3191" t="str">
        <f t="shared" si="15"/>
        <v>房型</v>
      </c>
      <c r="AA40" s="3192">
        <f t="shared" si="3"/>
        <v>1</v>
      </c>
      <c r="AB40" s="3192">
        <f t="shared" si="4"/>
        <v>1</v>
      </c>
      <c r="AC40" s="319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4"/>
      <c r="Q41" s="1591" t="str">
        <f t="shared" si="11"/>
        <v>单套/主力户型建筑面积</v>
      </c>
      <c r="R41" s="1564" t="s">
        <v>11</v>
      </c>
      <c r="S41" s="1565">
        <f t="shared" si="12"/>
        <v>100</v>
      </c>
      <c r="T41" s="1564" t="s">
        <v>11</v>
      </c>
      <c r="U41" s="1565">
        <f t="shared" si="13"/>
        <v>100</v>
      </c>
      <c r="V41" s="1564" t="s">
        <v>11</v>
      </c>
      <c r="W41" s="1565">
        <f t="shared" si="14"/>
        <v>100</v>
      </c>
      <c r="X41" s="1566"/>
      <c r="Y41" s="3424"/>
      <c r="Z41" s="1567" t="str">
        <f t="shared" si="15"/>
        <v>单套/主力户型建筑面积</v>
      </c>
      <c r="AA41" s="3192">
        <f t="shared" si="3"/>
        <v>1</v>
      </c>
      <c r="AB41" s="3192">
        <f t="shared" si="4"/>
        <v>1</v>
      </c>
      <c r="AC41" s="3192">
        <f t="shared" si="5"/>
        <v>1</v>
      </c>
    </row>
    <row r="42" spans="1:29" ht="15">
      <c r="A42" s="594"/>
      <c r="B42" s="527" t="s">
        <v>734</v>
      </c>
      <c r="C42" s="599" t="s">
        <v>3266</v>
      </c>
      <c r="D42" s="540">
        <v>100</v>
      </c>
      <c r="E42" s="874" t="s">
        <v>3251</v>
      </c>
      <c r="F42" s="575">
        <f>SUMIF(122:122,E42,123:123)-SUMIF(122:122,C42,123:123)+100</f>
        <v>110</v>
      </c>
      <c r="G42" s="599" t="s">
        <v>3251</v>
      </c>
      <c r="H42" s="540">
        <f>SUMIF(122:122,G42,123:123)-SUMIF(122:122,C42,123:123)+100</f>
        <v>110</v>
      </c>
      <c r="I42" s="874" t="s">
        <v>3251</v>
      </c>
      <c r="J42" s="540">
        <f>SUMIF(122:122,I42,123:123)-SUMIF(122:122,C42,123:123)+100</f>
        <v>110</v>
      </c>
      <c r="K42" s="864">
        <v>5</v>
      </c>
      <c r="L42" s="2128"/>
      <c r="M42" s="2120"/>
      <c r="N42" s="2120"/>
      <c r="O42" s="2127"/>
      <c r="P42" s="3424"/>
      <c r="Q42" s="3190" t="str">
        <f t="shared" si="11"/>
        <v>内部装修</v>
      </c>
      <c r="R42" s="1560" t="s">
        <v>11</v>
      </c>
      <c r="S42" s="1561">
        <f t="shared" si="12"/>
        <v>110</v>
      </c>
      <c r="T42" s="1560" t="s">
        <v>11</v>
      </c>
      <c r="U42" s="1561">
        <f t="shared" si="13"/>
        <v>110</v>
      </c>
      <c r="V42" s="1560" t="s">
        <v>11</v>
      </c>
      <c r="W42" s="1561">
        <f t="shared" si="14"/>
        <v>110</v>
      </c>
      <c r="X42" s="3189"/>
      <c r="Y42" s="3424"/>
      <c r="Z42" s="3191" t="str">
        <f t="shared" si="15"/>
        <v>内部装修</v>
      </c>
      <c r="AA42" s="3192">
        <f t="shared" si="3"/>
        <v>0.90909090909090906</v>
      </c>
      <c r="AB42" s="3192">
        <f t="shared" si="4"/>
        <v>0.90909090909090906</v>
      </c>
      <c r="AC42" s="3192">
        <f t="shared" si="5"/>
        <v>0.90909090909090906</v>
      </c>
    </row>
    <row r="43" spans="1:29" ht="27">
      <c r="A43" s="594"/>
      <c r="B43" s="527" t="s">
        <v>735</v>
      </c>
      <c r="C43" s="599" t="s">
        <v>3227</v>
      </c>
      <c r="D43" s="540">
        <v>100</v>
      </c>
      <c r="E43" s="874" t="s">
        <v>3227</v>
      </c>
      <c r="F43" s="575">
        <f>SUMIF(124:124,E43,125:125)-SUMIF(124:124,C43,125:125)+100</f>
        <v>100</v>
      </c>
      <c r="G43" s="599" t="s">
        <v>3227</v>
      </c>
      <c r="H43" s="540">
        <f>SUMIF(124:124,G43,125:125)-SUMIF(124:124,C43,125:125)+100</f>
        <v>100</v>
      </c>
      <c r="I43" s="874" t="s">
        <v>3227</v>
      </c>
      <c r="J43" s="540">
        <f>SUMIF(124:124,I43,125:125)-SUMIF(124:124,C43,125:125)+100</f>
        <v>100</v>
      </c>
      <c r="K43" s="864">
        <v>2</v>
      </c>
      <c r="L43" s="2128"/>
      <c r="M43" s="2120"/>
      <c r="N43" s="2120"/>
      <c r="O43" s="2127"/>
      <c r="P43" s="3424"/>
      <c r="Q43" s="3190" t="str">
        <f t="shared" si="11"/>
        <v>内部装修维护情况</v>
      </c>
      <c r="R43" s="1560" t="s">
        <v>11</v>
      </c>
      <c r="S43" s="1561">
        <f t="shared" si="12"/>
        <v>100</v>
      </c>
      <c r="T43" s="1560" t="s">
        <v>11</v>
      </c>
      <c r="U43" s="1561">
        <f t="shared" si="13"/>
        <v>100</v>
      </c>
      <c r="V43" s="1560" t="s">
        <v>11</v>
      </c>
      <c r="W43" s="1561">
        <f t="shared" si="14"/>
        <v>100</v>
      </c>
      <c r="X43" s="3189"/>
      <c r="Y43" s="3424"/>
      <c r="Z43" s="3191" t="str">
        <f t="shared" si="15"/>
        <v>内部装修维护情况</v>
      </c>
      <c r="AA43" s="3192">
        <f t="shared" si="3"/>
        <v>1</v>
      </c>
      <c r="AB43" s="3192">
        <f t="shared" si="4"/>
        <v>1</v>
      </c>
      <c r="AC43" s="3192">
        <f t="shared" si="5"/>
        <v>1</v>
      </c>
    </row>
    <row r="44" spans="1:29" s="1216" customFormat="1" ht="15.75" thickBot="1">
      <c r="A44" s="600"/>
      <c r="B44" s="3224" t="s">
        <v>3269</v>
      </c>
      <c r="C44" s="3225" t="s">
        <v>3270</v>
      </c>
      <c r="D44" s="255">
        <v>100</v>
      </c>
      <c r="E44" s="3225" t="s">
        <v>3273</v>
      </c>
      <c r="F44" s="863">
        <f>SUMIF(126:126,E44,127:127)-SUMIF(126:126,C44,127:127)+100</f>
        <v>97</v>
      </c>
      <c r="G44" s="3225" t="s">
        <v>3273</v>
      </c>
      <c r="H44" s="255">
        <f>SUMIF(126:126,G44,127:127)-SUMIF(126:126,C44,127:127)+100</f>
        <v>97</v>
      </c>
      <c r="I44" s="3225" t="s">
        <v>3273</v>
      </c>
      <c r="J44" s="255">
        <f>SUMIF(126:126,I44,127:127)-SUMIF(126:126,C44,127:127)+100</f>
        <v>97</v>
      </c>
      <c r="K44" s="865"/>
      <c r="L44" s="2121"/>
      <c r="M44" s="2122"/>
      <c r="N44" s="2122"/>
      <c r="O44" s="2123"/>
      <c r="P44" s="3424"/>
      <c r="Q44" s="3184" t="str">
        <f t="shared" si="11"/>
        <v>赠送地下</v>
      </c>
      <c r="R44" s="1555" t="s">
        <v>11</v>
      </c>
      <c r="S44" s="1556">
        <f t="shared" si="12"/>
        <v>97</v>
      </c>
      <c r="T44" s="1555" t="s">
        <v>11</v>
      </c>
      <c r="U44" s="1556">
        <f t="shared" si="13"/>
        <v>97</v>
      </c>
      <c r="V44" s="1555" t="s">
        <v>11</v>
      </c>
      <c r="W44" s="1556">
        <f t="shared" si="14"/>
        <v>97</v>
      </c>
      <c r="X44" s="1557"/>
      <c r="Y44" s="3424"/>
      <c r="Z44" s="3182" t="str">
        <f t="shared" si="15"/>
        <v>赠送地下</v>
      </c>
      <c r="AA44" s="1558">
        <f t="shared" si="3"/>
        <v>1.0309278350515463</v>
      </c>
      <c r="AB44" s="1558">
        <f t="shared" si="4"/>
        <v>1.0309278350515463</v>
      </c>
      <c r="AC44" s="1558">
        <f t="shared" si="5"/>
        <v>1.0309278350515463</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4"/>
      <c r="Q45" s="3190">
        <f t="shared" si="11"/>
        <v>111</v>
      </c>
      <c r="R45" s="1560" t="s">
        <v>11</v>
      </c>
      <c r="S45" s="1561">
        <f t="shared" si="12"/>
        <v>100</v>
      </c>
      <c r="T45" s="1560" t="s">
        <v>11</v>
      </c>
      <c r="U45" s="1561">
        <f t="shared" si="13"/>
        <v>100</v>
      </c>
      <c r="V45" s="1560" t="s">
        <v>11</v>
      </c>
      <c r="W45" s="1561">
        <f t="shared" si="14"/>
        <v>100</v>
      </c>
      <c r="X45" s="3189"/>
      <c r="Y45" s="3424"/>
      <c r="Z45" s="3191">
        <f t="shared" si="15"/>
        <v>111</v>
      </c>
      <c r="AA45" s="3192">
        <f t="shared" si="3"/>
        <v>1</v>
      </c>
      <c r="AB45" s="3192">
        <f t="shared" si="4"/>
        <v>1</v>
      </c>
      <c r="AC45" s="3192">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1"/>
      <c r="Q46" s="3190">
        <f t="shared" si="11"/>
        <v>111</v>
      </c>
      <c r="R46" s="1560" t="s">
        <v>10</v>
      </c>
      <c r="S46" s="1561">
        <f t="shared" si="12"/>
        <v>100</v>
      </c>
      <c r="T46" s="1560" t="s">
        <v>10</v>
      </c>
      <c r="U46" s="1561">
        <f t="shared" si="13"/>
        <v>100</v>
      </c>
      <c r="V46" s="1560" t="s">
        <v>10</v>
      </c>
      <c r="W46" s="1561">
        <f t="shared" si="14"/>
        <v>100</v>
      </c>
      <c r="X46" s="3189"/>
      <c r="Y46" s="3501"/>
      <c r="Z46" s="3191">
        <f t="shared" si="15"/>
        <v>111</v>
      </c>
      <c r="AA46" s="3192">
        <f t="shared" si="3"/>
        <v>1</v>
      </c>
      <c r="AB46" s="3192">
        <f t="shared" si="4"/>
        <v>1</v>
      </c>
      <c r="AC46" s="3192">
        <f t="shared" si="5"/>
        <v>1</v>
      </c>
    </row>
    <row r="47" spans="1:29" ht="15">
      <c r="A47" s="607" t="s">
        <v>736</v>
      </c>
      <c r="B47" s="887"/>
      <c r="C47" s="2592" t="s">
        <v>9</v>
      </c>
      <c r="D47" s="2593"/>
      <c r="E47" s="2594">
        <f>ROUND(19000*C50,0)</f>
        <v>18050</v>
      </c>
      <c r="F47" s="2595"/>
      <c r="G47" s="2594">
        <f>ROUND(18500*C50,0)</f>
        <v>17575</v>
      </c>
      <c r="H47" s="2597"/>
      <c r="I47" s="2594">
        <f>ROUND(17000*C50,0)</f>
        <v>16150</v>
      </c>
      <c r="J47" s="2597"/>
      <c r="K47" s="1592"/>
      <c r="L47" s="2130"/>
      <c r="M47" s="2131"/>
      <c r="N47" s="2120"/>
      <c r="O47" s="2131"/>
      <c r="P47" s="3419" t="str">
        <f>A47</f>
        <v>成交单价（元/平方米）</v>
      </c>
      <c r="Q47" s="3419"/>
      <c r="R47" s="3499">
        <f>E47</f>
        <v>18050</v>
      </c>
      <c r="S47" s="3499"/>
      <c r="T47" s="3499">
        <f>G47</f>
        <v>17575</v>
      </c>
      <c r="U47" s="3499"/>
      <c r="V47" s="3499">
        <f>I47</f>
        <v>16150</v>
      </c>
      <c r="W47" s="3499"/>
      <c r="X47" s="1546"/>
      <c r="Y47" s="1568"/>
      <c r="Z47" s="1546"/>
      <c r="AA47" s="1546"/>
      <c r="AB47" s="1546"/>
      <c r="AC47" s="1546"/>
    </row>
    <row r="48" spans="1:29" ht="15.75" thickBot="1">
      <c r="A48" s="615" t="s">
        <v>2760</v>
      </c>
      <c r="B48" s="888"/>
      <c r="C48" s="2598">
        <f>R49</f>
        <v>13999</v>
      </c>
      <c r="D48" s="2599"/>
      <c r="E48" s="2600">
        <f>R48</f>
        <v>13887</v>
      </c>
      <c r="F48" s="2600"/>
      <c r="G48" s="2598">
        <f>T48</f>
        <v>13792</v>
      </c>
      <c r="H48" s="2599"/>
      <c r="I48" s="2600">
        <f>V48</f>
        <v>14319</v>
      </c>
      <c r="J48" s="2599"/>
      <c r="K48" s="1593"/>
      <c r="L48" s="2130"/>
      <c r="M48" s="2131"/>
      <c r="N48" s="2131"/>
      <c r="O48" s="2131"/>
      <c r="P48" s="3419" t="str">
        <f>A48</f>
        <v>比较价格（元/平方米）</v>
      </c>
      <c r="Q48" s="3419"/>
      <c r="R48" s="3499">
        <f>IF(F1="售价",ROUND(PRODUCT(R47,AA7:AA46),0),ROUND(PRODUCT(R47,AA7:AA46),1))</f>
        <v>13887</v>
      </c>
      <c r="S48" s="3499"/>
      <c r="T48" s="3499">
        <f>IF(F1="售价",ROUND(PRODUCT(T47,AB7:AB46),0),ROUND(PRODUCT(T47,AB7:AB46),1))</f>
        <v>13792</v>
      </c>
      <c r="U48" s="3499"/>
      <c r="V48" s="3499">
        <f>IF(F1="售价",ROUND(PRODUCT(V47,AC7:AC46),0),ROUND(PRODUCT(V47,AC7:AC46),1))</f>
        <v>14319</v>
      </c>
      <c r="W48" s="3499"/>
      <c r="X48" s="1546"/>
      <c r="Y48" s="1546"/>
      <c r="Z48" s="1546"/>
      <c r="AA48" s="1546"/>
      <c r="AB48" s="1546"/>
      <c r="AC48" s="1546"/>
    </row>
    <row r="49" spans="1:29" ht="15.75" thickBot="1">
      <c r="A49" s="621" t="s">
        <v>2937</v>
      </c>
      <c r="B49" s="622"/>
      <c r="C49" s="2601">
        <f>R49</f>
        <v>13999</v>
      </c>
      <c r="D49" s="2601"/>
      <c r="E49" s="2601"/>
      <c r="F49" s="2601"/>
      <c r="G49" s="2601"/>
      <c r="H49" s="2601"/>
      <c r="I49" s="2601"/>
      <c r="J49" s="2601"/>
      <c r="K49" s="1594"/>
      <c r="L49" s="2130"/>
      <c r="M49" s="2131"/>
      <c r="N49" s="2131"/>
      <c r="O49" s="2131"/>
      <c r="P49" s="3440" t="str">
        <f>A49</f>
        <v>估价对象XX用房的比较价格（楼面单价，元/平方米）</v>
      </c>
      <c r="Q49" s="3441"/>
      <c r="R49" s="3500">
        <f>IF(F1="售价",ROUND(AVERAGE(R48:V48),0),ROUND(AVERAGE(R48:V48),1))</f>
        <v>13999</v>
      </c>
      <c r="S49" s="3500"/>
      <c r="T49" s="3500"/>
      <c r="U49" s="3500"/>
      <c r="V49" s="3500"/>
      <c r="W49" s="3500"/>
      <c r="X49" s="1546"/>
      <c r="Y49" s="1546"/>
      <c r="Z49" s="1546"/>
      <c r="AA49" s="1546"/>
      <c r="AB49" s="1546"/>
      <c r="AC49" s="1546"/>
    </row>
    <row r="50" spans="1:29">
      <c r="A50" s="2131"/>
      <c r="B50" s="2131"/>
      <c r="C50" s="2131">
        <v>0.95</v>
      </c>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0.29977676964067124</v>
      </c>
      <c r="F52" s="627" t="str">
        <f>IF(OR(E52&gt;=0.3,E52&lt;=-0.3),"超过30%","")</f>
        <v/>
      </c>
      <c r="G52" s="626">
        <f>IF(G47&lt;G48,G48/G47-1,G47/G48-1)</f>
        <v>0.27428944315545234</v>
      </c>
      <c r="H52" s="627" t="str">
        <f>IF(OR(G52&gt;=0.3,G52&lt;=-0.3),"超过30%","")</f>
        <v/>
      </c>
      <c r="I52" s="626">
        <f>IF(I47&lt;I48,I48/I47-1,I47/I48-1)</f>
        <v>0.12787205810461622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6.8880510440836318E-3</v>
      </c>
      <c r="F53" s="627" t="str">
        <f>IF(OR(E53&gt;=0.2,E53&lt;=-0.2),"超过20%","")</f>
        <v/>
      </c>
      <c r="G53" s="626">
        <f>IF(G48&lt;I48,I48/G48-1,G48/I48-1)</f>
        <v>3.8210556844547661E-2</v>
      </c>
      <c r="H53" s="627" t="str">
        <f>IF(OR(G53&gt;=0.2,G53&lt;=-0.2),"超过20%","")</f>
        <v/>
      </c>
      <c r="I53" s="626">
        <f>IF(I48&lt;E48,E48/I48-1,I48/E48-1)</f>
        <v>3.1108230719377739E-2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2.7027027027026973E-2</v>
      </c>
      <c r="F54" s="627" t="str">
        <f>IF(OR(E54&gt;=0.3,E54&lt;=-0.3),"超过30%","")</f>
        <v/>
      </c>
      <c r="G54" s="626">
        <f>IF(G47&lt;I47,I47/G47-1,G47/I47-1)</f>
        <v>8.8235294117646967E-2</v>
      </c>
      <c r="H54" s="627" t="str">
        <f>IF(OR(G54&gt;=0.3,G54&lt;=-0.3),"超过30%","")</f>
        <v/>
      </c>
      <c r="I54" s="626">
        <f>IF(I47&lt;E47,E47/I47-1,I47/E47-1)</f>
        <v>0.11764705882352944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95</v>
      </c>
      <c r="E77" s="679">
        <f>D77-$K15</f>
        <v>90</v>
      </c>
      <c r="F77" s="679">
        <f>E77-$K15</f>
        <v>85</v>
      </c>
      <c r="G77" s="679">
        <f>F77-$K15</f>
        <v>80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95</v>
      </c>
      <c r="E79" s="679">
        <f>D79-$K17</f>
        <v>90</v>
      </c>
      <c r="F79" s="679">
        <f>E79-$K17</f>
        <v>85</v>
      </c>
      <c r="G79" s="679">
        <f>F79-$K17</f>
        <v>80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95</v>
      </c>
      <c r="E81" s="679">
        <f>D81-$K19</f>
        <v>90</v>
      </c>
      <c r="F81" s="679">
        <f>E81-$K19</f>
        <v>85</v>
      </c>
      <c r="G81" s="679">
        <f>F81-$K19</f>
        <v>80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2547</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98</v>
      </c>
      <c r="E83" s="679">
        <f>D83-$K21</f>
        <v>96</v>
      </c>
      <c r="F83" s="679">
        <f>E83-$K21</f>
        <v>94</v>
      </c>
      <c r="G83" s="679">
        <f>F83-$K21</f>
        <v>92</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5" thickTop="1">
      <c r="A100" s="664" t="s">
        <v>551</v>
      </c>
      <c r="B100" s="665" t="s">
        <v>747</v>
      </c>
      <c r="C100" s="3217" t="s">
        <v>3250</v>
      </c>
      <c r="D100" s="3217" t="s">
        <v>3248</v>
      </c>
      <c r="E100" s="3217" t="s">
        <v>3249</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94</v>
      </c>
      <c r="E101" s="679">
        <f t="shared" si="22"/>
        <v>88</v>
      </c>
      <c r="F101" s="679">
        <f t="shared" si="22"/>
        <v>82</v>
      </c>
      <c r="G101" s="679">
        <f t="shared" si="22"/>
        <v>76</v>
      </c>
      <c r="H101" s="679">
        <f t="shared" si="22"/>
        <v>70</v>
      </c>
      <c r="I101" s="679">
        <f t="shared" si="22"/>
        <v>64</v>
      </c>
      <c r="J101" s="679">
        <f t="shared" si="22"/>
        <v>58</v>
      </c>
      <c r="K101" s="679">
        <f t="shared" si="22"/>
        <v>52</v>
      </c>
      <c r="L101" s="679">
        <f t="shared" si="22"/>
        <v>46</v>
      </c>
      <c r="M101" s="679">
        <f t="shared" si="22"/>
        <v>40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0(含)-10000000</v>
      </c>
      <c r="D102" s="708" t="str">
        <f t="shared" ref="D102:L102" si="23">D103&amp;"(含)"&amp;"-"&amp;E103</f>
        <v>10000000(含)-200000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10000000</v>
      </c>
      <c r="E103" s="730">
        <v>200000</v>
      </c>
      <c r="F103" s="730">
        <v>300000</v>
      </c>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16" t="s">
        <v>3236</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17" t="s">
        <v>3237</v>
      </c>
      <c r="D107" s="3217" t="s">
        <v>3238</v>
      </c>
      <c r="E107" s="3217" t="s">
        <v>3239</v>
      </c>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16" t="s">
        <v>3232</v>
      </c>
      <c r="D109" s="3216" t="s">
        <v>3233</v>
      </c>
      <c r="E109" s="3216" t="s">
        <v>3234</v>
      </c>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16" t="s">
        <v>3241</v>
      </c>
      <c r="D114" s="3216" t="s">
        <v>3242</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216" t="s">
        <v>3243</v>
      </c>
      <c r="D116" s="3216" t="s">
        <v>3244</v>
      </c>
      <c r="E116" s="3216" t="s">
        <v>3245</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17" t="s">
        <v>3250</v>
      </c>
      <c r="D118" s="3217" t="s">
        <v>3248</v>
      </c>
      <c r="E118" s="3217" t="s">
        <v>3249</v>
      </c>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16" t="s">
        <v>3232</v>
      </c>
      <c r="D122" s="3216" t="s">
        <v>3233</v>
      </c>
      <c r="E122" s="3216" t="s">
        <v>3234</v>
      </c>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t="str">
        <f>B44</f>
        <v>赠送地下</v>
      </c>
      <c r="C126" s="3216" t="s">
        <v>3271</v>
      </c>
      <c r="D126" s="3216" t="s">
        <v>3272</v>
      </c>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v>100</v>
      </c>
      <c r="D127" s="671">
        <v>97</v>
      </c>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N33" sqref="N33"/>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3267</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209936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12507</v>
      </c>
      <c r="C3" s="852" t="s">
        <v>722</v>
      </c>
      <c r="D3" s="851">
        <f>SUMIF('数据-汇总表'!$C19:$C33,D1,'数据-汇总表'!$E19:$E33)</f>
        <v>167854.67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5" t="s">
        <v>522</v>
      </c>
      <c r="D4" s="3426"/>
      <c r="E4" s="3449" t="s">
        <v>523</v>
      </c>
      <c r="F4" s="3450"/>
      <c r="G4" s="3425" t="s">
        <v>524</v>
      </c>
      <c r="H4" s="3426"/>
      <c r="I4" s="3425" t="s">
        <v>525</v>
      </c>
      <c r="J4" s="3426"/>
      <c r="K4" s="853" t="s">
        <v>526</v>
      </c>
      <c r="L4" s="2119"/>
      <c r="M4" s="2120"/>
      <c r="N4" s="2120"/>
      <c r="O4" s="2120"/>
      <c r="P4" s="3427" t="s">
        <v>527</v>
      </c>
      <c r="Q4" s="3428"/>
      <c r="R4" s="3413" t="s">
        <v>523</v>
      </c>
      <c r="S4" s="3414"/>
      <c r="T4" s="3413" t="s">
        <v>524</v>
      </c>
      <c r="U4" s="3414"/>
      <c r="V4" s="3433" t="s">
        <v>525</v>
      </c>
      <c r="W4" s="3433"/>
      <c r="X4" s="1554"/>
      <c r="Y4" s="3413" t="s">
        <v>527</v>
      </c>
      <c r="Z4" s="3414"/>
      <c r="AA4" s="3408" t="s">
        <v>523</v>
      </c>
      <c r="AB4" s="3408" t="s">
        <v>524</v>
      </c>
      <c r="AC4" s="3408" t="s">
        <v>525</v>
      </c>
    </row>
    <row r="5" spans="1:29" ht="15">
      <c r="A5" s="515"/>
      <c r="B5" s="516"/>
      <c r="C5" s="3436" t="s">
        <v>2931</v>
      </c>
      <c r="D5" s="3437"/>
      <c r="E5" s="3502" t="s">
        <v>3231</v>
      </c>
      <c r="F5" s="3452"/>
      <c r="G5" s="3503" t="s">
        <v>3253</v>
      </c>
      <c r="H5" s="3437"/>
      <c r="I5" s="3503" t="s">
        <v>3274</v>
      </c>
      <c r="J5" s="3437"/>
      <c r="K5" s="854"/>
      <c r="L5" s="2119"/>
      <c r="M5" s="2120"/>
      <c r="N5" s="2120"/>
      <c r="O5" s="2120"/>
      <c r="P5" s="3429"/>
      <c r="Q5" s="3430"/>
      <c r="R5" s="3415"/>
      <c r="S5" s="3416"/>
      <c r="T5" s="3415"/>
      <c r="U5" s="3416"/>
      <c r="V5" s="3433"/>
      <c r="W5" s="3433"/>
      <c r="X5" s="1554"/>
      <c r="Y5" s="3415"/>
      <c r="Z5" s="3416"/>
      <c r="AA5" s="3409"/>
      <c r="AB5" s="3409"/>
      <c r="AC5" s="3409"/>
    </row>
    <row r="6" spans="1:29" ht="15.75" thickBot="1">
      <c r="A6" s="517"/>
      <c r="B6" s="518"/>
      <c r="C6" s="3434" t="s">
        <v>2935</v>
      </c>
      <c r="D6" s="3435"/>
      <c r="E6" s="3453" t="s">
        <v>2935</v>
      </c>
      <c r="F6" s="3454"/>
      <c r="G6" s="3434" t="s">
        <v>2935</v>
      </c>
      <c r="H6" s="3435"/>
      <c r="I6" s="3434" t="s">
        <v>2935</v>
      </c>
      <c r="J6" s="3435"/>
      <c r="K6" s="854" t="s">
        <v>528</v>
      </c>
      <c r="L6" s="2119"/>
      <c r="M6" s="2120"/>
      <c r="N6" s="2120"/>
      <c r="O6" s="2120"/>
      <c r="P6" s="3431"/>
      <c r="Q6" s="3432"/>
      <c r="R6" s="3415"/>
      <c r="S6" s="3416"/>
      <c r="T6" s="3417"/>
      <c r="U6" s="3418"/>
      <c r="V6" s="3433"/>
      <c r="W6" s="3433"/>
      <c r="X6" s="1554"/>
      <c r="Y6" s="3417"/>
      <c r="Z6" s="3418"/>
      <c r="AA6" s="3410"/>
      <c r="AB6" s="3410"/>
      <c r="AC6" s="3410"/>
    </row>
    <row r="7" spans="1:29" s="1216" customFormat="1" ht="15.75" thickBot="1">
      <c r="A7" s="2868"/>
      <c r="B7" s="2875" t="s">
        <v>529</v>
      </c>
      <c r="C7" s="519">
        <f>'数据-取费表'!B2</f>
        <v>43672</v>
      </c>
      <c r="D7" s="520">
        <v>100</v>
      </c>
      <c r="E7" s="521">
        <f>C7</f>
        <v>43672</v>
      </c>
      <c r="F7" s="522">
        <f>SUMIF(58:58,YEAR(E7)&amp;"-"&amp;MONTH(E7),59:59)</f>
        <v>100</v>
      </c>
      <c r="G7" s="521">
        <f>E7</f>
        <v>43672</v>
      </c>
      <c r="H7" s="520">
        <f>SUMIF(58:58,YEAR(G7)&amp;"-"&amp;MONTH(G7),59:59)</f>
        <v>100</v>
      </c>
      <c r="I7" s="521">
        <f>G7</f>
        <v>43672</v>
      </c>
      <c r="J7" s="520">
        <f>SUMIF(58:58,YEAR(I7)&amp;"-"&amp;MONTH(I7),59:59)</f>
        <v>100</v>
      </c>
      <c r="K7" s="855"/>
      <c r="L7" s="2121"/>
      <c r="M7" s="2122"/>
      <c r="N7" s="2122"/>
      <c r="O7" s="2122"/>
      <c r="P7" s="3411" t="s">
        <v>530</v>
      </c>
      <c r="Q7" s="3420"/>
      <c r="R7" s="1555" t="s">
        <v>13</v>
      </c>
      <c r="S7" s="1556">
        <f t="shared" ref="S7:S15" si="0">F7</f>
        <v>100</v>
      </c>
      <c r="T7" s="1555" t="s">
        <v>13</v>
      </c>
      <c r="U7" s="1556">
        <f t="shared" ref="U7:U15" si="1">H7</f>
        <v>100</v>
      </c>
      <c r="V7" s="1555" t="s">
        <v>13</v>
      </c>
      <c r="W7" s="1556">
        <f t="shared" ref="W7:W15" si="2">J7</f>
        <v>100</v>
      </c>
      <c r="X7" s="1557"/>
      <c r="Y7" s="3411" t="s">
        <v>530</v>
      </c>
      <c r="Z7" s="3412"/>
      <c r="AA7" s="1558">
        <f>D7/F7</f>
        <v>1</v>
      </c>
      <c r="AB7" s="1558">
        <f>D7/H7</f>
        <v>1</v>
      </c>
      <c r="AC7" s="1558">
        <f>D7/J7</f>
        <v>1</v>
      </c>
    </row>
    <row r="8" spans="1:29" s="1216" customFormat="1" ht="15.75" thickBot="1">
      <c r="A8" s="2869"/>
      <c r="B8" s="2876" t="s">
        <v>531</v>
      </c>
      <c r="C8" s="525" t="s">
        <v>576</v>
      </c>
      <c r="D8" s="520">
        <v>100</v>
      </c>
      <c r="E8" s="856" t="s">
        <v>3225</v>
      </c>
      <c r="F8" s="522">
        <f>SUMIF(61:61,E8,62:62)-SUMIF(61:61,C8,62:62)+100</f>
        <v>100</v>
      </c>
      <c r="G8" s="525" t="s">
        <v>3225</v>
      </c>
      <c r="H8" s="520">
        <f>SUMIF(61:61,G8,62:62)-SUMIF(61:61,C8,62:62)+100</f>
        <v>100</v>
      </c>
      <c r="I8" s="856" t="s">
        <v>3225</v>
      </c>
      <c r="J8" s="520">
        <f>SUMIF(61:61,I8,62:62)-SUMIF(61:61,C8,62:62)+100</f>
        <v>100</v>
      </c>
      <c r="K8" s="855"/>
      <c r="L8" s="2121"/>
      <c r="M8" s="2122"/>
      <c r="N8" s="2122"/>
      <c r="O8" s="2122"/>
      <c r="P8" s="3411" t="s">
        <v>533</v>
      </c>
      <c r="Q8" s="3412"/>
      <c r="R8" s="1555" t="s">
        <v>13</v>
      </c>
      <c r="S8" s="1556">
        <f t="shared" si="0"/>
        <v>100</v>
      </c>
      <c r="T8" s="1555" t="s">
        <v>13</v>
      </c>
      <c r="U8" s="1556">
        <f t="shared" si="1"/>
        <v>100</v>
      </c>
      <c r="V8" s="1555" t="s">
        <v>13</v>
      </c>
      <c r="W8" s="1556">
        <f t="shared" si="2"/>
        <v>100</v>
      </c>
      <c r="X8" s="1557"/>
      <c r="Y8" s="3411" t="s">
        <v>533</v>
      </c>
      <c r="Z8" s="3412"/>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9" t="s">
        <v>535</v>
      </c>
      <c r="Q9" s="1147" t="str">
        <f t="shared" ref="Q9:Q15" si="6">B9</f>
        <v>用途</v>
      </c>
      <c r="R9" s="1555" t="s">
        <v>8</v>
      </c>
      <c r="S9" s="1556">
        <f t="shared" si="0"/>
        <v>100</v>
      </c>
      <c r="T9" s="1555" t="s">
        <v>8</v>
      </c>
      <c r="U9" s="1556">
        <f t="shared" si="1"/>
        <v>100</v>
      </c>
      <c r="V9" s="1555" t="s">
        <v>8</v>
      </c>
      <c r="W9" s="1556">
        <f t="shared" si="2"/>
        <v>100</v>
      </c>
      <c r="X9" s="1557"/>
      <c r="Y9" s="3376" t="s">
        <v>536</v>
      </c>
      <c r="Z9" s="1146" t="str">
        <f t="shared" ref="Z9:Z15" si="7">Q9</f>
        <v>用途</v>
      </c>
      <c r="AA9" s="1558">
        <f t="shared" si="3"/>
        <v>1</v>
      </c>
      <c r="AB9" s="1558">
        <f t="shared" si="4"/>
        <v>1</v>
      </c>
      <c r="AC9" s="1558">
        <f t="shared" si="5"/>
        <v>1</v>
      </c>
    </row>
    <row r="10" spans="1:29" s="1334" customFormat="1" ht="27">
      <c r="A10" s="2871"/>
      <c r="B10" s="2876" t="s">
        <v>2757</v>
      </c>
      <c r="C10" s="861" t="s">
        <v>3268</v>
      </c>
      <c r="D10" s="255">
        <v>100</v>
      </c>
      <c r="E10" s="861" t="s">
        <v>3268</v>
      </c>
      <c r="F10" s="863">
        <f>SUMIF(65:65,E10,66:66)-SUMIF(65:65,C10,66:66)+100</f>
        <v>100</v>
      </c>
      <c r="G10" s="861" t="s">
        <v>3268</v>
      </c>
      <c r="H10" s="255">
        <f>SUMIF(65:65,G10,66:66)-SUMIF(65:65,C10,66:66)+100</f>
        <v>100</v>
      </c>
      <c r="I10" s="861" t="s">
        <v>3268</v>
      </c>
      <c r="J10" s="255">
        <f>SUMIF(65:65,I10,66:66)-SUMIF(65:65,C10,66:66)+100</f>
        <v>100</v>
      </c>
      <c r="K10" s="864"/>
      <c r="L10" s="2124"/>
      <c r="M10" s="2164"/>
      <c r="N10" s="2164"/>
      <c r="O10" s="2125"/>
      <c r="P10" s="3419"/>
      <c r="Q10" s="1147" t="str">
        <f t="shared" si="6"/>
        <v>土地使用年限（年）</v>
      </c>
      <c r="R10" s="1555" t="s">
        <v>8</v>
      </c>
      <c r="S10" s="1556">
        <f t="shared" si="0"/>
        <v>100</v>
      </c>
      <c r="T10" s="1555" t="s">
        <v>8</v>
      </c>
      <c r="U10" s="1556">
        <f t="shared" si="1"/>
        <v>100</v>
      </c>
      <c r="V10" s="1555" t="s">
        <v>8</v>
      </c>
      <c r="W10" s="1556">
        <f t="shared" si="2"/>
        <v>100</v>
      </c>
      <c r="X10" s="1557"/>
      <c r="Y10" s="3376"/>
      <c r="Z10" s="1146" t="str">
        <f t="shared" si="7"/>
        <v>土地使用年限（年）</v>
      </c>
      <c r="AA10" s="1558">
        <f t="shared" si="3"/>
        <v>1</v>
      </c>
      <c r="AB10" s="1558">
        <f t="shared" si="4"/>
        <v>1</v>
      </c>
      <c r="AC10" s="1558">
        <f t="shared" si="5"/>
        <v>1</v>
      </c>
    </row>
    <row r="11" spans="1:29" ht="15.75" thickBot="1">
      <c r="A11" s="2872"/>
      <c r="B11" s="2876" t="s">
        <v>2758</v>
      </c>
      <c r="C11" s="533">
        <f>'数据-汇总表'!I6</f>
        <v>2.1</v>
      </c>
      <c r="D11" s="255">
        <v>100</v>
      </c>
      <c r="E11" s="534">
        <v>1.8</v>
      </c>
      <c r="F11" s="863">
        <f>LOOKUP(E11,68:68,69:69)-LOOKUP(C11,68:68,69:69)+100</f>
        <v>102</v>
      </c>
      <c r="G11" s="533">
        <v>2</v>
      </c>
      <c r="H11" s="255">
        <f>LOOKUP(G11,68:68,69:69)-LOOKUP(C11,68:68,69:69)+100</f>
        <v>100</v>
      </c>
      <c r="I11" s="533">
        <v>1.8</v>
      </c>
      <c r="J11" s="255">
        <f>LOOKUP(I11,68:68,69:69)-LOOKUP(C11,68:68,69:69)+100</f>
        <v>102</v>
      </c>
      <c r="K11" s="864">
        <v>2</v>
      </c>
      <c r="L11" s="2126"/>
      <c r="M11" s="2120"/>
      <c r="N11" s="2120"/>
      <c r="O11" s="2127"/>
      <c r="P11" s="3419"/>
      <c r="Q11" s="1147" t="str">
        <f t="shared" si="6"/>
        <v>容积率</v>
      </c>
      <c r="R11" s="1555" t="s">
        <v>11</v>
      </c>
      <c r="S11" s="1556">
        <f t="shared" si="0"/>
        <v>102</v>
      </c>
      <c r="T11" s="1555" t="s">
        <v>11</v>
      </c>
      <c r="U11" s="1556">
        <f t="shared" si="1"/>
        <v>100</v>
      </c>
      <c r="V11" s="1555" t="s">
        <v>11</v>
      </c>
      <c r="W11" s="1556">
        <f t="shared" si="2"/>
        <v>102</v>
      </c>
      <c r="X11" s="1557"/>
      <c r="Y11" s="3376"/>
      <c r="Z11" s="1146" t="str">
        <f t="shared" si="7"/>
        <v>容积率</v>
      </c>
      <c r="AA11" s="1558">
        <f t="shared" si="3"/>
        <v>0.98039215686274506</v>
      </c>
      <c r="AB11" s="1558">
        <f t="shared" si="4"/>
        <v>1</v>
      </c>
      <c r="AC11" s="1558">
        <f t="shared" si="5"/>
        <v>0.98039215686274506</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9"/>
      <c r="Q12" s="1147">
        <f t="shared" si="6"/>
        <v>111</v>
      </c>
      <c r="R12" s="1555" t="s">
        <v>11</v>
      </c>
      <c r="S12" s="1556">
        <f t="shared" si="0"/>
        <v>100</v>
      </c>
      <c r="T12" s="1555" t="s">
        <v>11</v>
      </c>
      <c r="U12" s="1556">
        <f t="shared" si="1"/>
        <v>100</v>
      </c>
      <c r="V12" s="1555" t="s">
        <v>11</v>
      </c>
      <c r="W12" s="1556">
        <f t="shared" si="2"/>
        <v>100</v>
      </c>
      <c r="X12" s="1557"/>
      <c r="Y12" s="3376"/>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9"/>
      <c r="Q13" s="1147">
        <f t="shared" si="6"/>
        <v>111</v>
      </c>
      <c r="R13" s="1555" t="s">
        <v>11</v>
      </c>
      <c r="S13" s="1556">
        <f t="shared" si="0"/>
        <v>100</v>
      </c>
      <c r="T13" s="1555" t="s">
        <v>11</v>
      </c>
      <c r="U13" s="1556">
        <f t="shared" si="1"/>
        <v>100</v>
      </c>
      <c r="V13" s="1555" t="s">
        <v>11</v>
      </c>
      <c r="W13" s="1556">
        <f t="shared" si="2"/>
        <v>100</v>
      </c>
      <c r="X13" s="1557"/>
      <c r="Y13" s="3376"/>
      <c r="Z13" s="1146">
        <f t="shared" si="7"/>
        <v>111</v>
      </c>
      <c r="AA13" s="1558">
        <f t="shared" si="3"/>
        <v>1</v>
      </c>
      <c r="AB13" s="1558">
        <f t="shared" si="4"/>
        <v>1</v>
      </c>
      <c r="AC13" s="1558">
        <f t="shared" si="5"/>
        <v>1</v>
      </c>
    </row>
    <row r="14" spans="1:29" ht="18.75" hidden="1" customHeight="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9"/>
      <c r="Q14" s="1147">
        <f t="shared" si="6"/>
        <v>111</v>
      </c>
      <c r="R14" s="1555" t="s">
        <v>11</v>
      </c>
      <c r="S14" s="1556">
        <f t="shared" si="0"/>
        <v>100</v>
      </c>
      <c r="T14" s="1555" t="s">
        <v>11</v>
      </c>
      <c r="U14" s="1556">
        <f t="shared" si="1"/>
        <v>100</v>
      </c>
      <c r="V14" s="1555" t="s">
        <v>11</v>
      </c>
      <c r="W14" s="1556">
        <f t="shared" si="2"/>
        <v>100</v>
      </c>
      <c r="X14" s="1557"/>
      <c r="Y14" s="3376"/>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110</v>
      </c>
      <c r="G15" s="552"/>
      <c r="H15" s="549">
        <f>SUMIF(76:76,G16,77:77)-SUMIF(76:76,C16,77:77)+100</f>
        <v>110</v>
      </c>
      <c r="I15" s="550"/>
      <c r="J15" s="549">
        <f>SUMIF(76:76,I16,77:77)-SUMIF(76:76,C16,77:77)+100</f>
        <v>105</v>
      </c>
      <c r="K15" s="868">
        <v>5</v>
      </c>
      <c r="L15" s="2128"/>
      <c r="M15" s="2120"/>
      <c r="N15" s="2120"/>
      <c r="O15" s="2127"/>
      <c r="P15" s="3421" t="s">
        <v>540</v>
      </c>
      <c r="Q15" s="1559" t="str">
        <f t="shared" si="6"/>
        <v>居住社区成熟度</v>
      </c>
      <c r="R15" s="1560" t="s">
        <v>11</v>
      </c>
      <c r="S15" s="1561">
        <f t="shared" si="0"/>
        <v>110</v>
      </c>
      <c r="T15" s="1560" t="s">
        <v>11</v>
      </c>
      <c r="U15" s="1561">
        <f t="shared" si="1"/>
        <v>110</v>
      </c>
      <c r="V15" s="1560" t="s">
        <v>11</v>
      </c>
      <c r="W15" s="1561">
        <f t="shared" si="2"/>
        <v>105</v>
      </c>
      <c r="X15" s="1554"/>
      <c r="Y15" s="3421" t="s">
        <v>540</v>
      </c>
      <c r="Z15" s="1562" t="str">
        <f t="shared" si="7"/>
        <v>居住社区成熟度</v>
      </c>
      <c r="AA15" s="1563">
        <f t="shared" si="3"/>
        <v>0.90909090909090906</v>
      </c>
      <c r="AB15" s="1563">
        <f t="shared" si="4"/>
        <v>0.90909090909090906</v>
      </c>
      <c r="AC15" s="1563">
        <f t="shared" si="5"/>
        <v>0.95238095238095233</v>
      </c>
    </row>
    <row r="16" spans="1:29" ht="15">
      <c r="A16" s="532"/>
      <c r="B16" s="869"/>
      <c r="C16" s="576" t="s">
        <v>3276</v>
      </c>
      <c r="D16" s="555"/>
      <c r="E16" s="556" t="s">
        <v>3227</v>
      </c>
      <c r="F16" s="557"/>
      <c r="G16" s="558" t="s">
        <v>3227</v>
      </c>
      <c r="H16" s="559"/>
      <c r="I16" s="556" t="s">
        <v>3226</v>
      </c>
      <c r="J16" s="555"/>
      <c r="K16" s="870"/>
      <c r="L16" s="2128"/>
      <c r="M16" s="2120"/>
      <c r="N16" s="2120"/>
      <c r="O16" s="2127"/>
      <c r="P16" s="3422"/>
      <c r="Q16" s="1559"/>
      <c r="R16" s="1560"/>
      <c r="S16" s="1561"/>
      <c r="T16" s="1560"/>
      <c r="U16" s="1561"/>
      <c r="V16" s="1560"/>
      <c r="W16" s="1561"/>
      <c r="X16" s="1554"/>
      <c r="Y16" s="342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105</v>
      </c>
      <c r="G17" s="564"/>
      <c r="H17" s="565">
        <f>SUMIF(78:78,G18,79:79)-SUMIF(78:78,C18,79:79)+100</f>
        <v>105</v>
      </c>
      <c r="I17" s="562"/>
      <c r="J17" s="565">
        <f>SUMIF(78:78,I18,79:79)-SUMIF(78:78,C18,79:79)+100</f>
        <v>100</v>
      </c>
      <c r="K17" s="868">
        <v>5</v>
      </c>
      <c r="L17" s="2128"/>
      <c r="M17" s="2120"/>
      <c r="N17" s="2120"/>
      <c r="O17" s="2127"/>
      <c r="P17" s="3422"/>
      <c r="Q17" s="1559" t="str">
        <f>B17</f>
        <v>交通便捷度</v>
      </c>
      <c r="R17" s="1560" t="s">
        <v>11</v>
      </c>
      <c r="S17" s="1561">
        <f>F17</f>
        <v>105</v>
      </c>
      <c r="T17" s="1560" t="s">
        <v>11</v>
      </c>
      <c r="U17" s="1561">
        <f>H17</f>
        <v>105</v>
      </c>
      <c r="V17" s="1560" t="s">
        <v>11</v>
      </c>
      <c r="W17" s="1561">
        <f>J17</f>
        <v>100</v>
      </c>
      <c r="X17" s="1554"/>
      <c r="Y17" s="3422"/>
      <c r="Z17" s="1562" t="str">
        <f>Q17</f>
        <v>交通便捷度</v>
      </c>
      <c r="AA17" s="1563">
        <f t="shared" si="3"/>
        <v>0.95238095238095233</v>
      </c>
      <c r="AB17" s="1563">
        <f t="shared" si="4"/>
        <v>0.95238095238095233</v>
      </c>
      <c r="AC17" s="1563">
        <f t="shared" si="5"/>
        <v>1</v>
      </c>
    </row>
    <row r="18" spans="1:29" ht="15">
      <c r="A18" s="532"/>
      <c r="B18" s="595"/>
      <c r="C18" s="873" t="s">
        <v>3226</v>
      </c>
      <c r="D18" s="559"/>
      <c r="E18" s="568" t="s">
        <v>3227</v>
      </c>
      <c r="F18" s="563"/>
      <c r="G18" s="569" t="s">
        <v>3227</v>
      </c>
      <c r="H18" s="555"/>
      <c r="I18" s="568" t="s">
        <v>3226</v>
      </c>
      <c r="J18" s="555"/>
      <c r="K18" s="870"/>
      <c r="L18" s="2128"/>
      <c r="M18" s="2120"/>
      <c r="N18" s="2120"/>
      <c r="O18" s="2127"/>
      <c r="P18" s="3422"/>
      <c r="Q18" s="1559"/>
      <c r="R18" s="1560"/>
      <c r="S18" s="1561"/>
      <c r="T18" s="1560"/>
      <c r="U18" s="1561"/>
      <c r="V18" s="1560"/>
      <c r="W18" s="1561"/>
      <c r="X18" s="1554"/>
      <c r="Y18" s="3422"/>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110</v>
      </c>
      <c r="G19" s="572"/>
      <c r="H19" s="559">
        <f>SUMIF(80:80,G20,81:81)-SUMIF(80:80,C20,81:81)+100</f>
        <v>110</v>
      </c>
      <c r="I19" s="570"/>
      <c r="J19" s="559">
        <f>SUMIF(80:80,I20,81:81)-SUMIF(80:80,C20,81:81)+100</f>
        <v>105</v>
      </c>
      <c r="K19" s="868">
        <v>5</v>
      </c>
      <c r="L19" s="2128"/>
      <c r="M19" s="2120"/>
      <c r="N19" s="2120"/>
      <c r="O19" s="2127"/>
      <c r="P19" s="3422"/>
      <c r="Q19" s="1559" t="str">
        <f>B19</f>
        <v>公共配套设施</v>
      </c>
      <c r="R19" s="1560" t="s">
        <v>11</v>
      </c>
      <c r="S19" s="1561">
        <f>F19</f>
        <v>110</v>
      </c>
      <c r="T19" s="1560" t="s">
        <v>11</v>
      </c>
      <c r="U19" s="1561">
        <f>H19</f>
        <v>110</v>
      </c>
      <c r="V19" s="1560" t="s">
        <v>11</v>
      </c>
      <c r="W19" s="1561">
        <f>J19</f>
        <v>105</v>
      </c>
      <c r="X19" s="1554"/>
      <c r="Y19" s="3422"/>
      <c r="Z19" s="1562" t="str">
        <f>Q19</f>
        <v>公共配套设施</v>
      </c>
      <c r="AA19" s="1563">
        <f t="shared" si="3"/>
        <v>0.90909090909090906</v>
      </c>
      <c r="AB19" s="1563">
        <f t="shared" si="4"/>
        <v>0.90909090909090906</v>
      </c>
      <c r="AC19" s="1563">
        <f t="shared" si="5"/>
        <v>0.95238095238095233</v>
      </c>
    </row>
    <row r="20" spans="1:29" ht="15">
      <c r="A20" s="532"/>
      <c r="B20" s="595"/>
      <c r="C20" s="576" t="s">
        <v>3276</v>
      </c>
      <c r="D20" s="555"/>
      <c r="E20" s="556" t="s">
        <v>3227</v>
      </c>
      <c r="F20" s="557"/>
      <c r="G20" s="558" t="s">
        <v>3227</v>
      </c>
      <c r="H20" s="555"/>
      <c r="I20" s="556" t="s">
        <v>3226</v>
      </c>
      <c r="J20" s="555"/>
      <c r="K20" s="870"/>
      <c r="L20" s="2128"/>
      <c r="M20" s="2120"/>
      <c r="N20" s="2120"/>
      <c r="O20" s="2127"/>
      <c r="P20" s="3422"/>
      <c r="Q20" s="1559"/>
      <c r="R20" s="1560"/>
      <c r="S20" s="1561"/>
      <c r="T20" s="1560"/>
      <c r="U20" s="1561"/>
      <c r="V20" s="1560"/>
      <c r="W20" s="1561"/>
      <c r="X20" s="1554"/>
      <c r="Y20" s="3422"/>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8"/>
      <c r="M21" s="2120"/>
      <c r="N21" s="2120"/>
      <c r="O21" s="2127"/>
      <c r="P21" s="3422"/>
      <c r="Q21" s="2544" t="str">
        <f>B21</f>
        <v>基础设施水平</v>
      </c>
      <c r="R21" s="1560" t="s">
        <v>11</v>
      </c>
      <c r="S21" s="1561">
        <f>F21</f>
        <v>100</v>
      </c>
      <c r="T21" s="1560" t="s">
        <v>11</v>
      </c>
      <c r="U21" s="1561">
        <f>H21</f>
        <v>100</v>
      </c>
      <c r="V21" s="1560" t="s">
        <v>11</v>
      </c>
      <c r="W21" s="1561">
        <f>J21</f>
        <v>100</v>
      </c>
      <c r="X21" s="2546"/>
      <c r="Y21" s="3422"/>
      <c r="Z21" s="2545" t="str">
        <f>Q21</f>
        <v>基础设施水平</v>
      </c>
      <c r="AA21" s="1563">
        <f t="shared" ref="AA21" si="8">D21/F21</f>
        <v>1</v>
      </c>
      <c r="AB21" s="1563">
        <f t="shared" ref="AB21" si="9">D21/H21</f>
        <v>1</v>
      </c>
      <c r="AC21" s="1563">
        <f t="shared" ref="AC21" si="10">D21/J21</f>
        <v>1</v>
      </c>
    </row>
    <row r="22" spans="1:29" ht="15">
      <c r="A22" s="532"/>
      <c r="B22" s="922"/>
      <c r="C22" s="873" t="s">
        <v>3228</v>
      </c>
      <c r="D22" s="555"/>
      <c r="E22" s="576" t="s">
        <v>3228</v>
      </c>
      <c r="F22" s="557"/>
      <c r="G22" s="576" t="s">
        <v>3228</v>
      </c>
      <c r="H22" s="555"/>
      <c r="I22" s="576" t="s">
        <v>3228</v>
      </c>
      <c r="J22" s="555"/>
      <c r="K22" s="2564"/>
      <c r="L22" s="2128"/>
      <c r="M22" s="2120"/>
      <c r="N22" s="2120"/>
      <c r="O22" s="2127"/>
      <c r="P22" s="3422"/>
      <c r="Q22" s="2544"/>
      <c r="R22" s="1560"/>
      <c r="S22" s="1561"/>
      <c r="T22" s="1560"/>
      <c r="U22" s="1561"/>
      <c r="V22" s="1560"/>
      <c r="W22" s="1561"/>
      <c r="X22" s="2546"/>
      <c r="Y22" s="3422"/>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22"/>
      <c r="Q23" s="1559" t="str">
        <f>B23</f>
        <v>自然及人文环境</v>
      </c>
      <c r="R23" s="1560" t="s">
        <v>11</v>
      </c>
      <c r="S23" s="1561">
        <f>F23</f>
        <v>100</v>
      </c>
      <c r="T23" s="1560" t="s">
        <v>11</v>
      </c>
      <c r="U23" s="1561">
        <f>H23</f>
        <v>100</v>
      </c>
      <c r="V23" s="1560" t="s">
        <v>11</v>
      </c>
      <c r="W23" s="1561">
        <f>J23</f>
        <v>100</v>
      </c>
      <c r="X23" s="1554"/>
      <c r="Y23" s="3422"/>
      <c r="Z23" s="1562" t="str">
        <f>Q23</f>
        <v>自然及人文环境</v>
      </c>
      <c r="AA23" s="1563">
        <f t="shared" si="3"/>
        <v>1</v>
      </c>
      <c r="AB23" s="1563">
        <f t="shared" si="4"/>
        <v>1</v>
      </c>
      <c r="AC23" s="1563">
        <f t="shared" si="5"/>
        <v>1</v>
      </c>
    </row>
    <row r="24" spans="1:29" ht="15.75" thickBot="1">
      <c r="A24" s="532"/>
      <c r="B24" s="595"/>
      <c r="C24" s="576" t="s">
        <v>3227</v>
      </c>
      <c r="D24" s="555"/>
      <c r="E24" s="556" t="s">
        <v>3227</v>
      </c>
      <c r="F24" s="557"/>
      <c r="G24" s="558" t="s">
        <v>3227</v>
      </c>
      <c r="H24" s="555"/>
      <c r="I24" s="556" t="s">
        <v>3227</v>
      </c>
      <c r="J24" s="555"/>
      <c r="K24" s="870"/>
      <c r="L24" s="2128"/>
      <c r="M24" s="2120"/>
      <c r="N24" s="2120"/>
      <c r="O24" s="2127"/>
      <c r="P24" s="3422"/>
      <c r="Q24" s="1559"/>
      <c r="R24" s="1560"/>
      <c r="S24" s="1561"/>
      <c r="T24" s="1560"/>
      <c r="U24" s="1561"/>
      <c r="V24" s="1560"/>
      <c r="W24" s="1561"/>
      <c r="X24" s="1554"/>
      <c r="Y24" s="3422"/>
      <c r="Z24" s="1562"/>
      <c r="AA24" s="1563">
        <v>1</v>
      </c>
      <c r="AB24" s="1563">
        <v>1</v>
      </c>
      <c r="AC24" s="1563">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2"/>
      <c r="Q25" s="1559" t="str">
        <f t="shared" ref="Q25:Q46" si="11">B25</f>
        <v>楼层-1</v>
      </c>
      <c r="R25" s="1560" t="s">
        <v>11</v>
      </c>
      <c r="S25" s="1561">
        <f>F25</f>
        <v>100</v>
      </c>
      <c r="T25" s="1560" t="s">
        <v>11</v>
      </c>
      <c r="U25" s="1561">
        <f>H25</f>
        <v>100</v>
      </c>
      <c r="V25" s="1560" t="s">
        <v>11</v>
      </c>
      <c r="W25" s="1561">
        <f>J25</f>
        <v>100</v>
      </c>
      <c r="X25" s="1554"/>
      <c r="Y25" s="3422"/>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2"/>
      <c r="Q26" s="1559" t="str">
        <f t="shared" si="11"/>
        <v>朝向</v>
      </c>
      <c r="R26" s="1560" t="s">
        <v>11</v>
      </c>
      <c r="S26" s="1561">
        <f>F26</f>
        <v>100</v>
      </c>
      <c r="T26" s="1560" t="s">
        <v>11</v>
      </c>
      <c r="U26" s="1561">
        <f>H26</f>
        <v>100</v>
      </c>
      <c r="V26" s="1560" t="s">
        <v>11</v>
      </c>
      <c r="W26" s="1561">
        <f>J26</f>
        <v>100</v>
      </c>
      <c r="X26" s="1554"/>
      <c r="Y26" s="3422"/>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2"/>
      <c r="Q27" s="1147" t="str">
        <f t="shared" si="11"/>
        <v>道路级别</v>
      </c>
      <c r="R27" s="1555" t="s">
        <v>11</v>
      </c>
      <c r="S27" s="1556">
        <f>F27</f>
        <v>100</v>
      </c>
      <c r="T27" s="1555" t="s">
        <v>11</v>
      </c>
      <c r="U27" s="1556">
        <f>H27</f>
        <v>100</v>
      </c>
      <c r="V27" s="1555" t="s">
        <v>11</v>
      </c>
      <c r="W27" s="1556">
        <f>J27</f>
        <v>100</v>
      </c>
      <c r="X27" s="1557"/>
      <c r="Y27" s="3422"/>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2"/>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2"/>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2"/>
      <c r="Q29" s="1559">
        <f t="shared" si="11"/>
        <v>111</v>
      </c>
      <c r="R29" s="1560" t="s">
        <v>11</v>
      </c>
      <c r="S29" s="1561">
        <f t="shared" si="12"/>
        <v>100</v>
      </c>
      <c r="T29" s="1560" t="s">
        <v>11</v>
      </c>
      <c r="U29" s="1561">
        <f t="shared" si="13"/>
        <v>100</v>
      </c>
      <c r="V29" s="1560" t="s">
        <v>11</v>
      </c>
      <c r="W29" s="1561">
        <f t="shared" si="14"/>
        <v>100</v>
      </c>
      <c r="X29" s="1554"/>
      <c r="Y29" s="3422"/>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2"/>
      <c r="Q30" s="1559">
        <f t="shared" si="11"/>
        <v>111</v>
      </c>
      <c r="R30" s="1560" t="s">
        <v>11</v>
      </c>
      <c r="S30" s="1561">
        <f t="shared" si="12"/>
        <v>100</v>
      </c>
      <c r="T30" s="1560" t="s">
        <v>11</v>
      </c>
      <c r="U30" s="1561">
        <f t="shared" si="13"/>
        <v>100</v>
      </c>
      <c r="V30" s="1560" t="s">
        <v>11</v>
      </c>
      <c r="W30" s="1561">
        <f t="shared" si="14"/>
        <v>100</v>
      </c>
      <c r="X30" s="1554"/>
      <c r="Y30" s="3422"/>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2"/>
      <c r="Q31" s="1559">
        <f t="shared" si="11"/>
        <v>111</v>
      </c>
      <c r="R31" s="1560" t="s">
        <v>11</v>
      </c>
      <c r="S31" s="1561">
        <f t="shared" si="12"/>
        <v>100</v>
      </c>
      <c r="T31" s="1560" t="s">
        <v>11</v>
      </c>
      <c r="U31" s="1561">
        <f t="shared" si="13"/>
        <v>100</v>
      </c>
      <c r="V31" s="1560" t="s">
        <v>11</v>
      </c>
      <c r="W31" s="1561">
        <f t="shared" si="14"/>
        <v>100</v>
      </c>
      <c r="X31" s="1554"/>
      <c r="Y31" s="3422"/>
      <c r="Z31" s="1562">
        <f t="shared" si="15"/>
        <v>111</v>
      </c>
      <c r="AA31" s="1563">
        <f t="shared" si="3"/>
        <v>1</v>
      </c>
      <c r="AB31" s="1563">
        <f t="shared" si="4"/>
        <v>1</v>
      </c>
      <c r="AC31" s="1563">
        <f t="shared" si="5"/>
        <v>1</v>
      </c>
    </row>
    <row r="32" spans="1:29" ht="15">
      <c r="A32" s="2863" t="s">
        <v>2755</v>
      </c>
      <c r="B32" s="172" t="s">
        <v>725</v>
      </c>
      <c r="C32" s="878" t="s">
        <v>3246</v>
      </c>
      <c r="D32" s="597">
        <v>100</v>
      </c>
      <c r="E32" s="879" t="s">
        <v>3246</v>
      </c>
      <c r="F32" s="575">
        <f>SUMIF(100:100,E32,101:101)-SUMIF(100:100,C32,101:101)+100</f>
        <v>100</v>
      </c>
      <c r="G32" s="878" t="s">
        <v>3246</v>
      </c>
      <c r="H32" s="597">
        <f>SUMIF(100:100,G32,101:101)-SUMIF(100:100,C32,101:101)+100</f>
        <v>100</v>
      </c>
      <c r="I32" s="879" t="s">
        <v>3246</v>
      </c>
      <c r="J32" s="540">
        <f>SUMIF(100:100,I32,101:101)-SUMIF(100:100,C32,101:101)+100</f>
        <v>100</v>
      </c>
      <c r="K32" s="864">
        <v>3</v>
      </c>
      <c r="L32" s="2128"/>
      <c r="M32" s="2120"/>
      <c r="N32" s="2120"/>
      <c r="O32" s="2127"/>
      <c r="P32" s="3423" t="s">
        <v>550</v>
      </c>
      <c r="Q32" s="1559" t="str">
        <f t="shared" si="11"/>
        <v>建筑类型</v>
      </c>
      <c r="R32" s="1560" t="s">
        <v>11</v>
      </c>
      <c r="S32" s="1561">
        <f t="shared" si="12"/>
        <v>100</v>
      </c>
      <c r="T32" s="1560" t="s">
        <v>11</v>
      </c>
      <c r="U32" s="1561">
        <f t="shared" si="13"/>
        <v>100</v>
      </c>
      <c r="V32" s="1560" t="s">
        <v>11</v>
      </c>
      <c r="W32" s="1561">
        <f t="shared" si="14"/>
        <v>100</v>
      </c>
      <c r="X32" s="1554"/>
      <c r="Y32" s="3424" t="s">
        <v>550</v>
      </c>
      <c r="Z32" s="1562" t="str">
        <f t="shared" si="15"/>
        <v>建筑类型</v>
      </c>
      <c r="AA32" s="1563">
        <f t="shared" si="3"/>
        <v>1</v>
      </c>
      <c r="AB32" s="1563">
        <f t="shared" si="4"/>
        <v>1</v>
      </c>
      <c r="AC32" s="1563">
        <f t="shared" si="5"/>
        <v>1</v>
      </c>
    </row>
    <row r="33" spans="1:29" s="1335" customFormat="1" ht="15">
      <c r="A33" s="603"/>
      <c r="B33" s="527" t="s">
        <v>726</v>
      </c>
      <c r="C33" s="880">
        <f>'数据-基础表'!B3</f>
        <v>302223.06</v>
      </c>
      <c r="D33" s="255">
        <v>100</v>
      </c>
      <c r="E33" s="534">
        <v>192929.5</v>
      </c>
      <c r="F33" s="863">
        <f>LOOKUP(E33,103:103,104:104)-LOOKUP(C33,103:103,104:104)+100</f>
        <v>100</v>
      </c>
      <c r="G33" s="533">
        <v>245000</v>
      </c>
      <c r="H33" s="255">
        <f>LOOKUP(G33,103:103,104:104)-LOOKUP(C33,103:103,104:104)+100</f>
        <v>100</v>
      </c>
      <c r="I33" s="534">
        <v>175500</v>
      </c>
      <c r="J33" s="255">
        <f>LOOKUP(I33,103:103,104:104)-LOOKUP(C33,103:103,104:104)+100</f>
        <v>100</v>
      </c>
      <c r="K33" s="865"/>
      <c r="L33" s="2126"/>
      <c r="M33" s="2157"/>
      <c r="N33" s="2157"/>
      <c r="O33" s="2129"/>
      <c r="P33" s="3424"/>
      <c r="Q33" s="1591" t="str">
        <f t="shared" si="11"/>
        <v>项目建筑规模</v>
      </c>
      <c r="R33" s="1564" t="s">
        <v>11</v>
      </c>
      <c r="S33" s="1565">
        <f t="shared" si="12"/>
        <v>100</v>
      </c>
      <c r="T33" s="1564" t="s">
        <v>11</v>
      </c>
      <c r="U33" s="1565">
        <f t="shared" si="13"/>
        <v>100</v>
      </c>
      <c r="V33" s="1564" t="s">
        <v>11</v>
      </c>
      <c r="W33" s="1565">
        <f t="shared" si="14"/>
        <v>100</v>
      </c>
      <c r="X33" s="1566"/>
      <c r="Y33" s="3424"/>
      <c r="Z33" s="1567" t="str">
        <f t="shared" si="15"/>
        <v>项目建筑规模</v>
      </c>
      <c r="AA33" s="1563">
        <f t="shared" si="3"/>
        <v>1</v>
      </c>
      <c r="AB33" s="1563">
        <f t="shared" si="4"/>
        <v>1</v>
      </c>
      <c r="AC33" s="1563">
        <f t="shared" si="5"/>
        <v>1</v>
      </c>
    </row>
    <row r="34" spans="1:29" ht="15">
      <c r="A34" s="594"/>
      <c r="B34" s="527" t="s">
        <v>727</v>
      </c>
      <c r="C34" s="881" t="s">
        <v>3235</v>
      </c>
      <c r="D34" s="540">
        <v>100</v>
      </c>
      <c r="E34" s="882" t="s">
        <v>3235</v>
      </c>
      <c r="F34" s="575">
        <f>SUMIF(105:105,E34,106:106)-SUMIF(105:105,C34,106:106)+100</f>
        <v>100</v>
      </c>
      <c r="G34" s="881" t="s">
        <v>3235</v>
      </c>
      <c r="H34" s="540">
        <f>SUMIF(105:105,G34,106:106)-SUMIF(105:105,C34,106:106)+100</f>
        <v>100</v>
      </c>
      <c r="I34" s="882" t="s">
        <v>3235</v>
      </c>
      <c r="J34" s="540">
        <f>SUMIF(105:105,I34,106:106)-SUMIF(105:105,C34,106:106)+100</f>
        <v>100</v>
      </c>
      <c r="K34" s="864">
        <v>2</v>
      </c>
      <c r="L34" s="2128"/>
      <c r="M34" s="2120"/>
      <c r="N34" s="2120"/>
      <c r="O34" s="2127"/>
      <c r="P34" s="3424"/>
      <c r="Q34" s="1559" t="str">
        <f t="shared" si="11"/>
        <v>建筑结构</v>
      </c>
      <c r="R34" s="1560" t="s">
        <v>11</v>
      </c>
      <c r="S34" s="1561">
        <f t="shared" si="12"/>
        <v>100</v>
      </c>
      <c r="T34" s="1560" t="s">
        <v>11</v>
      </c>
      <c r="U34" s="1561">
        <f t="shared" si="13"/>
        <v>100</v>
      </c>
      <c r="V34" s="1560" t="s">
        <v>11</v>
      </c>
      <c r="W34" s="1561">
        <f t="shared" si="14"/>
        <v>100</v>
      </c>
      <c r="X34" s="1554"/>
      <c r="Y34" s="3424"/>
      <c r="Z34" s="1562" t="str">
        <f t="shared" si="15"/>
        <v>建筑结构</v>
      </c>
      <c r="AA34" s="1563">
        <f t="shared" si="3"/>
        <v>1</v>
      </c>
      <c r="AB34" s="1563">
        <f t="shared" si="4"/>
        <v>1</v>
      </c>
      <c r="AC34" s="1563">
        <f t="shared" si="5"/>
        <v>1</v>
      </c>
    </row>
    <row r="35" spans="1:29" ht="15">
      <c r="A35" s="594"/>
      <c r="B35" s="527" t="s">
        <v>728</v>
      </c>
      <c r="C35" s="599" t="s">
        <v>3265</v>
      </c>
      <c r="D35" s="540">
        <v>100</v>
      </c>
      <c r="E35" s="874" t="s">
        <v>3265</v>
      </c>
      <c r="F35" s="575">
        <f>SUMIF(107:107,E35,108:108)-SUMIF(107:107,C35,108:108)+100</f>
        <v>100</v>
      </c>
      <c r="G35" s="599" t="s">
        <v>3265</v>
      </c>
      <c r="H35" s="540">
        <f>SUMIF(107:107,G35,108:108)-SUMIF(107:107,C35,108:108)+100</f>
        <v>100</v>
      </c>
      <c r="I35" s="874" t="s">
        <v>3265</v>
      </c>
      <c r="J35" s="540">
        <f>SUMIF(107:107,I35,108:108)-SUMIF(107:107,C35,108:108)+100</f>
        <v>100</v>
      </c>
      <c r="K35" s="864">
        <v>2</v>
      </c>
      <c r="L35" s="2128"/>
      <c r="M35" s="2120"/>
      <c r="N35" s="2120"/>
      <c r="O35" s="2127"/>
      <c r="P35" s="3424"/>
      <c r="Q35" s="1559" t="str">
        <f t="shared" si="11"/>
        <v>建筑品质</v>
      </c>
      <c r="R35" s="1560" t="s">
        <v>11</v>
      </c>
      <c r="S35" s="1561">
        <f t="shared" si="12"/>
        <v>100</v>
      </c>
      <c r="T35" s="1560" t="s">
        <v>11</v>
      </c>
      <c r="U35" s="1561">
        <f t="shared" si="13"/>
        <v>100</v>
      </c>
      <c r="V35" s="1560" t="s">
        <v>11</v>
      </c>
      <c r="W35" s="1561">
        <f t="shared" si="14"/>
        <v>100</v>
      </c>
      <c r="X35" s="1554"/>
      <c r="Y35" s="3424"/>
      <c r="Z35" s="1562" t="str">
        <f t="shared" si="15"/>
        <v>建筑品质</v>
      </c>
      <c r="AA35" s="1563">
        <f t="shared" si="3"/>
        <v>1</v>
      </c>
      <c r="AB35" s="1563">
        <f t="shared" si="4"/>
        <v>1</v>
      </c>
      <c r="AC35" s="1563">
        <f t="shared" si="5"/>
        <v>1</v>
      </c>
    </row>
    <row r="36" spans="1:29" ht="15">
      <c r="A36" s="594"/>
      <c r="B36" s="527" t="s">
        <v>729</v>
      </c>
      <c r="C36" s="599" t="s">
        <v>3251</v>
      </c>
      <c r="D36" s="540">
        <v>100</v>
      </c>
      <c r="E36" s="874" t="s">
        <v>3251</v>
      </c>
      <c r="F36" s="575">
        <f>SUMIF(109:109,E36,110:110)-SUMIF(109:109,C36,110:110)+100</f>
        <v>100</v>
      </c>
      <c r="G36" s="599" t="s">
        <v>3251</v>
      </c>
      <c r="H36" s="540">
        <f>SUMIF(109:109,G36,110:110)-SUMIF(109:109,C36,110:110)+100</f>
        <v>100</v>
      </c>
      <c r="I36" s="874" t="s">
        <v>3251</v>
      </c>
      <c r="J36" s="540">
        <f>SUMIF(109:109,I36,110:110)-SUMIF(109:109,C36,110:110)+100</f>
        <v>100</v>
      </c>
      <c r="K36" s="864">
        <v>1</v>
      </c>
      <c r="L36" s="2128"/>
      <c r="M36" s="2120"/>
      <c r="N36" s="2120"/>
      <c r="O36" s="2127"/>
      <c r="P36" s="3424"/>
      <c r="Q36" s="1559" t="str">
        <f t="shared" si="11"/>
        <v>公共部分装修</v>
      </c>
      <c r="R36" s="1560" t="s">
        <v>11</v>
      </c>
      <c r="S36" s="1561">
        <f t="shared" si="12"/>
        <v>100</v>
      </c>
      <c r="T36" s="1560" t="s">
        <v>11</v>
      </c>
      <c r="U36" s="1561">
        <f t="shared" si="13"/>
        <v>100</v>
      </c>
      <c r="V36" s="1560" t="s">
        <v>11</v>
      </c>
      <c r="W36" s="1561">
        <f t="shared" si="14"/>
        <v>100</v>
      </c>
      <c r="X36" s="1554"/>
      <c r="Y36" s="3424"/>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424"/>
      <c r="Q37" s="1147" t="str">
        <f t="shared" si="11"/>
        <v>成新度</v>
      </c>
      <c r="R37" s="1555" t="s">
        <v>11</v>
      </c>
      <c r="S37" s="1556">
        <f t="shared" si="12"/>
        <v>100</v>
      </c>
      <c r="T37" s="1555" t="s">
        <v>11</v>
      </c>
      <c r="U37" s="1556">
        <f t="shared" si="13"/>
        <v>100</v>
      </c>
      <c r="V37" s="1555" t="s">
        <v>11</v>
      </c>
      <c r="W37" s="1556">
        <f t="shared" si="14"/>
        <v>100</v>
      </c>
      <c r="X37" s="1557"/>
      <c r="Y37" s="3424"/>
      <c r="Z37" s="1146" t="str">
        <f t="shared" si="15"/>
        <v>成新度</v>
      </c>
      <c r="AA37" s="1558">
        <f t="shared" si="3"/>
        <v>1</v>
      </c>
      <c r="AB37" s="1558">
        <f t="shared" si="4"/>
        <v>1</v>
      </c>
      <c r="AC37" s="1558">
        <f t="shared" si="5"/>
        <v>1</v>
      </c>
    </row>
    <row r="38" spans="1:29" ht="15">
      <c r="A38" s="594"/>
      <c r="B38" s="527" t="s">
        <v>731</v>
      </c>
      <c r="C38" s="599" t="s">
        <v>3240</v>
      </c>
      <c r="D38" s="540">
        <v>100</v>
      </c>
      <c r="E38" s="874" t="s">
        <v>3240</v>
      </c>
      <c r="F38" s="575">
        <f>SUMIF(114:114,E38,115:115)-SUMIF(114:114,C38,115:115)+100</f>
        <v>100</v>
      </c>
      <c r="G38" s="599" t="s">
        <v>3240</v>
      </c>
      <c r="H38" s="540">
        <f>SUMIF(114:114,G38,115:115)-SUMIF(114:114,C38,115:115)+100</f>
        <v>100</v>
      </c>
      <c r="I38" s="874" t="s">
        <v>3240</v>
      </c>
      <c r="J38" s="540">
        <f>SUMIF(114:114,I38,115:115)-SUMIF(114:114,C38,115:115)+100</f>
        <v>100</v>
      </c>
      <c r="K38" s="864">
        <v>2</v>
      </c>
      <c r="L38" s="2128"/>
      <c r="M38" s="2120"/>
      <c r="N38" s="2120"/>
      <c r="O38" s="2127"/>
      <c r="P38" s="3424" t="s">
        <v>550</v>
      </c>
      <c r="Q38" s="1559" t="str">
        <f t="shared" si="11"/>
        <v>物业管理</v>
      </c>
      <c r="R38" s="1560" t="s">
        <v>11</v>
      </c>
      <c r="S38" s="1561">
        <f t="shared" si="12"/>
        <v>100</v>
      </c>
      <c r="T38" s="1560" t="s">
        <v>11</v>
      </c>
      <c r="U38" s="1561">
        <f t="shared" si="13"/>
        <v>100</v>
      </c>
      <c r="V38" s="1560" t="s">
        <v>11</v>
      </c>
      <c r="W38" s="1561">
        <f t="shared" si="14"/>
        <v>100</v>
      </c>
      <c r="X38" s="1554"/>
      <c r="Y38" s="3424" t="s">
        <v>550</v>
      </c>
      <c r="Z38" s="1562" t="str">
        <f t="shared" si="15"/>
        <v>物业管理</v>
      </c>
      <c r="AA38" s="1563">
        <f t="shared" si="3"/>
        <v>1</v>
      </c>
      <c r="AB38" s="1563">
        <f t="shared" si="4"/>
        <v>1</v>
      </c>
      <c r="AC38" s="1563">
        <f t="shared" si="5"/>
        <v>1</v>
      </c>
    </row>
    <row r="39" spans="1:29" ht="15">
      <c r="A39" s="594"/>
      <c r="B39" s="1881" t="s">
        <v>2564</v>
      </c>
      <c r="C39" s="599" t="s">
        <v>3228</v>
      </c>
      <c r="D39" s="540">
        <v>100</v>
      </c>
      <c r="E39" s="874" t="s">
        <v>3228</v>
      </c>
      <c r="F39" s="575">
        <f>SUMIF(116:116,E39,117:117)-SUMIF(116:116,C39,117:117)+100</f>
        <v>100</v>
      </c>
      <c r="G39" s="599" t="s">
        <v>3228</v>
      </c>
      <c r="H39" s="540">
        <f>SUMIF(116:116,G39,117:117)-SUMIF(116:116,C39,117:117)+100</f>
        <v>100</v>
      </c>
      <c r="I39" s="874" t="s">
        <v>3228</v>
      </c>
      <c r="J39" s="540">
        <f>SUMIF(116:116,I39,117:117)-SUMIF(116:116,C39,117:117)+100</f>
        <v>100</v>
      </c>
      <c r="K39" s="864">
        <v>1</v>
      </c>
      <c r="L39" s="2128"/>
      <c r="M39" s="2120"/>
      <c r="N39" s="2120"/>
      <c r="O39" s="2127"/>
      <c r="P39" s="3424"/>
      <c r="Q39" s="1559" t="str">
        <f t="shared" si="11"/>
        <v>市政基础设施</v>
      </c>
      <c r="R39" s="1560" t="s">
        <v>11</v>
      </c>
      <c r="S39" s="1561">
        <f t="shared" si="12"/>
        <v>100</v>
      </c>
      <c r="T39" s="1560" t="s">
        <v>11</v>
      </c>
      <c r="U39" s="1561">
        <f t="shared" si="13"/>
        <v>100</v>
      </c>
      <c r="V39" s="1560" t="s">
        <v>11</v>
      </c>
      <c r="W39" s="1561">
        <f t="shared" si="14"/>
        <v>100</v>
      </c>
      <c r="X39" s="1554"/>
      <c r="Y39" s="3424"/>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4"/>
      <c r="Q40" s="1559" t="str">
        <f t="shared" si="11"/>
        <v>房型</v>
      </c>
      <c r="R40" s="1560" t="s">
        <v>11</v>
      </c>
      <c r="S40" s="1561">
        <f t="shared" si="12"/>
        <v>100</v>
      </c>
      <c r="T40" s="1560" t="s">
        <v>11</v>
      </c>
      <c r="U40" s="1561">
        <f t="shared" si="13"/>
        <v>100</v>
      </c>
      <c r="V40" s="1560" t="s">
        <v>11</v>
      </c>
      <c r="W40" s="1561">
        <f t="shared" si="14"/>
        <v>100</v>
      </c>
      <c r="X40" s="1554"/>
      <c r="Y40" s="342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4"/>
      <c r="Q41" s="1591" t="str">
        <f t="shared" si="11"/>
        <v>单套/主力户型建筑面积</v>
      </c>
      <c r="R41" s="1564" t="s">
        <v>11</v>
      </c>
      <c r="S41" s="1565">
        <f t="shared" si="12"/>
        <v>100</v>
      </c>
      <c r="T41" s="1564" t="s">
        <v>11</v>
      </c>
      <c r="U41" s="1565">
        <f t="shared" si="13"/>
        <v>100</v>
      </c>
      <c r="V41" s="1564" t="s">
        <v>11</v>
      </c>
      <c r="W41" s="1565">
        <f t="shared" si="14"/>
        <v>100</v>
      </c>
      <c r="X41" s="1566"/>
      <c r="Y41" s="3424"/>
      <c r="Z41" s="1567" t="str">
        <f t="shared" si="15"/>
        <v>单套/主力户型建筑面积</v>
      </c>
      <c r="AA41" s="1563">
        <f t="shared" si="3"/>
        <v>1</v>
      </c>
      <c r="AB41" s="1563">
        <f t="shared" si="4"/>
        <v>1</v>
      </c>
      <c r="AC41" s="1563">
        <f t="shared" si="5"/>
        <v>1</v>
      </c>
    </row>
    <row r="42" spans="1:29" ht="15">
      <c r="A42" s="594"/>
      <c r="B42" s="527" t="s">
        <v>734</v>
      </c>
      <c r="C42" s="599" t="s">
        <v>3251</v>
      </c>
      <c r="D42" s="540">
        <v>100</v>
      </c>
      <c r="E42" s="874" t="s">
        <v>3251</v>
      </c>
      <c r="F42" s="575">
        <f>SUMIF(122:122,E42,123:123)-SUMIF(122:122,C42,123:123)+100</f>
        <v>100</v>
      </c>
      <c r="G42" s="599" t="s">
        <v>3251</v>
      </c>
      <c r="H42" s="540">
        <f>SUMIF(122:122,G42,123:123)-SUMIF(122:122,C42,123:123)+100</f>
        <v>100</v>
      </c>
      <c r="I42" s="874" t="s">
        <v>3251</v>
      </c>
      <c r="J42" s="540">
        <f>SUMIF(122:122,I42,123:123)-SUMIF(122:122,C42,123:123)+100</f>
        <v>100</v>
      </c>
      <c r="K42" s="864">
        <v>5</v>
      </c>
      <c r="L42" s="2128"/>
      <c r="M42" s="2120"/>
      <c r="N42" s="2120"/>
      <c r="O42" s="2127"/>
      <c r="P42" s="3424"/>
      <c r="Q42" s="1559" t="str">
        <f t="shared" si="11"/>
        <v>内部装修</v>
      </c>
      <c r="R42" s="1560" t="s">
        <v>11</v>
      </c>
      <c r="S42" s="1561">
        <f t="shared" si="12"/>
        <v>100</v>
      </c>
      <c r="T42" s="1560" t="s">
        <v>11</v>
      </c>
      <c r="U42" s="1561">
        <f t="shared" si="13"/>
        <v>100</v>
      </c>
      <c r="V42" s="1560" t="s">
        <v>11</v>
      </c>
      <c r="W42" s="1561">
        <f t="shared" si="14"/>
        <v>100</v>
      </c>
      <c r="X42" s="1554"/>
      <c r="Y42" s="3424"/>
      <c r="Z42" s="1562" t="str">
        <f t="shared" si="15"/>
        <v>内部装修</v>
      </c>
      <c r="AA42" s="1563">
        <f t="shared" si="3"/>
        <v>1</v>
      </c>
      <c r="AB42" s="1563">
        <f t="shared" si="4"/>
        <v>1</v>
      </c>
      <c r="AC42" s="1563">
        <f t="shared" si="5"/>
        <v>1</v>
      </c>
    </row>
    <row r="43" spans="1:29" ht="27.75" thickBot="1">
      <c r="A43" s="594"/>
      <c r="B43" s="527" t="s">
        <v>735</v>
      </c>
      <c r="C43" s="599" t="s">
        <v>3227</v>
      </c>
      <c r="D43" s="540">
        <v>100</v>
      </c>
      <c r="E43" s="874" t="s">
        <v>3227</v>
      </c>
      <c r="F43" s="575">
        <f>SUMIF(124:124,E43,125:125)-SUMIF(124:124,C43,125:125)+100</f>
        <v>100</v>
      </c>
      <c r="G43" s="599" t="s">
        <v>3227</v>
      </c>
      <c r="H43" s="540">
        <f>SUMIF(124:124,G43,125:125)-SUMIF(124:124,C43,125:125)+100</f>
        <v>100</v>
      </c>
      <c r="I43" s="874" t="s">
        <v>3227</v>
      </c>
      <c r="J43" s="540">
        <f>SUMIF(124:124,I43,125:125)-SUMIF(124:124,C43,125:125)+100</f>
        <v>100</v>
      </c>
      <c r="K43" s="864">
        <v>2</v>
      </c>
      <c r="L43" s="2128"/>
      <c r="M43" s="2120"/>
      <c r="N43" s="2120"/>
      <c r="O43" s="2127"/>
      <c r="P43" s="3424"/>
      <c r="Q43" s="1559" t="str">
        <f t="shared" si="11"/>
        <v>内部装修维护情况</v>
      </c>
      <c r="R43" s="1560" t="s">
        <v>11</v>
      </c>
      <c r="S43" s="1561">
        <f t="shared" si="12"/>
        <v>100</v>
      </c>
      <c r="T43" s="1560" t="s">
        <v>11</v>
      </c>
      <c r="U43" s="1561">
        <f t="shared" si="13"/>
        <v>100</v>
      </c>
      <c r="V43" s="1560" t="s">
        <v>11</v>
      </c>
      <c r="W43" s="1561">
        <f t="shared" si="14"/>
        <v>100</v>
      </c>
      <c r="X43" s="1554"/>
      <c r="Y43" s="3424"/>
      <c r="Z43" s="1562" t="str">
        <f t="shared" si="15"/>
        <v>内部装修维护情况</v>
      </c>
      <c r="AA43" s="1563">
        <f t="shared" si="3"/>
        <v>1</v>
      </c>
      <c r="AB43" s="1563">
        <f t="shared" si="4"/>
        <v>1</v>
      </c>
      <c r="AC43" s="1563">
        <f t="shared" si="5"/>
        <v>1</v>
      </c>
    </row>
    <row r="44" spans="1:29" s="1216" customFormat="1" ht="15" hidden="1">
      <c r="A44" s="600"/>
      <c r="B44" s="3224"/>
      <c r="C44" s="3225"/>
      <c r="D44" s="255">
        <v>100</v>
      </c>
      <c r="E44" s="3225"/>
      <c r="F44" s="863">
        <f>SUMIF(126:126,E44,127:127)-SUMIF(126:126,C44,127:127)+100</f>
        <v>100</v>
      </c>
      <c r="G44" s="3225"/>
      <c r="H44" s="255">
        <f>SUMIF(126:126,G44,127:127)-SUMIF(126:126,C44,127:127)+100</f>
        <v>100</v>
      </c>
      <c r="I44" s="3225"/>
      <c r="J44" s="255">
        <f>SUMIF(126:126,I44,127:127)-SUMIF(126:126,C44,127:127)+100</f>
        <v>100</v>
      </c>
      <c r="K44" s="865"/>
      <c r="L44" s="2121"/>
      <c r="M44" s="2122"/>
      <c r="N44" s="2122"/>
      <c r="O44" s="2123"/>
      <c r="P44" s="3424"/>
      <c r="Q44" s="1147">
        <f t="shared" si="11"/>
        <v>0</v>
      </c>
      <c r="R44" s="1555" t="s">
        <v>11</v>
      </c>
      <c r="S44" s="1556">
        <f t="shared" si="12"/>
        <v>100</v>
      </c>
      <c r="T44" s="1555" t="s">
        <v>11</v>
      </c>
      <c r="U44" s="1556">
        <f t="shared" si="13"/>
        <v>100</v>
      </c>
      <c r="V44" s="1555" t="s">
        <v>11</v>
      </c>
      <c r="W44" s="1556">
        <f t="shared" si="14"/>
        <v>100</v>
      </c>
      <c r="X44" s="1557"/>
      <c r="Y44" s="3424"/>
      <c r="Z44" s="1146">
        <f t="shared" si="15"/>
        <v>0</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4"/>
      <c r="Q45" s="1559">
        <f t="shared" si="11"/>
        <v>111</v>
      </c>
      <c r="R45" s="1560" t="s">
        <v>11</v>
      </c>
      <c r="S45" s="1561">
        <f t="shared" si="12"/>
        <v>100</v>
      </c>
      <c r="T45" s="1560" t="s">
        <v>11</v>
      </c>
      <c r="U45" s="1561">
        <f t="shared" si="13"/>
        <v>100</v>
      </c>
      <c r="V45" s="1560" t="s">
        <v>11</v>
      </c>
      <c r="W45" s="1561">
        <f t="shared" si="14"/>
        <v>100</v>
      </c>
      <c r="X45" s="1554"/>
      <c r="Y45" s="3424"/>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1"/>
      <c r="Q46" s="1559">
        <f t="shared" si="11"/>
        <v>111</v>
      </c>
      <c r="R46" s="1560" t="s">
        <v>10</v>
      </c>
      <c r="S46" s="1561">
        <f t="shared" si="12"/>
        <v>100</v>
      </c>
      <c r="T46" s="1560" t="s">
        <v>10</v>
      </c>
      <c r="U46" s="1561">
        <f t="shared" si="13"/>
        <v>100</v>
      </c>
      <c r="V46" s="1560" t="s">
        <v>10</v>
      </c>
      <c r="W46" s="1561">
        <f t="shared" si="14"/>
        <v>100</v>
      </c>
      <c r="X46" s="1554"/>
      <c r="Y46" s="3501"/>
      <c r="Z46" s="1562">
        <f t="shared" si="15"/>
        <v>111</v>
      </c>
      <c r="AA46" s="1563">
        <f t="shared" si="3"/>
        <v>1</v>
      </c>
      <c r="AB46" s="1563">
        <f t="shared" si="4"/>
        <v>1</v>
      </c>
      <c r="AC46" s="1563">
        <f t="shared" si="5"/>
        <v>1</v>
      </c>
    </row>
    <row r="47" spans="1:29" ht="15">
      <c r="A47" s="607" t="s">
        <v>736</v>
      </c>
      <c r="B47" s="887"/>
      <c r="C47" s="2592" t="s">
        <v>9</v>
      </c>
      <c r="D47" s="2593"/>
      <c r="E47" s="2594">
        <f>ROUND(17000*C50,0)</f>
        <v>16150</v>
      </c>
      <c r="F47" s="2595"/>
      <c r="G47" s="2594">
        <f>ROUND(16000*C50,0)</f>
        <v>15200</v>
      </c>
      <c r="H47" s="2597"/>
      <c r="I47" s="2594">
        <f>ROUND(15500*C50,0)</f>
        <v>14725</v>
      </c>
      <c r="J47" s="2597"/>
      <c r="K47" s="1592"/>
      <c r="L47" s="2130"/>
      <c r="M47" s="2131"/>
      <c r="N47" s="2120"/>
      <c r="O47" s="2131"/>
      <c r="P47" s="3419" t="str">
        <f>A47</f>
        <v>成交单价（元/平方米）</v>
      </c>
      <c r="Q47" s="3419"/>
      <c r="R47" s="3499">
        <f>E47</f>
        <v>16150</v>
      </c>
      <c r="S47" s="3499"/>
      <c r="T47" s="3499">
        <f>G47</f>
        <v>15200</v>
      </c>
      <c r="U47" s="3499"/>
      <c r="V47" s="3499">
        <f>I47</f>
        <v>14725</v>
      </c>
      <c r="W47" s="3499"/>
      <c r="X47" s="1546"/>
      <c r="Y47" s="1568"/>
      <c r="Z47" s="1546"/>
      <c r="AA47" s="1546"/>
      <c r="AB47" s="1546"/>
      <c r="AC47" s="1546"/>
    </row>
    <row r="48" spans="1:29" ht="15.75" thickBot="1">
      <c r="A48" s="615" t="s">
        <v>2760</v>
      </c>
      <c r="B48" s="888"/>
      <c r="C48" s="2598">
        <f>R49</f>
        <v>12507</v>
      </c>
      <c r="D48" s="2599"/>
      <c r="E48" s="2600">
        <f>R48</f>
        <v>12462</v>
      </c>
      <c r="F48" s="2600"/>
      <c r="G48" s="2598">
        <f>T48</f>
        <v>11964</v>
      </c>
      <c r="H48" s="2599"/>
      <c r="I48" s="2600">
        <f>V48</f>
        <v>13094</v>
      </c>
      <c r="J48" s="2599"/>
      <c r="K48" s="1593"/>
      <c r="L48" s="2130"/>
      <c r="M48" s="2131"/>
      <c r="N48" s="2131"/>
      <c r="O48" s="2131"/>
      <c r="P48" s="3419" t="str">
        <f>A48</f>
        <v>比较价格（元/平方米）</v>
      </c>
      <c r="Q48" s="3419"/>
      <c r="R48" s="3499">
        <f>IF(F1="售价",ROUND(PRODUCT(R47,AA7:AA46),0),ROUND(PRODUCT(R47,AA7:AA46),1))</f>
        <v>12462</v>
      </c>
      <c r="S48" s="3499"/>
      <c r="T48" s="3499">
        <f>IF(F1="售价",ROUND(PRODUCT(T47,AB7:AB46),0),ROUND(PRODUCT(T47,AB7:AB46),1))</f>
        <v>11964</v>
      </c>
      <c r="U48" s="3499"/>
      <c r="V48" s="3499">
        <f>IF(F1="售价",ROUND(PRODUCT(V47,AC7:AC46),0),ROUND(PRODUCT(V47,AC7:AC46),1))</f>
        <v>13094</v>
      </c>
      <c r="W48" s="3499"/>
      <c r="X48" s="1546"/>
      <c r="Y48" s="1546"/>
      <c r="Z48" s="1546"/>
      <c r="AA48" s="1546"/>
      <c r="AB48" s="1546"/>
      <c r="AC48" s="1546"/>
    </row>
    <row r="49" spans="1:29" ht="15.75" thickBot="1">
      <c r="A49" s="621" t="s">
        <v>2937</v>
      </c>
      <c r="B49" s="622"/>
      <c r="C49" s="2601">
        <f>R49</f>
        <v>12507</v>
      </c>
      <c r="D49" s="2601"/>
      <c r="E49" s="2601"/>
      <c r="F49" s="2601"/>
      <c r="G49" s="2601"/>
      <c r="H49" s="2601"/>
      <c r="I49" s="2601"/>
      <c r="J49" s="2601"/>
      <c r="K49" s="1594"/>
      <c r="L49" s="2130"/>
      <c r="M49" s="2131"/>
      <c r="N49" s="2131"/>
      <c r="O49" s="2131"/>
      <c r="P49" s="3440" t="str">
        <f>A49</f>
        <v>估价对象XX用房的比较价格（楼面单价，元/平方米）</v>
      </c>
      <c r="Q49" s="3441"/>
      <c r="R49" s="3500">
        <f>IF(F1="售价",ROUND(AVERAGE(R48:V48),0),ROUND(AVERAGE(R48:V48),1))</f>
        <v>12507</v>
      </c>
      <c r="S49" s="3500"/>
      <c r="T49" s="3500"/>
      <c r="U49" s="3500"/>
      <c r="V49" s="3500"/>
      <c r="W49" s="3500"/>
      <c r="X49" s="1546"/>
      <c r="Y49" s="1546"/>
      <c r="Z49" s="1546"/>
      <c r="AA49" s="1546"/>
      <c r="AB49" s="1546"/>
      <c r="AC49" s="1546"/>
    </row>
    <row r="50" spans="1:29">
      <c r="A50" s="2131"/>
      <c r="B50" s="2131"/>
      <c r="C50" s="2131">
        <v>0.95</v>
      </c>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0.29593965655593002</v>
      </c>
      <c r="F52" s="627" t="str">
        <f>IF(OR(E52&gt;=0.3,E52&lt;=-0.3),"超过30%","")</f>
        <v/>
      </c>
      <c r="G52" s="626">
        <f>IF(G47&lt;G48,G48/G47-1,G47/G48-1)</f>
        <v>0.27047810096957536</v>
      </c>
      <c r="H52" s="627" t="str">
        <f>IF(OR(G52&gt;=0.3,G52&lt;=-0.3),"超过30%","")</f>
        <v/>
      </c>
      <c r="I52" s="626">
        <f>IF(I47&lt;I48,I48/I47-1,I47/I48-1)</f>
        <v>0.12456086757293416</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4.1624874623871655E-2</v>
      </c>
      <c r="F53" s="627" t="str">
        <f>IF(OR(E53&gt;=0.2,E53&lt;=-0.2),"超过20%","")</f>
        <v/>
      </c>
      <c r="G53" s="626">
        <f>IF(G48&lt;I48,I48/G48-1,G48/I48-1)</f>
        <v>9.4450016716817187E-2</v>
      </c>
      <c r="H53" s="627" t="str">
        <f>IF(OR(G53&gt;=0.2,G53&lt;=-0.2),"超过20%","")</f>
        <v/>
      </c>
      <c r="I53" s="626">
        <f>IF(I48&lt;E48,E48/I48-1,I48/E48-1)</f>
        <v>5.0714171080083359E-2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6.25E-2</v>
      </c>
      <c r="F54" s="627" t="str">
        <f>IF(OR(E54&gt;=0.3,E54&lt;=-0.3),"超过30%","")</f>
        <v/>
      </c>
      <c r="G54" s="626">
        <f>IF(G47&lt;I47,I47/G47-1,G47/I47-1)</f>
        <v>3.2258064516129004E-2</v>
      </c>
      <c r="H54" s="627" t="str">
        <f>IF(OR(G54&gt;=0.3,G54&lt;=-0.3),"超过30%","")</f>
        <v/>
      </c>
      <c r="I54" s="626">
        <f>IF(I47&lt;E47,E47/I47-1,I47/E47-1)</f>
        <v>9.6774193548387011E-2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95</v>
      </c>
      <c r="E77" s="679">
        <f>D77-$K15</f>
        <v>90</v>
      </c>
      <c r="F77" s="679">
        <f>E77-$K15</f>
        <v>85</v>
      </c>
      <c r="G77" s="679">
        <f>F77-$K15</f>
        <v>80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95</v>
      </c>
      <c r="E79" s="679">
        <f>D79-$K17</f>
        <v>90</v>
      </c>
      <c r="F79" s="679">
        <f>E79-$K17</f>
        <v>85</v>
      </c>
      <c r="G79" s="679">
        <f>F79-$K17</f>
        <v>80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95</v>
      </c>
      <c r="E81" s="679">
        <f>D81-$K19</f>
        <v>90</v>
      </c>
      <c r="F81" s="679">
        <f>E81-$K19</f>
        <v>85</v>
      </c>
      <c r="G81" s="679">
        <f>F81-$K19</f>
        <v>80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98</v>
      </c>
      <c r="E83" s="679">
        <f>D83-$K21</f>
        <v>96</v>
      </c>
      <c r="F83" s="679">
        <f>E83-$K21</f>
        <v>94</v>
      </c>
      <c r="G83" s="679">
        <f>F83-$K21</f>
        <v>92</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5" thickTop="1">
      <c r="A100" s="664" t="s">
        <v>551</v>
      </c>
      <c r="B100" s="665" t="s">
        <v>747</v>
      </c>
      <c r="C100" s="3217" t="s">
        <v>3250</v>
      </c>
      <c r="D100" s="3217" t="s">
        <v>3248</v>
      </c>
      <c r="E100" s="3217" t="s">
        <v>3249</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0(含)-10000000</v>
      </c>
      <c r="D102" s="708" t="str">
        <f t="shared" ref="D102:L102" si="23">D103&amp;"(含)"&amp;"-"&amp;E103</f>
        <v>10000000(含)-200000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10000000</v>
      </c>
      <c r="E103" s="730">
        <v>200000</v>
      </c>
      <c r="F103" s="730">
        <v>300000</v>
      </c>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16" t="s">
        <v>3252</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17" t="s">
        <v>3237</v>
      </c>
      <c r="D107" s="3217" t="s">
        <v>3238</v>
      </c>
      <c r="E107" s="3217" t="s">
        <v>3239</v>
      </c>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16" t="s">
        <v>3232</v>
      </c>
      <c r="D109" s="3216" t="s">
        <v>3233</v>
      </c>
      <c r="E109" s="3216" t="s">
        <v>3234</v>
      </c>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16" t="s">
        <v>3241</v>
      </c>
      <c r="D114" s="3216" t="s">
        <v>3242</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216" t="s">
        <v>3243</v>
      </c>
      <c r="D116" s="3216" t="s">
        <v>3244</v>
      </c>
      <c r="E116" s="3216" t="s">
        <v>3245</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17" t="s">
        <v>3250</v>
      </c>
      <c r="D118" s="3217" t="s">
        <v>3248</v>
      </c>
      <c r="E118" s="3217" t="s">
        <v>3249</v>
      </c>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16" t="s">
        <v>3232</v>
      </c>
      <c r="D122" s="3216" t="s">
        <v>3233</v>
      </c>
      <c r="E122" s="3216" t="s">
        <v>3234</v>
      </c>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0</v>
      </c>
      <c r="C126" s="3216" t="s">
        <v>3271</v>
      </c>
      <c r="D126" s="3216" t="s">
        <v>3272</v>
      </c>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v>100</v>
      </c>
      <c r="D127" s="671">
        <v>90</v>
      </c>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 sqref="D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2999</v>
      </c>
      <c r="D1" s="3077" t="s">
        <v>3264</v>
      </c>
      <c r="E1" s="2352" t="s">
        <v>2374</v>
      </c>
      <c r="F1" s="2353">
        <f ca="1">J53</f>
        <v>36.5</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1820</v>
      </c>
      <c r="C2" s="2043"/>
      <c r="D2" s="2041"/>
      <c r="E2" s="2042"/>
      <c r="F2" s="2042"/>
      <c r="G2" s="1577"/>
      <c r="H2" s="2043"/>
      <c r="I2" s="2043"/>
      <c r="J2" s="2043"/>
      <c r="K2" s="2044"/>
      <c r="L2" s="2043"/>
      <c r="M2" s="2043"/>
    </row>
    <row r="3" spans="1:33" ht="18" customHeight="1" thickBot="1">
      <c r="A3" s="833" t="s">
        <v>1727</v>
      </c>
      <c r="B3" s="834">
        <f ca="1">IF(ISERROR(B2*10000/F43),0,ROUND(B2*10000/F43,0))</f>
        <v>9346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115</v>
      </c>
      <c r="D5" s="2461" t="s">
        <v>2461</v>
      </c>
      <c r="E5" s="2455"/>
      <c r="F5" s="2456"/>
      <c r="G5" s="1579"/>
      <c r="H5" s="781">
        <v>1</v>
      </c>
      <c r="I5" s="782" t="s">
        <v>2458</v>
      </c>
      <c r="J5" s="55">
        <f ca="1">J6+J10+J12</f>
        <v>0</v>
      </c>
      <c r="K5" s="2461" t="s">
        <v>2461</v>
      </c>
      <c r="L5" s="2455"/>
      <c r="M5" s="2456"/>
    </row>
    <row r="6" spans="1:33" ht="18" customHeight="1">
      <c r="A6" s="1816" t="s">
        <v>1824</v>
      </c>
      <c r="B6" s="3493" t="s">
        <v>2463</v>
      </c>
      <c r="C6" s="783">
        <f ca="1">ROUND(F6*F8*F7*(1-F9)/10000,0)</f>
        <v>115</v>
      </c>
      <c r="D6" s="2462" t="s">
        <v>2462</v>
      </c>
      <c r="E6" s="784" t="s">
        <v>1738</v>
      </c>
      <c r="F6" s="785">
        <f ca="1">INDIRECT("'数据-取费表'!u"&amp;$G$1)</f>
        <v>1.8</v>
      </c>
      <c r="G6" s="1579"/>
      <c r="H6" s="2469" t="s">
        <v>2468</v>
      </c>
      <c r="I6" s="3493" t="s">
        <v>2463</v>
      </c>
      <c r="J6" s="783">
        <f ca="1">ROUND(M6*M8*M7*(1-M9)/10000,0)</f>
        <v>0</v>
      </c>
      <c r="K6" s="341" t="s">
        <v>1737</v>
      </c>
      <c r="L6" s="784" t="s">
        <v>1738</v>
      </c>
      <c r="M6" s="785">
        <f ca="1">INDIRECT("'数据-取费表'!z"&amp;$G$1)</f>
        <v>0</v>
      </c>
    </row>
    <row r="7" spans="1:33" ht="18" customHeight="1">
      <c r="A7" s="2465"/>
      <c r="B7" s="3494"/>
      <c r="C7" s="788"/>
      <c r="D7" s="789"/>
      <c r="E7" s="784" t="s">
        <v>1739</v>
      </c>
      <c r="F7" s="785">
        <f ca="1">IF(INDIRECT("'数据-取费表'!ah"&amp;$G$1)="",INDIRECT("'数据-取费表'!k"&amp;$G$1),INDIRECT("'数据-取费表'!ah"&amp;$G$1))</f>
        <v>1947.33</v>
      </c>
      <c r="G7" s="1579"/>
      <c r="H7" s="2454"/>
      <c r="I7" s="3494"/>
      <c r="J7" s="788"/>
      <c r="K7" s="789"/>
      <c r="L7" s="784" t="s">
        <v>1739</v>
      </c>
      <c r="M7" s="785">
        <f ca="1">F7</f>
        <v>1947.33</v>
      </c>
    </row>
    <row r="8" spans="1:33" ht="18" customHeight="1">
      <c r="A8" s="2458"/>
      <c r="B8" s="3495"/>
      <c r="C8" s="788"/>
      <c r="D8" s="789"/>
      <c r="E8" s="784" t="s">
        <v>1740</v>
      </c>
      <c r="F8" s="785">
        <f ca="1">INDIRECT("'数据-取费表'!ai"&amp;$G$1)</f>
        <v>365</v>
      </c>
      <c r="G8" s="1579"/>
      <c r="H8" s="2454"/>
      <c r="I8" s="3495"/>
      <c r="J8" s="788"/>
      <c r="K8" s="789"/>
      <c r="L8" s="784" t="s">
        <v>1740</v>
      </c>
      <c r="M8" s="785">
        <f ca="1">INDIRECT("'数据-取费表'!ai"&amp;$G$1)</f>
        <v>365</v>
      </c>
    </row>
    <row r="9" spans="1:33" ht="18" customHeight="1">
      <c r="A9" s="786"/>
      <c r="B9" s="3496"/>
      <c r="C9" s="788"/>
      <c r="D9" s="789"/>
      <c r="E9" s="784" t="s">
        <v>1741</v>
      </c>
      <c r="F9" s="794">
        <f ca="1">INDIRECT("'数据-取费表'!w"&amp;$G$1)</f>
        <v>0.1</v>
      </c>
      <c r="G9" s="1579"/>
      <c r="H9" s="2470"/>
      <c r="I9" s="3495"/>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t="s">
        <v>3254</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979</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619</v>
      </c>
      <c r="D14" s="1965" t="s">
        <v>1745</v>
      </c>
      <c r="E14" s="1966"/>
      <c r="F14" s="805"/>
      <c r="G14" s="1579"/>
      <c r="H14" s="1635" t="s">
        <v>1830</v>
      </c>
      <c r="I14" s="2217" t="s">
        <v>2826</v>
      </c>
      <c r="J14" s="53">
        <f ca="1">C29</f>
        <v>979</v>
      </c>
      <c r="K14" s="26"/>
      <c r="L14" s="801"/>
      <c r="M14" s="802"/>
    </row>
    <row r="15" spans="1:33" s="2050" customFormat="1" ht="18" customHeight="1" thickBot="1">
      <c r="A15" s="1634" t="s">
        <v>1885</v>
      </c>
      <c r="B15" s="784" t="s">
        <v>647</v>
      </c>
      <c r="C15" s="53">
        <f ca="1">ROUND(C14*F15,0)</f>
        <v>19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97</v>
      </c>
      <c r="K16" s="1807" t="s">
        <v>1750</v>
      </c>
      <c r="L16" s="2451"/>
      <c r="M16" s="2456"/>
    </row>
    <row r="17" spans="1:33" s="2050" customFormat="1" ht="18" customHeight="1">
      <c r="A17" s="1634" t="s">
        <v>1887</v>
      </c>
      <c r="B17" s="784" t="s">
        <v>653</v>
      </c>
      <c r="C17" s="53">
        <f ca="1">ROUND(F17*(F43+INDIRECT("'数据-取费表'!S"&amp;$G$1))/10000,0)</f>
        <v>42</v>
      </c>
      <c r="D17" s="784" t="s">
        <v>1751</v>
      </c>
      <c r="E17" s="784" t="s">
        <v>1752</v>
      </c>
      <c r="F17" s="56">
        <f>'数据-取费表'!B35</f>
        <v>200</v>
      </c>
      <c r="G17" s="1580"/>
      <c r="H17" s="1635" t="s">
        <v>1830</v>
      </c>
      <c r="I17" s="784" t="s">
        <v>656</v>
      </c>
      <c r="J17" s="53">
        <f ca="1">ROUND(IF(项目基本情况!B11="自然人",J6*M17/(1+'数据-取费表'!C42),J18+J19+J20),0)</f>
        <v>82</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9</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689</v>
      </c>
      <c r="D19" s="261" t="s">
        <v>1757</v>
      </c>
      <c r="E19" s="1968"/>
      <c r="F19" s="56"/>
      <c r="G19" s="1579"/>
      <c r="H19" s="1634" t="s">
        <v>1885</v>
      </c>
      <c r="I19" s="784" t="s">
        <v>1758</v>
      </c>
      <c r="J19" s="53">
        <f ca="1">IF(K19="按租金收入计税",ROUND(J6*M19/(1+'数据-取费表'!C42),1),ROUND(C29*F33*0.7,1))</f>
        <v>82.2</v>
      </c>
      <c r="K19" s="811" t="s">
        <v>665</v>
      </c>
      <c r="L19" s="784" t="s">
        <v>1747</v>
      </c>
      <c r="M19" s="809">
        <f>IF(K19="按租金收入计税",'数据-取费表'!B51,'数据-取费表'!B50)</f>
        <v>1.2E-2</v>
      </c>
    </row>
    <row r="20" spans="1:33" s="2050" customFormat="1" ht="18" customHeight="1">
      <c r="A20" s="1635" t="s">
        <v>1889</v>
      </c>
      <c r="B20" s="784" t="s">
        <v>666</v>
      </c>
      <c r="C20" s="53">
        <f ca="1">ROUND(C19*F20,0)</f>
        <v>14</v>
      </c>
      <c r="D20" s="812" t="s">
        <v>1759</v>
      </c>
      <c r="E20" s="784" t="s">
        <v>1747</v>
      </c>
      <c r="F20" s="809">
        <f>'数据-取费表'!B37</f>
        <v>0.02</v>
      </c>
      <c r="G20" s="1580"/>
      <c r="H20" s="1637" t="s">
        <v>1880</v>
      </c>
      <c r="I20" s="341" t="s">
        <v>1760</v>
      </c>
      <c r="J20" s="54">
        <f ca="1">ROUND(M20*M21/10000,0)</f>
        <v>0</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727.67</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15</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59</v>
      </c>
      <c r="D23" s="2536" t="str">
        <f>IF(F23&lt;=1,"(建造成本+管理费用)×利率×(建设周期÷2)","(建造成本+管理费用)×((1+利率)^(建设周期÷2)-1)")</f>
        <v>(建造成本+管理费用)×((1+利率)^(建设周期÷2)-1)</v>
      </c>
      <c r="E23" s="784" t="s">
        <v>1770</v>
      </c>
      <c r="F23" s="640">
        <f>'数据-取费表'!B20</f>
        <v>3.5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1.6999999999999999E-3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-97</v>
      </c>
      <c r="K25" s="2513" t="s">
        <v>1777</v>
      </c>
      <c r="L25" s="2514"/>
      <c r="M25" s="2515"/>
    </row>
    <row r="26" spans="1:33" ht="18" customHeight="1">
      <c r="A26" s="1634" t="s">
        <v>1831</v>
      </c>
      <c r="B26" s="784" t="s">
        <v>2438</v>
      </c>
      <c r="C26" s="53">
        <f ca="1">ROUND((C19+C20)*F26,0)</f>
        <v>141</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979</v>
      </c>
      <c r="D29" s="2510"/>
      <c r="E29" s="2511"/>
      <c r="F29" s="2512"/>
      <c r="G29" s="1580"/>
      <c r="H29" s="823" t="s">
        <v>1787</v>
      </c>
      <c r="I29" s="824" t="s">
        <v>1788</v>
      </c>
      <c r="J29" s="825">
        <f ca="1">ROUND(J26/(1+F40)^F41,0)</f>
        <v>0</v>
      </c>
      <c r="K29" s="826" t="s">
        <v>1789</v>
      </c>
      <c r="L29" s="827"/>
      <c r="M29" s="828">
        <f ca="1">INDIRECT("'数据-取费表'!k"&amp;$G$1)</f>
        <v>1947.33</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19.5</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6</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13.1</v>
      </c>
      <c r="D33" s="811" t="s">
        <v>3255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727.67</v>
      </c>
      <c r="G35" s="2048"/>
      <c r="H35" s="2051"/>
      <c r="I35" s="837" t="s">
        <v>1814</v>
      </c>
      <c r="J35" s="838">
        <f ca="1">ROUND(C13*J36,0)</f>
        <v>83</v>
      </c>
      <c r="K35" s="2064"/>
      <c r="L35" s="2063"/>
      <c r="M35" s="2063"/>
    </row>
    <row r="36" spans="1:18" ht="18" customHeight="1">
      <c r="A36" s="1635" t="s">
        <v>1889</v>
      </c>
      <c r="B36" s="784" t="s">
        <v>1802</v>
      </c>
      <c r="C36" s="53">
        <f ca="1">ROUND(C29*F36,1)</f>
        <v>14.7</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1.5</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1.2</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78</v>
      </c>
      <c r="D39" s="2513" t="s">
        <v>1806</v>
      </c>
      <c r="E39" s="2514"/>
      <c r="F39" s="2515"/>
      <c r="G39" s="2048"/>
      <c r="H39" s="2063"/>
      <c r="I39" s="837" t="s">
        <v>1818</v>
      </c>
      <c r="J39" s="845">
        <f ca="1">ROUND(J35/C39,3)</f>
        <v>1.0640000000000001</v>
      </c>
      <c r="K39" s="2069"/>
      <c r="L39" s="2063"/>
      <c r="M39" s="2063"/>
    </row>
    <row r="40" spans="1:18" ht="18" customHeight="1">
      <c r="A40" s="781" t="s">
        <v>1895</v>
      </c>
      <c r="B40" s="2218" t="s">
        <v>2301</v>
      </c>
      <c r="C40" s="783">
        <f ca="1">ROUND(C39*(1-((1+F42)/(1+F40))^F41)/(F40-F42),0)</f>
        <v>1820</v>
      </c>
      <c r="D40" s="814" t="s">
        <v>1807</v>
      </c>
      <c r="E40" s="784" t="s">
        <v>2419</v>
      </c>
      <c r="F40" s="794">
        <f ca="1">INDIRECT("'数据-取费表'!I"&amp;$G$1)</f>
        <v>5.5E-2</v>
      </c>
      <c r="G40" s="2048"/>
      <c r="H40" s="2048"/>
      <c r="I40" s="837" t="s">
        <v>1819</v>
      </c>
      <c r="J40" s="845">
        <f ca="1">1-J39</f>
        <v>-6.4000000000000057E-2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36.5</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0.53800000000000003</v>
      </c>
      <c r="K42" s="2068"/>
      <c r="L42" s="1974"/>
      <c r="M42" s="1974"/>
    </row>
    <row r="43" spans="1:18" ht="18" customHeight="1" thickBot="1">
      <c r="A43" s="823" t="s">
        <v>1787</v>
      </c>
      <c r="B43" s="824" t="s">
        <v>1810</v>
      </c>
      <c r="C43" s="825">
        <f ca="1">ROUND(C40*10000/F43,0)</f>
        <v>9346</v>
      </c>
      <c r="D43" s="826" t="s">
        <v>1811</v>
      </c>
      <c r="E43" s="827" t="s">
        <v>1812</v>
      </c>
      <c r="F43" s="828">
        <f ca="1">INDIRECT("'数据-取费表'!k"&amp;$G$1)</f>
        <v>1947.33</v>
      </c>
      <c r="G43" s="2048"/>
      <c r="H43" s="1974"/>
      <c r="I43" s="847" t="s">
        <v>1822</v>
      </c>
      <c r="J43" s="848">
        <f ca="1">1-J42</f>
        <v>0.46199999999999997</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-2085</v>
      </c>
      <c r="D46" s="2071"/>
      <c r="E46" s="2071"/>
      <c r="F46" s="2071"/>
      <c r="I46" s="2343" t="s">
        <v>2343</v>
      </c>
      <c r="J46" s="2344"/>
      <c r="K46" s="2345"/>
      <c r="L46" s="3108">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3235</v>
      </c>
      <c r="K47" s="3105" t="s">
        <v>2349</v>
      </c>
      <c r="L47" s="3109">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6" t="s">
        <v>2351</v>
      </c>
      <c r="L48" s="1894">
        <f ca="1">INDIRECT("'数据-取费表'!f"&amp;$G$1)</f>
        <v>40</v>
      </c>
      <c r="O48" s="2363" t="s">
        <v>2379</v>
      </c>
      <c r="P48" s="2364" t="s">
        <v>2405</v>
      </c>
      <c r="Q48" s="2365">
        <f ca="1">C40+J29</f>
        <v>1820</v>
      </c>
      <c r="R48" s="2364" t="s">
        <v>2380</v>
      </c>
    </row>
    <row r="49" spans="1:18" s="2045" customFormat="1" ht="18" customHeight="1" thickBot="1">
      <c r="A49" s="786"/>
      <c r="B49" s="787"/>
      <c r="C49" s="788"/>
      <c r="D49" s="789"/>
      <c r="E49" s="784" t="s">
        <v>1739</v>
      </c>
      <c r="F49" s="785">
        <f ca="1">F7</f>
        <v>1947.33</v>
      </c>
      <c r="G49" s="2076"/>
      <c r="H49" s="2079"/>
      <c r="I49" s="3078" t="s">
        <v>2346</v>
      </c>
      <c r="J49" s="2348">
        <v>2022</v>
      </c>
      <c r="K49" s="3107"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7" t="s">
        <v>2353</v>
      </c>
      <c r="L50" s="2349"/>
      <c r="O50" s="2366" t="s">
        <v>2383</v>
      </c>
      <c r="P50" s="2364" t="s">
        <v>2407</v>
      </c>
      <c r="Q50" s="2365">
        <f ca="1">C29</f>
        <v>979</v>
      </c>
      <c r="R50" s="2364" t="s">
        <v>2380</v>
      </c>
    </row>
    <row r="51" spans="1:18" s="2045" customFormat="1" ht="18" customHeight="1" thickBot="1">
      <c r="A51" s="786"/>
      <c r="B51" s="787"/>
      <c r="C51" s="788"/>
      <c r="D51" s="789"/>
      <c r="E51" s="784" t="s">
        <v>640</v>
      </c>
      <c r="F51" s="2336"/>
      <c r="H51" s="2079"/>
      <c r="I51" s="3100" t="s">
        <v>2348</v>
      </c>
      <c r="J51" s="3104">
        <f>IF(J49="",J50,J49+J50-YEAR('数据-取费表'!B2))</f>
        <v>63</v>
      </c>
      <c r="K51" s="3078" t="s">
        <v>2354</v>
      </c>
      <c r="L51" s="3110">
        <f ca="1">ROUND(-PV(INDIRECT("'数据-取费表'!h"&amp;$G$1),L48,(C39-C13*J36),0),0)</f>
        <v>-89</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v>0.09</v>
      </c>
      <c r="K52" s="3101"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36.5</v>
      </c>
      <c r="K53" s="3504" t="s">
        <v>2967</v>
      </c>
      <c r="L53" s="3505"/>
      <c r="O53" s="2366" t="s">
        <v>2388</v>
      </c>
      <c r="P53" s="2364" t="s">
        <v>2389</v>
      </c>
      <c r="Q53" s="2365">
        <f ca="1">J53</f>
        <v>36.5</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1820</v>
      </c>
      <c r="R54" s="2368" t="s">
        <v>2392</v>
      </c>
    </row>
    <row r="55" spans="1:18" s="2045" customFormat="1" ht="18" customHeight="1" thickTop="1" thickBot="1">
      <c r="A55" s="797">
        <v>2</v>
      </c>
      <c r="B55" s="798" t="s">
        <v>644</v>
      </c>
      <c r="C55" s="799">
        <f ca="1">C13</f>
        <v>979</v>
      </c>
      <c r="D55" s="795"/>
      <c r="E55" s="795"/>
      <c r="F55" s="800"/>
      <c r="I55" s="3113" t="s">
        <v>2355</v>
      </c>
      <c r="J55" s="3053" t="e">
        <f ca="1">ROUND(IF(J47="钢混",J57/J50,1-(1-2%)*(J50-J57)/J50),3)</f>
        <v>#VALUE!</v>
      </c>
      <c r="K55" s="3114" t="s">
        <v>2356</v>
      </c>
      <c r="L55" s="2351"/>
      <c r="O55" s="2369" t="s">
        <v>2411</v>
      </c>
      <c r="P55" s="1579"/>
      <c r="Q55" s="1590"/>
      <c r="R55" s="1579"/>
    </row>
    <row r="56" spans="1:18" s="2045" customFormat="1" ht="42.75" customHeight="1" thickBot="1">
      <c r="A56" s="1636"/>
      <c r="B56" s="2217" t="s">
        <v>2302</v>
      </c>
      <c r="C56" s="53">
        <f ca="1">C29</f>
        <v>979</v>
      </c>
      <c r="D56" s="2604"/>
      <c r="E56" s="784"/>
      <c r="F56" s="809"/>
      <c r="I56" s="3115" t="s">
        <v>2357</v>
      </c>
      <c r="J56" s="3125" t="s">
        <v>1678</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17</v>
      </c>
      <c r="D57" s="26" t="s">
        <v>1750</v>
      </c>
      <c r="E57" s="2605"/>
      <c r="F57" s="56"/>
      <c r="I57" s="3116" t="s">
        <v>2358</v>
      </c>
      <c r="J57" s="3117" t="str">
        <f ca="1">IF(OR(M47="住宅",J51&lt;L48,J56="是"),"——",J51-L48)</f>
        <v>——</v>
      </c>
      <c r="K57" s="3078" t="s">
        <v>2363</v>
      </c>
      <c r="L57" s="1894" t="str">
        <f ca="1">IF(L48&lt;J51,"——",IF(L55="比较法",L49,IF(L55="基准地价",L50,L51)))</f>
        <v>——</v>
      </c>
      <c r="O57" s="2363" t="s">
        <v>2379</v>
      </c>
      <c r="P57" s="2364" t="s">
        <v>2409</v>
      </c>
      <c r="Q57" s="2365">
        <f ca="1">C40+J29</f>
        <v>1820</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f ca="1">IF(项目基本情况!B11="企业","",IF(INDIRECT("'数据-取费表'!c"&amp;$G$1)="住宅",5%,IF(F48*F49*F50/12/(1+'数据-取费表'!C42)&gt;20000,12%,7%)))</f>
        <v>7.0000000000000007E-2</v>
      </c>
      <c r="I58" s="3116" t="s">
        <v>2359</v>
      </c>
      <c r="J58" s="3054" t="e">
        <f ca="1">IF(J55&lt;0.4,0.4,J55)</f>
        <v>#VALUE!</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6" t="s">
        <v>2360</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727.67</v>
      </c>
      <c r="I62" s="3121" t="s">
        <v>2367</v>
      </c>
      <c r="J62" s="3122" t="s">
        <v>2368</v>
      </c>
      <c r="K62" s="3122" t="s">
        <v>2369</v>
      </c>
      <c r="L62" s="3122" t="s">
        <v>2350</v>
      </c>
      <c r="M62" s="3123"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14.7</v>
      </c>
      <c r="D63" s="2604" t="s">
        <v>1803</v>
      </c>
      <c r="E63" s="784" t="s">
        <v>1747</v>
      </c>
      <c r="F63" s="817">
        <f t="shared" ca="1" si="0"/>
        <v>1.4999999999999999E-2</v>
      </c>
      <c r="I63" s="3121" t="s">
        <v>2370</v>
      </c>
      <c r="J63" s="3122">
        <v>70</v>
      </c>
      <c r="K63" s="3122">
        <v>50</v>
      </c>
      <c r="L63" s="3122">
        <v>80</v>
      </c>
      <c r="M63" s="3124">
        <v>0.02</v>
      </c>
      <c r="O63" s="2363" t="s">
        <v>2391</v>
      </c>
      <c r="P63" s="2364" t="s">
        <v>2408</v>
      </c>
      <c r="Q63" s="2365">
        <f ca="1">Q57+Q58</f>
        <v>1820</v>
      </c>
      <c r="R63" s="2368" t="s">
        <v>2392</v>
      </c>
    </row>
    <row r="64" spans="1:18" s="2045" customFormat="1" ht="16.5" thickBot="1">
      <c r="A64" s="1635" t="s">
        <v>1890</v>
      </c>
      <c r="B64" s="784" t="s">
        <v>679</v>
      </c>
      <c r="C64" s="53">
        <f ca="1">ROUND(C55*F64,1)</f>
        <v>1.5</v>
      </c>
      <c r="D64" s="2604" t="s">
        <v>680</v>
      </c>
      <c r="E64" s="784" t="s">
        <v>1747</v>
      </c>
      <c r="F64" s="818">
        <f t="shared" ca="1" si="0"/>
        <v>1.5E-3</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f ca="1">C47-C57</f>
        <v>-17</v>
      </c>
      <c r="D66" s="2603" t="s">
        <v>700</v>
      </c>
      <c r="E66" s="2602"/>
      <c r="F66" s="820"/>
      <c r="K66" s="2072"/>
      <c r="O66" s="2363" t="s">
        <v>2379</v>
      </c>
      <c r="P66" s="2364" t="s">
        <v>2409</v>
      </c>
      <c r="Q66" s="2365">
        <f ca="1">C40+J29</f>
        <v>1820</v>
      </c>
      <c r="R66" s="2364" t="s">
        <v>2380</v>
      </c>
    </row>
    <row r="67" spans="1:18" s="2045" customFormat="1" ht="20.25" thickBot="1">
      <c r="A67" s="781" t="s">
        <v>1780</v>
      </c>
      <c r="B67" s="2218" t="s">
        <v>2301</v>
      </c>
      <c r="C67" s="783">
        <f ca="1">ROUND(C66*(1-((1+F69)/(1+F67))^F68)/(F67-F69),0)</f>
        <v>-265</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36.5</v>
      </c>
      <c r="O68" s="2366" t="s">
        <v>2383</v>
      </c>
      <c r="P68" s="2364" t="s">
        <v>2413</v>
      </c>
      <c r="Q68" s="2370">
        <f ca="1">L51</f>
        <v>-89</v>
      </c>
      <c r="R68" s="2371" t="s">
        <v>2416</v>
      </c>
    </row>
    <row r="69" spans="1:18" ht="20.25" thickBot="1">
      <c r="A69" s="790"/>
      <c r="B69" s="791"/>
      <c r="C69" s="792"/>
      <c r="D69" s="816"/>
      <c r="E69" s="784" t="s">
        <v>710</v>
      </c>
      <c r="F69" s="2336"/>
      <c r="O69" s="2366" t="s">
        <v>2384</v>
      </c>
      <c r="P69" s="2372" t="s">
        <v>2398</v>
      </c>
      <c r="Q69" s="2365">
        <f ca="1">ROUND(Q70-Q71*Q72,0)</f>
        <v>-5</v>
      </c>
      <c r="R69" s="2368"/>
    </row>
    <row r="70" spans="1:18" ht="15.75" thickBot="1">
      <c r="A70" s="823" t="s">
        <v>1787</v>
      </c>
      <c r="B70" s="824" t="s">
        <v>1810</v>
      </c>
      <c r="C70" s="825">
        <f ca="1">ROUND(C67*10000/F70,0)</f>
        <v>-1361</v>
      </c>
      <c r="D70" s="826" t="s">
        <v>1811</v>
      </c>
      <c r="E70" s="827" t="s">
        <v>1812</v>
      </c>
      <c r="F70" s="828">
        <f ca="1">F43</f>
        <v>1947.33</v>
      </c>
      <c r="O70" s="2366" t="s">
        <v>2399</v>
      </c>
      <c r="P70" s="2372" t="s">
        <v>2400</v>
      </c>
      <c r="Q70" s="2365">
        <f ca="1">C39</f>
        <v>78</v>
      </c>
      <c r="R70" s="2364" t="s">
        <v>2380</v>
      </c>
    </row>
    <row r="71" spans="1:18" ht="15.75" thickBot="1">
      <c r="O71" s="2366" t="s">
        <v>2401</v>
      </c>
      <c r="P71" s="2372" t="s">
        <v>2402</v>
      </c>
      <c r="Q71" s="2365">
        <f ca="1">C13</f>
        <v>979</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1820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3052</v>
      </c>
      <c r="D1" s="3077" t="s">
        <v>3264</v>
      </c>
      <c r="E1" s="2352" t="s">
        <v>2374</v>
      </c>
      <c r="F1" s="2353">
        <f ca="1">J53</f>
        <v>46.5</v>
      </c>
      <c r="G1" s="774">
        <f>MATCH(C1,'数据-取费表'!A6:A16,0)+5</f>
        <v>10</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1360</v>
      </c>
      <c r="C2" s="2043"/>
      <c r="D2" s="2041"/>
      <c r="E2" s="2042"/>
      <c r="F2" s="2042"/>
      <c r="G2" s="1577"/>
      <c r="H2" s="2043"/>
      <c r="I2" s="2043"/>
      <c r="J2" s="2043"/>
      <c r="K2" s="2044"/>
      <c r="L2" s="2043"/>
      <c r="M2" s="2043"/>
    </row>
    <row r="3" spans="1:33" ht="18" customHeight="1" thickBot="1">
      <c r="A3" s="833" t="s">
        <v>1727</v>
      </c>
      <c r="B3" s="834">
        <f ca="1">IF(ISERROR(B2*10000/F43),0,ROUND(B2*10000/F43,0))</f>
        <v>2106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106</v>
      </c>
      <c r="D5" s="2461" t="s">
        <v>2461</v>
      </c>
      <c r="E5" s="2455"/>
      <c r="F5" s="2456"/>
      <c r="G5" s="1579"/>
      <c r="H5" s="781">
        <v>1</v>
      </c>
      <c r="I5" s="782" t="s">
        <v>2458</v>
      </c>
      <c r="J5" s="55">
        <f ca="1">J6+J10+J12</f>
        <v>0</v>
      </c>
      <c r="K5" s="2461" t="s">
        <v>2461</v>
      </c>
      <c r="L5" s="2455"/>
      <c r="M5" s="2456"/>
    </row>
    <row r="6" spans="1:33" ht="18" customHeight="1">
      <c r="A6" s="1816" t="s">
        <v>1824</v>
      </c>
      <c r="B6" s="3493" t="s">
        <v>2463</v>
      </c>
      <c r="C6" s="783">
        <f ca="1">ROUND(F6*F8*F7*(1-F9)/10000,0)</f>
        <v>106</v>
      </c>
      <c r="D6" s="2462" t="s">
        <v>2462</v>
      </c>
      <c r="E6" s="784" t="s">
        <v>1738</v>
      </c>
      <c r="F6" s="785">
        <f ca="1">INDIRECT("'数据-取费表'!u"&amp;$G$1)</f>
        <v>0.5</v>
      </c>
      <c r="G6" s="1579"/>
      <c r="H6" s="2469" t="s">
        <v>2468</v>
      </c>
      <c r="I6" s="3493" t="s">
        <v>2463</v>
      </c>
      <c r="J6" s="783">
        <f ca="1">ROUND(M6*M8*M7*(1-M9)/10000,0)</f>
        <v>0</v>
      </c>
      <c r="K6" s="341" t="s">
        <v>1737</v>
      </c>
      <c r="L6" s="784" t="s">
        <v>1738</v>
      </c>
      <c r="M6" s="785">
        <f ca="1">INDIRECT("'数据-取费表'!z"&amp;$G$1)</f>
        <v>0</v>
      </c>
    </row>
    <row r="7" spans="1:33" ht="18" customHeight="1">
      <c r="A7" s="2465"/>
      <c r="B7" s="3494"/>
      <c r="C7" s="788"/>
      <c r="D7" s="789"/>
      <c r="E7" s="784" t="s">
        <v>1739</v>
      </c>
      <c r="F7" s="785">
        <f ca="1">IF(INDIRECT("'数据-取费表'!ah"&amp;$G$1)="",INDIRECT("'数据-取费表'!k"&amp;$G$1),INDIRECT("'数据-取费表'!ah"&amp;$G$1))</f>
        <v>6458.14</v>
      </c>
      <c r="G7" s="1579"/>
      <c r="H7" s="2454"/>
      <c r="I7" s="3494"/>
      <c r="J7" s="788"/>
      <c r="K7" s="789"/>
      <c r="L7" s="784" t="s">
        <v>1739</v>
      </c>
      <c r="M7" s="785">
        <f ca="1">F7</f>
        <v>6458.14</v>
      </c>
    </row>
    <row r="8" spans="1:33" ht="18" customHeight="1">
      <c r="A8" s="2458"/>
      <c r="B8" s="3495"/>
      <c r="C8" s="788"/>
      <c r="D8" s="789"/>
      <c r="E8" s="784" t="s">
        <v>1740</v>
      </c>
      <c r="F8" s="785">
        <f ca="1">INDIRECT("'数据-取费表'!ai"&amp;$G$1)</f>
        <v>365</v>
      </c>
      <c r="G8" s="1579"/>
      <c r="H8" s="2454"/>
      <c r="I8" s="3495"/>
      <c r="J8" s="788"/>
      <c r="K8" s="789"/>
      <c r="L8" s="784" t="s">
        <v>1740</v>
      </c>
      <c r="M8" s="785">
        <f ca="1">INDIRECT("'数据-取费表'!ai"&amp;$G$1)</f>
        <v>365</v>
      </c>
    </row>
    <row r="9" spans="1:33" ht="18" customHeight="1">
      <c r="A9" s="786"/>
      <c r="B9" s="3496"/>
      <c r="C9" s="788"/>
      <c r="D9" s="789"/>
      <c r="E9" s="784" t="s">
        <v>1741</v>
      </c>
      <c r="F9" s="794">
        <f ca="1">INDIRECT("'数据-取费表'!w"&amp;$G$1)</f>
        <v>0.1</v>
      </c>
      <c r="G9" s="1579"/>
      <c r="H9" s="2470"/>
      <c r="I9" s="3495"/>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t="s">
        <v>3254</v>
      </c>
      <c r="G10" s="1579"/>
      <c r="H10" s="2526" t="s">
        <v>2466</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2456</v>
      </c>
      <c r="F11" s="796">
        <f ca="1">'数据-取费表'!B39</f>
        <v>1.4999999999999999E-2</v>
      </c>
      <c r="G11" s="1579"/>
      <c r="H11" s="2527"/>
      <c r="I11" s="2460" t="s">
        <v>2573</v>
      </c>
      <c r="J11" s="2464"/>
      <c r="K11" s="2528"/>
      <c r="L11" s="2463" t="s">
        <v>2456</v>
      </c>
      <c r="M11" s="2457">
        <f ca="1">'数据-取费表'!B39</f>
        <v>1.4999999999999999E-2</v>
      </c>
    </row>
    <row r="12" spans="1:33" ht="18" customHeight="1" thickBot="1">
      <c r="A12" s="2502" t="s">
        <v>2467</v>
      </c>
      <c r="B12" s="2503" t="s">
        <v>2460</v>
      </c>
      <c r="C12" s="2504"/>
      <c r="D12" s="2505"/>
      <c r="E12" s="2506"/>
      <c r="F12" s="2507"/>
      <c r="G12" s="1579"/>
      <c r="H12" s="2516" t="s">
        <v>2467</v>
      </c>
      <c r="I12" s="2529" t="s">
        <v>2460</v>
      </c>
      <c r="J12" s="2530"/>
      <c r="K12" s="2505"/>
      <c r="L12" s="2506"/>
      <c r="M12" s="2519"/>
    </row>
    <row r="13" spans="1:33" ht="18" customHeight="1" thickTop="1">
      <c r="A13" s="1815">
        <v>2</v>
      </c>
      <c r="B13" s="1813" t="s">
        <v>1742</v>
      </c>
      <c r="C13" s="792">
        <f ca="1">ROUND(C29*F13,0)</f>
        <v>2436</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1731</v>
      </c>
      <c r="D14" s="3185" t="s">
        <v>1745</v>
      </c>
      <c r="E14" s="3186"/>
      <c r="F14" s="805"/>
      <c r="G14" s="1579"/>
      <c r="H14" s="1635" t="s">
        <v>1830</v>
      </c>
      <c r="I14" s="2217" t="s">
        <v>2826</v>
      </c>
      <c r="J14" s="53">
        <f ca="1">C29</f>
        <v>2436</v>
      </c>
      <c r="K14" s="26"/>
      <c r="L14" s="801"/>
      <c r="M14" s="802"/>
    </row>
    <row r="15" spans="1:33" s="2050" customFormat="1" ht="18" customHeight="1" thickBot="1">
      <c r="A15" s="1634" t="s">
        <v>1885</v>
      </c>
      <c r="B15" s="784" t="s">
        <v>647</v>
      </c>
      <c r="C15" s="53">
        <f ca="1">ROUND(C14*F15,0)</f>
        <v>52</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243</v>
      </c>
      <c r="K16" s="1807" t="s">
        <v>1750</v>
      </c>
      <c r="L16" s="3187"/>
      <c r="M16" s="2456"/>
    </row>
    <row r="17" spans="1:33" s="2050" customFormat="1" ht="18" customHeight="1">
      <c r="A17" s="1634" t="s">
        <v>1887</v>
      </c>
      <c r="B17" s="784" t="s">
        <v>653</v>
      </c>
      <c r="C17" s="53">
        <f ca="1">ROUND(F17*(F43+INDIRECT("'数据-取费表'!S"&amp;$G$1))/10000,0)</f>
        <v>138</v>
      </c>
      <c r="D17" s="784" t="s">
        <v>1751</v>
      </c>
      <c r="E17" s="784" t="s">
        <v>1752</v>
      </c>
      <c r="F17" s="56">
        <f>'数据-取费表'!B35</f>
        <v>200</v>
      </c>
      <c r="G17" s="1580"/>
      <c r="H17" s="1635" t="s">
        <v>1830</v>
      </c>
      <c r="I17" s="784" t="s">
        <v>656</v>
      </c>
      <c r="J17" s="53">
        <f ca="1">ROUND(IF(项目基本情况!B11="自然人",J6*M17/(1+'数据-取费表'!C42),J18+J19+J20),0)</f>
        <v>206</v>
      </c>
      <c r="K17" s="3185" t="s">
        <v>1753</v>
      </c>
      <c r="L17" s="3183"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26</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1947</v>
      </c>
      <c r="D19" s="261" t="s">
        <v>1757</v>
      </c>
      <c r="E19" s="3193"/>
      <c r="F19" s="56"/>
      <c r="G19" s="1579"/>
      <c r="H19" s="1634" t="s">
        <v>1885</v>
      </c>
      <c r="I19" s="784" t="s">
        <v>1758</v>
      </c>
      <c r="J19" s="53">
        <f ca="1">IF(K19="按租金收入计税",ROUND(J6*M19/(1+'数据-取费表'!C42),1),ROUND(C29*F33*0.7,1))</f>
        <v>204.6</v>
      </c>
      <c r="K19" s="811" t="s">
        <v>665</v>
      </c>
      <c r="L19" s="784" t="s">
        <v>1747</v>
      </c>
      <c r="M19" s="809">
        <f>IF(K19="按租金收入计税",'数据-取费表'!B51,'数据-取费表'!B50)</f>
        <v>1.2E-2</v>
      </c>
    </row>
    <row r="20" spans="1:33" s="2050" customFormat="1" ht="18" customHeight="1">
      <c r="A20" s="1635" t="s">
        <v>1889</v>
      </c>
      <c r="B20" s="784" t="s">
        <v>666</v>
      </c>
      <c r="C20" s="53">
        <f ca="1">ROUND(C19*F20,0)</f>
        <v>39</v>
      </c>
      <c r="D20" s="812" t="s">
        <v>1759</v>
      </c>
      <c r="E20" s="784" t="s">
        <v>1747</v>
      </c>
      <c r="F20" s="809">
        <f>'数据-取费表'!B37</f>
        <v>0.02</v>
      </c>
      <c r="G20" s="1580"/>
      <c r="H20" s="1637" t="s">
        <v>1880</v>
      </c>
      <c r="I20" s="341" t="s">
        <v>1760</v>
      </c>
      <c r="J20" s="54">
        <f ca="1">ROUND(M20*M21/10000,0)</f>
        <v>1</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2413.2600000000002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93"/>
      <c r="F22" s="56"/>
      <c r="G22" s="1579"/>
      <c r="H22" s="1635" t="s">
        <v>1889</v>
      </c>
      <c r="I22" s="784" t="s">
        <v>1768</v>
      </c>
      <c r="J22" s="53">
        <f ca="1">ROUND(J14*M22,0)</f>
        <v>37</v>
      </c>
      <c r="K22" s="3183"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168</v>
      </c>
      <c r="D23" s="2536" t="str">
        <f>IF(F23&lt;=1,"(建造成本+管理费用)×利率×(建设周期÷2)","(建造成本+管理费用)×((1+利率)^(建设周期÷2)-1)")</f>
        <v>(建造成本+管理费用)×((1+利率)^(建设周期÷2)-1)</v>
      </c>
      <c r="E23" s="784" t="s">
        <v>1770</v>
      </c>
      <c r="F23" s="640">
        <f>'数据-取费表'!B20</f>
        <v>3.5</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1.6999999999999999E-3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93"/>
      <c r="F25" s="56"/>
      <c r="G25" s="1579"/>
      <c r="H25" s="1815" t="s">
        <v>1776</v>
      </c>
      <c r="I25" s="2963" t="s">
        <v>2822</v>
      </c>
      <c r="J25" s="792">
        <f ca="1">J5-J16</f>
        <v>-243</v>
      </c>
      <c r="K25" s="2513" t="s">
        <v>1777</v>
      </c>
      <c r="L25" s="2514"/>
      <c r="M25" s="2515"/>
    </row>
    <row r="26" spans="1:33" ht="18" customHeight="1">
      <c r="A26" s="1634" t="s">
        <v>1831</v>
      </c>
      <c r="B26" s="784" t="s">
        <v>2438</v>
      </c>
      <c r="C26" s="53">
        <f ca="1">ROUND((C19+C20)*F26,0)</f>
        <v>99</v>
      </c>
      <c r="D26" s="812" t="s">
        <v>1778</v>
      </c>
      <c r="E26" s="795" t="s">
        <v>1779</v>
      </c>
      <c r="F26" s="794">
        <f ca="1">INDIRECT("'数据-取费表'!q"&amp;$G$1)</f>
        <v>0.05</v>
      </c>
      <c r="G26" s="1579"/>
      <c r="H26" s="2467" t="s">
        <v>1780</v>
      </c>
      <c r="I26" s="2218" t="s">
        <v>2827</v>
      </c>
      <c r="J26" s="783">
        <f ca="1">IF(J5&lt;&gt;0,ROUND(J25*(1-((1+M28)/(1+M26))^M27)/(M26-M28),0),0)</f>
        <v>0</v>
      </c>
      <c r="K26" s="814" t="s">
        <v>1781</v>
      </c>
      <c r="L26" s="784" t="s">
        <v>2419</v>
      </c>
      <c r="M26" s="794">
        <f ca="1">INDIRECT("'数据-取费表'!I"&amp;$G$1)</f>
        <v>0.05</v>
      </c>
    </row>
    <row r="27" spans="1:33" ht="18" customHeight="1">
      <c r="A27" s="1634" t="s">
        <v>1832</v>
      </c>
      <c r="B27" s="784" t="s">
        <v>686</v>
      </c>
      <c r="C27" s="53">
        <f ca="1">ROUND(F21*F26,4)</f>
        <v>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2436</v>
      </c>
      <c r="D29" s="2510"/>
      <c r="E29" s="2511"/>
      <c r="F29" s="2512"/>
      <c r="G29" s="1580"/>
      <c r="H29" s="823" t="s">
        <v>1787</v>
      </c>
      <c r="I29" s="824" t="s">
        <v>1788</v>
      </c>
      <c r="J29" s="825">
        <f ca="1">ROUND(J26/(1+F40)^F41,0)</f>
        <v>0</v>
      </c>
      <c r="K29" s="826" t="s">
        <v>1789</v>
      </c>
      <c r="L29" s="827"/>
      <c r="M29" s="828">
        <f ca="1">INDIRECT("'数据-取费表'!k"&amp;$G$1)</f>
        <v>6458.14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60</v>
      </c>
      <c r="D30" s="1807" t="s">
        <v>1791</v>
      </c>
      <c r="E30" s="3187"/>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19.100000000000001</v>
      </c>
      <c r="D31" s="3185" t="s">
        <v>1792</v>
      </c>
      <c r="E31" s="318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5.6</v>
      </c>
      <c r="D32" s="318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12.1</v>
      </c>
      <c r="D33" s="811" t="s">
        <v>3255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1.4</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2413.2600000000002</v>
      </c>
      <c r="G35" s="2048"/>
      <c r="H35" s="2051"/>
      <c r="I35" s="837" t="s">
        <v>1814</v>
      </c>
      <c r="J35" s="838">
        <f ca="1">ROUND(C13*J36,0)</f>
        <v>207</v>
      </c>
      <c r="K35" s="2064"/>
      <c r="L35" s="2063"/>
      <c r="M35" s="2063"/>
    </row>
    <row r="36" spans="1:18" ht="18" customHeight="1">
      <c r="A36" s="1635" t="s">
        <v>1889</v>
      </c>
      <c r="B36" s="784" t="s">
        <v>1802</v>
      </c>
      <c r="C36" s="53">
        <f ca="1">ROUND(C29*F36,1)</f>
        <v>36.5</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3.7</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1.1000000000000001</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46</v>
      </c>
      <c r="D39" s="2513" t="s">
        <v>1806</v>
      </c>
      <c r="E39" s="2514"/>
      <c r="F39" s="2515"/>
      <c r="G39" s="2048"/>
      <c r="H39" s="2063"/>
      <c r="I39" s="837" t="s">
        <v>1818</v>
      </c>
      <c r="J39" s="845">
        <f ca="1">ROUND(J35/C39,3)</f>
        <v>4.5</v>
      </c>
      <c r="K39" s="2069"/>
      <c r="L39" s="2063"/>
      <c r="M39" s="2063"/>
    </row>
    <row r="40" spans="1:18" ht="18" customHeight="1">
      <c r="A40" s="781" t="s">
        <v>1895</v>
      </c>
      <c r="B40" s="2218" t="s">
        <v>2301</v>
      </c>
      <c r="C40" s="783">
        <f ca="1">ROUND(C39*(1-((1+F42)/(1+F40))^F41)/(F40-F42),0)</f>
        <v>1360</v>
      </c>
      <c r="D40" s="814" t="s">
        <v>1807</v>
      </c>
      <c r="E40" s="784" t="s">
        <v>2419</v>
      </c>
      <c r="F40" s="794">
        <f ca="1">INDIRECT("'数据-取费表'!I"&amp;$G$1)</f>
        <v>0.05</v>
      </c>
      <c r="G40" s="2048"/>
      <c r="H40" s="2048"/>
      <c r="I40" s="837" t="s">
        <v>1819</v>
      </c>
      <c r="J40" s="845">
        <f ca="1">1-J39</f>
        <v>-3.5</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46.5</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1.7909999999999999</v>
      </c>
      <c r="K42" s="2068"/>
      <c r="L42" s="1974"/>
      <c r="M42" s="1974"/>
    </row>
    <row r="43" spans="1:18" ht="18" customHeight="1" thickBot="1">
      <c r="A43" s="823" t="s">
        <v>1787</v>
      </c>
      <c r="B43" s="824" t="s">
        <v>1810</v>
      </c>
      <c r="C43" s="825">
        <f ca="1">ROUND(C40*10000/F43,0)</f>
        <v>2106</v>
      </c>
      <c r="D43" s="826" t="s">
        <v>1811</v>
      </c>
      <c r="E43" s="827" t="s">
        <v>1812</v>
      </c>
      <c r="F43" s="828">
        <f ca="1">INDIRECT("'数据-取费表'!k"&amp;$G$1)</f>
        <v>6458.14</v>
      </c>
      <c r="G43" s="2048"/>
      <c r="H43" s="1974"/>
      <c r="I43" s="847" t="s">
        <v>1822</v>
      </c>
      <c r="J43" s="848">
        <f ca="1">1-J42</f>
        <v>-0.79099999999999993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-2113</v>
      </c>
      <c r="D46" s="2071"/>
      <c r="E46" s="2071"/>
      <c r="F46" s="2071"/>
      <c r="I46" s="2343" t="s">
        <v>2343</v>
      </c>
      <c r="J46" s="2344"/>
      <c r="K46" s="2345"/>
      <c r="L46" s="3108">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3235</v>
      </c>
      <c r="K47" s="3105" t="s">
        <v>2349</v>
      </c>
      <c r="L47" s="3109">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6" t="s">
        <v>2351</v>
      </c>
      <c r="L48" s="1894">
        <f ca="1">INDIRECT("'数据-取费表'!f"&amp;$G$1)</f>
        <v>50</v>
      </c>
      <c r="O48" s="2363" t="s">
        <v>2379</v>
      </c>
      <c r="P48" s="2364" t="s">
        <v>2405</v>
      </c>
      <c r="Q48" s="2365">
        <f ca="1">C40+J29</f>
        <v>1360</v>
      </c>
      <c r="R48" s="2364" t="s">
        <v>2380</v>
      </c>
    </row>
    <row r="49" spans="1:18" s="2045" customFormat="1" ht="18" customHeight="1" thickBot="1">
      <c r="A49" s="786"/>
      <c r="B49" s="787"/>
      <c r="C49" s="788"/>
      <c r="D49" s="789"/>
      <c r="E49" s="784" t="s">
        <v>1739</v>
      </c>
      <c r="F49" s="785">
        <f ca="1">F7</f>
        <v>6458.14</v>
      </c>
      <c r="G49" s="2076"/>
      <c r="H49" s="2079"/>
      <c r="I49" s="3078" t="s">
        <v>2346</v>
      </c>
      <c r="J49" s="2348">
        <v>2022</v>
      </c>
      <c r="K49" s="3107"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7" t="s">
        <v>2353</v>
      </c>
      <c r="L50" s="2349"/>
      <c r="O50" s="2366" t="s">
        <v>2383</v>
      </c>
      <c r="P50" s="2364" t="s">
        <v>2407</v>
      </c>
      <c r="Q50" s="2365">
        <f ca="1">C29</f>
        <v>2436</v>
      </c>
      <c r="R50" s="2364" t="s">
        <v>2380</v>
      </c>
    </row>
    <row r="51" spans="1:18" s="2045" customFormat="1" ht="18" customHeight="1" thickBot="1">
      <c r="A51" s="786"/>
      <c r="B51" s="787"/>
      <c r="C51" s="788"/>
      <c r="D51" s="789"/>
      <c r="E51" s="784" t="s">
        <v>640</v>
      </c>
      <c r="F51" s="2336"/>
      <c r="H51" s="2079"/>
      <c r="I51" s="3100" t="s">
        <v>2348</v>
      </c>
      <c r="J51" s="3104">
        <f>IF(J49="",J50,J49+J50-YEAR('数据-取费表'!B2))</f>
        <v>63</v>
      </c>
      <c r="K51" s="3078" t="s">
        <v>2354</v>
      </c>
      <c r="L51" s="3110">
        <f ca="1">ROUND(-PV(INDIRECT("'数据-取费表'!h"&amp;$G$1),L48,(C39-C13*J36),0),0)</f>
        <v>-3183</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v>0.09</v>
      </c>
      <c r="K52" s="3101"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46.5</v>
      </c>
      <c r="K53" s="3504" t="s">
        <v>2967</v>
      </c>
      <c r="L53" s="3505"/>
      <c r="O53" s="2366" t="s">
        <v>2388</v>
      </c>
      <c r="P53" s="2364" t="s">
        <v>2389</v>
      </c>
      <c r="Q53" s="2365">
        <f ca="1">J53</f>
        <v>46.5</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1360</v>
      </c>
      <c r="R54" s="2368" t="s">
        <v>2392</v>
      </c>
    </row>
    <row r="55" spans="1:18" s="2045" customFormat="1" ht="18" customHeight="1" thickTop="1" thickBot="1">
      <c r="A55" s="797">
        <v>2</v>
      </c>
      <c r="B55" s="798" t="s">
        <v>644</v>
      </c>
      <c r="C55" s="799">
        <f ca="1">C13</f>
        <v>2436</v>
      </c>
      <c r="D55" s="795"/>
      <c r="E55" s="795"/>
      <c r="F55" s="800"/>
      <c r="I55" s="3113" t="s">
        <v>2355</v>
      </c>
      <c r="J55" s="3053" t="e">
        <f ca="1">ROUND(IF(J47="钢混",J57/J50,1-(1-2%)*(J50-J57)/J50),3)</f>
        <v>#VALUE!</v>
      </c>
      <c r="K55" s="3114" t="s">
        <v>2356</v>
      </c>
      <c r="L55" s="2351"/>
      <c r="O55" s="2369" t="s">
        <v>2411</v>
      </c>
      <c r="P55" s="1579"/>
      <c r="Q55" s="1590"/>
      <c r="R55" s="1579"/>
    </row>
    <row r="56" spans="1:18" s="2045" customFormat="1" ht="42.75" customHeight="1" thickBot="1">
      <c r="A56" s="1636"/>
      <c r="B56" s="2217" t="s">
        <v>2302</v>
      </c>
      <c r="C56" s="53">
        <f ca="1">C29</f>
        <v>2436</v>
      </c>
      <c r="D56" s="3183"/>
      <c r="E56" s="784"/>
      <c r="F56" s="809"/>
      <c r="I56" s="3115" t="s">
        <v>2357</v>
      </c>
      <c r="J56" s="3125" t="s">
        <v>1678</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42</v>
      </c>
      <c r="D57" s="26" t="s">
        <v>1750</v>
      </c>
      <c r="E57" s="3193"/>
      <c r="F57" s="56"/>
      <c r="I57" s="3116" t="s">
        <v>2358</v>
      </c>
      <c r="J57" s="3117" t="str">
        <f ca="1">IF(OR(M47="住宅",J51&lt;L48,J56="是"),"——",J51-L48)</f>
        <v>——</v>
      </c>
      <c r="K57" s="3078" t="s">
        <v>2363</v>
      </c>
      <c r="L57" s="1894" t="str">
        <f ca="1">IF(L48&lt;J51,"——",IF(L55="比较法",L49,IF(L55="基准地价",L50,L51)))</f>
        <v>——</v>
      </c>
      <c r="O57" s="2363" t="s">
        <v>2379</v>
      </c>
      <c r="P57" s="2364" t="s">
        <v>2409</v>
      </c>
      <c r="Q57" s="2365">
        <f ca="1">C40+J29</f>
        <v>1360</v>
      </c>
      <c r="R57" s="2364" t="s">
        <v>2380</v>
      </c>
    </row>
    <row r="58" spans="1:18" s="2045" customFormat="1" ht="28.5" customHeight="1" thickBot="1">
      <c r="A58" s="1635" t="s">
        <v>1824</v>
      </c>
      <c r="B58" s="784" t="s">
        <v>656</v>
      </c>
      <c r="C58" s="53">
        <f ca="1">ROUND(IF(项目基本情况!B11="自然人",C47*F58,C59+C60+C61),1)</f>
        <v>1.4</v>
      </c>
      <c r="D58" s="3185" t="s">
        <v>657</v>
      </c>
      <c r="E58" s="3183" t="s">
        <v>690</v>
      </c>
      <c r="F58" s="810">
        <f ca="1">IF(项目基本情况!B11="企业","",IF(INDIRECT("'数据-取费表'!c"&amp;$G$1)="住宅",5%,IF(F48*F49*F50/12/(1+'数据-取费表'!C42)&gt;20000,12%,7%)))</f>
        <v>7.0000000000000007E-2</v>
      </c>
      <c r="I58" s="3116" t="s">
        <v>2359</v>
      </c>
      <c r="J58" s="3054" t="e">
        <f ca="1">IF(J55&lt;0.4,0.4,J55)</f>
        <v>#VALUE!</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6" t="s">
        <v>2360</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1.4</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2413.2600000000002</v>
      </c>
      <c r="I62" s="3121" t="s">
        <v>2367</v>
      </c>
      <c r="J62" s="3122" t="s">
        <v>2368</v>
      </c>
      <c r="K62" s="3122" t="s">
        <v>2369</v>
      </c>
      <c r="L62" s="3122" t="s">
        <v>2350</v>
      </c>
      <c r="M62" s="3123"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36.5</v>
      </c>
      <c r="D63" s="3183" t="s">
        <v>1803</v>
      </c>
      <c r="E63" s="784" t="s">
        <v>1747</v>
      </c>
      <c r="F63" s="817">
        <f t="shared" ca="1" si="0"/>
        <v>1.4999999999999999E-2</v>
      </c>
      <c r="I63" s="3121" t="s">
        <v>2370</v>
      </c>
      <c r="J63" s="3122">
        <v>70</v>
      </c>
      <c r="K63" s="3122">
        <v>50</v>
      </c>
      <c r="L63" s="3122">
        <v>80</v>
      </c>
      <c r="M63" s="3124">
        <v>0.02</v>
      </c>
      <c r="O63" s="2363" t="s">
        <v>2391</v>
      </c>
      <c r="P63" s="2364" t="s">
        <v>2408</v>
      </c>
      <c r="Q63" s="2365">
        <f ca="1">Q57+Q58</f>
        <v>1360</v>
      </c>
      <c r="R63" s="2368" t="s">
        <v>2392</v>
      </c>
    </row>
    <row r="64" spans="1:18" s="2045" customFormat="1" ht="16.5" thickBot="1">
      <c r="A64" s="1635" t="s">
        <v>1890</v>
      </c>
      <c r="B64" s="784" t="s">
        <v>679</v>
      </c>
      <c r="C64" s="53">
        <f ca="1">ROUND(C55*F64,1)</f>
        <v>3.7</v>
      </c>
      <c r="D64" s="3183" t="s">
        <v>680</v>
      </c>
      <c r="E64" s="784" t="s">
        <v>1747</v>
      </c>
      <c r="F64" s="818">
        <f t="shared" ca="1" si="0"/>
        <v>1.5E-3</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3183" t="s">
        <v>683</v>
      </c>
      <c r="E65" s="784" t="s">
        <v>1747</v>
      </c>
      <c r="F65" s="794">
        <f t="shared" ca="1" si="0"/>
        <v>0.01</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f ca="1">C47-C57</f>
        <v>-42</v>
      </c>
      <c r="D66" s="3185" t="s">
        <v>700</v>
      </c>
      <c r="E66" s="3188"/>
      <c r="F66" s="820"/>
      <c r="K66" s="2072"/>
      <c r="O66" s="2363" t="s">
        <v>2379</v>
      </c>
      <c r="P66" s="2364" t="s">
        <v>2409</v>
      </c>
      <c r="Q66" s="2365">
        <f ca="1">C40+J29</f>
        <v>1360</v>
      </c>
      <c r="R66" s="2364" t="s">
        <v>2380</v>
      </c>
    </row>
    <row r="67" spans="1:18" s="2045" customFormat="1" ht="20.25" thickBot="1">
      <c r="A67" s="781" t="s">
        <v>1780</v>
      </c>
      <c r="B67" s="2218" t="s">
        <v>2301</v>
      </c>
      <c r="C67" s="783">
        <f ca="1">ROUND(C66*(1-((1+F69)/(1+F67))^F68)/(F67-F69),0)</f>
        <v>-753</v>
      </c>
      <c r="D67" s="814" t="s">
        <v>704</v>
      </c>
      <c r="E67" s="784" t="s">
        <v>705</v>
      </c>
      <c r="F67" s="794">
        <f ca="1">F40</f>
        <v>0.05</v>
      </c>
      <c r="K67" s="2072"/>
      <c r="O67" s="2363" t="s">
        <v>2381</v>
      </c>
      <c r="P67" s="2364" t="s">
        <v>2412</v>
      </c>
      <c r="Q67" s="2365">
        <f ca="1">L60</f>
        <v>0</v>
      </c>
      <c r="R67" s="2368" t="s">
        <v>2414</v>
      </c>
    </row>
    <row r="68" spans="1:18" ht="21.75" thickBot="1">
      <c r="A68" s="786"/>
      <c r="B68" s="787"/>
      <c r="C68" s="788"/>
      <c r="D68" s="821" t="s">
        <v>1808</v>
      </c>
      <c r="E68" s="784" t="s">
        <v>1784</v>
      </c>
      <c r="F68" s="822">
        <f ca="1">F41</f>
        <v>46.5</v>
      </c>
      <c r="O68" s="2366" t="s">
        <v>2383</v>
      </c>
      <c r="P68" s="2364" t="s">
        <v>2413</v>
      </c>
      <c r="Q68" s="2370">
        <f ca="1">L51</f>
        <v>-3183</v>
      </c>
      <c r="R68" s="2371" t="s">
        <v>2416</v>
      </c>
    </row>
    <row r="69" spans="1:18" ht="20.25" thickBot="1">
      <c r="A69" s="790"/>
      <c r="B69" s="791"/>
      <c r="C69" s="792"/>
      <c r="D69" s="816"/>
      <c r="E69" s="784" t="s">
        <v>710</v>
      </c>
      <c r="F69" s="2336"/>
      <c r="O69" s="2366" t="s">
        <v>2384</v>
      </c>
      <c r="P69" s="2372" t="s">
        <v>2398</v>
      </c>
      <c r="Q69" s="2365">
        <f ca="1">ROUND(Q70-Q71*Q72,0)</f>
        <v>-161</v>
      </c>
      <c r="R69" s="2368"/>
    </row>
    <row r="70" spans="1:18" ht="15.75" thickBot="1">
      <c r="A70" s="823" t="s">
        <v>1787</v>
      </c>
      <c r="B70" s="824" t="s">
        <v>1810</v>
      </c>
      <c r="C70" s="825">
        <f ca="1">ROUND(C67*10000/F70,0)</f>
        <v>-1166</v>
      </c>
      <c r="D70" s="826" t="s">
        <v>1811</v>
      </c>
      <c r="E70" s="827" t="s">
        <v>1812</v>
      </c>
      <c r="F70" s="828">
        <f ca="1">F43</f>
        <v>6458.14</v>
      </c>
      <c r="O70" s="2366" t="s">
        <v>2399</v>
      </c>
      <c r="P70" s="2372" t="s">
        <v>2400</v>
      </c>
      <c r="Q70" s="2365">
        <f ca="1">C39</f>
        <v>46</v>
      </c>
      <c r="R70" s="2364" t="s">
        <v>2380</v>
      </c>
    </row>
    <row r="71" spans="1:18" ht="15.75" thickBot="1">
      <c r="O71" s="2366" t="s">
        <v>2401</v>
      </c>
      <c r="P71" s="2372" t="s">
        <v>2402</v>
      </c>
      <c r="Q71" s="2365">
        <f ca="1">C13</f>
        <v>2436</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1360</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7" sqref="H37"/>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3005</v>
      </c>
      <c r="D1" s="3077" t="s">
        <v>3264</v>
      </c>
      <c r="E1" s="2352" t="s">
        <v>2374</v>
      </c>
      <c r="F1" s="2353">
        <f ca="1">J53</f>
        <v>46.5</v>
      </c>
      <c r="G1" s="774">
        <f>MATCH(C1,'数据-取费表'!A6:A16,0)+5</f>
        <v>9</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10899</v>
      </c>
      <c r="C2" s="2043"/>
      <c r="D2" s="2041"/>
      <c r="E2" s="2042"/>
      <c r="F2" s="2042"/>
      <c r="G2" s="1577"/>
      <c r="H2" s="2043"/>
      <c r="I2" s="2043"/>
      <c r="J2" s="2043"/>
      <c r="K2" s="2044"/>
      <c r="L2" s="2043"/>
      <c r="M2" s="2043"/>
    </row>
    <row r="3" spans="1:33" ht="18" customHeight="1" thickBot="1">
      <c r="A3" s="833" t="s">
        <v>1727</v>
      </c>
      <c r="B3" s="834">
        <f ca="1">IF(ISERROR(B2*10000/F43),0,ROUND(B2*10000/F43,0))</f>
        <v>2309</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775</v>
      </c>
      <c r="D5" s="2461" t="s">
        <v>2461</v>
      </c>
      <c r="E5" s="2455"/>
      <c r="F5" s="2456"/>
      <c r="G5" s="1579"/>
      <c r="H5" s="781">
        <v>1</v>
      </c>
      <c r="I5" s="782" t="s">
        <v>2458</v>
      </c>
      <c r="J5" s="55">
        <f ca="1">J6+J10+J12</f>
        <v>0</v>
      </c>
      <c r="K5" s="2461" t="s">
        <v>2461</v>
      </c>
      <c r="L5" s="2455"/>
      <c r="M5" s="2456"/>
    </row>
    <row r="6" spans="1:33" ht="18" customHeight="1">
      <c r="A6" s="1816" t="s">
        <v>1824</v>
      </c>
      <c r="B6" s="3493" t="s">
        <v>2463</v>
      </c>
      <c r="C6" s="783">
        <f ca="1">ROUND(F6*F8*F7*(1-F9)/10000,0)</f>
        <v>775</v>
      </c>
      <c r="D6" s="2462" t="s">
        <v>2462</v>
      </c>
      <c r="E6" s="784" t="s">
        <v>1738</v>
      </c>
      <c r="F6" s="785">
        <f ca="1">INDIRECT("'数据-取费表'!u"&amp;$G$1)</f>
        <v>0.5</v>
      </c>
      <c r="G6" s="1579"/>
      <c r="H6" s="2469" t="s">
        <v>2468</v>
      </c>
      <c r="I6" s="3493" t="s">
        <v>2463</v>
      </c>
      <c r="J6" s="783">
        <f ca="1">ROUND(M6*M8*M7*(1-M9)/10000,0)</f>
        <v>0</v>
      </c>
      <c r="K6" s="341" t="s">
        <v>1737</v>
      </c>
      <c r="L6" s="784" t="s">
        <v>1738</v>
      </c>
      <c r="M6" s="785">
        <f ca="1">INDIRECT("'数据-取费表'!z"&amp;$G$1)</f>
        <v>0</v>
      </c>
    </row>
    <row r="7" spans="1:33" ht="18" customHeight="1">
      <c r="A7" s="2465"/>
      <c r="B7" s="3494"/>
      <c r="C7" s="788"/>
      <c r="D7" s="789"/>
      <c r="E7" s="784" t="s">
        <v>1739</v>
      </c>
      <c r="F7" s="785">
        <f ca="1">IF(INDIRECT("'数据-取费表'!ah"&amp;$G$1)="",INDIRECT("'数据-取费表'!k"&amp;$G$1),INDIRECT("'数据-取费表'!ah"&amp;$G$1))</f>
        <v>47196.729999999996</v>
      </c>
      <c r="G7" s="1579"/>
      <c r="H7" s="2454"/>
      <c r="I7" s="3494"/>
      <c r="J7" s="788"/>
      <c r="K7" s="789"/>
      <c r="L7" s="784" t="s">
        <v>1739</v>
      </c>
      <c r="M7" s="785">
        <f ca="1">F7</f>
        <v>47196.729999999996</v>
      </c>
    </row>
    <row r="8" spans="1:33" ht="18" customHeight="1">
      <c r="A8" s="2458"/>
      <c r="B8" s="3495"/>
      <c r="C8" s="788"/>
      <c r="D8" s="789"/>
      <c r="E8" s="784" t="s">
        <v>1740</v>
      </c>
      <c r="F8" s="785">
        <f ca="1">INDIRECT("'数据-取费表'!ai"&amp;$G$1)</f>
        <v>365</v>
      </c>
      <c r="G8" s="1579"/>
      <c r="H8" s="2454"/>
      <c r="I8" s="3495"/>
      <c r="J8" s="788"/>
      <c r="K8" s="789"/>
      <c r="L8" s="784" t="s">
        <v>1740</v>
      </c>
      <c r="M8" s="785">
        <f ca="1">INDIRECT("'数据-取费表'!ai"&amp;$G$1)</f>
        <v>365</v>
      </c>
    </row>
    <row r="9" spans="1:33" ht="18" customHeight="1">
      <c r="A9" s="786"/>
      <c r="B9" s="3496"/>
      <c r="C9" s="788"/>
      <c r="D9" s="789"/>
      <c r="E9" s="784" t="s">
        <v>1741</v>
      </c>
      <c r="F9" s="794">
        <f ca="1">INDIRECT("'数据-取费表'!w"&amp;$G$1)</f>
        <v>0.1</v>
      </c>
      <c r="G9" s="1579"/>
      <c r="H9" s="2470"/>
      <c r="I9" s="3495"/>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t="s">
        <v>3254</v>
      </c>
      <c r="G10" s="1579"/>
      <c r="H10" s="2526" t="s">
        <v>2466</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2456</v>
      </c>
      <c r="F11" s="796">
        <f ca="1">'数据-取费表'!B39</f>
        <v>1.4999999999999999E-2</v>
      </c>
      <c r="G11" s="1579"/>
      <c r="H11" s="2527"/>
      <c r="I11" s="2460" t="s">
        <v>2573</v>
      </c>
      <c r="J11" s="2464"/>
      <c r="K11" s="2528"/>
      <c r="L11" s="2463" t="s">
        <v>2456</v>
      </c>
      <c r="M11" s="2457">
        <f ca="1">'数据-取费表'!B39</f>
        <v>1.4999999999999999E-2</v>
      </c>
    </row>
    <row r="12" spans="1:33" ht="18" customHeight="1" thickBot="1">
      <c r="A12" s="2502" t="s">
        <v>2467</v>
      </c>
      <c r="B12" s="2503" t="s">
        <v>2460</v>
      </c>
      <c r="C12" s="2504"/>
      <c r="D12" s="2505"/>
      <c r="E12" s="2506"/>
      <c r="F12" s="2507"/>
      <c r="G12" s="1579"/>
      <c r="H12" s="2516" t="s">
        <v>2467</v>
      </c>
      <c r="I12" s="2529" t="s">
        <v>2460</v>
      </c>
      <c r="J12" s="2530"/>
      <c r="K12" s="2505"/>
      <c r="L12" s="2506"/>
      <c r="M12" s="2519"/>
    </row>
    <row r="13" spans="1:33" ht="18" customHeight="1" thickTop="1">
      <c r="A13" s="1815">
        <v>2</v>
      </c>
      <c r="B13" s="1813" t="s">
        <v>1742</v>
      </c>
      <c r="C13" s="792">
        <f ca="1">ROUND(C29*F13,0)</f>
        <v>17802</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12645</v>
      </c>
      <c r="D14" s="3185" t="s">
        <v>1745</v>
      </c>
      <c r="E14" s="3186"/>
      <c r="F14" s="805"/>
      <c r="G14" s="1579"/>
      <c r="H14" s="1635" t="s">
        <v>1830</v>
      </c>
      <c r="I14" s="2217" t="s">
        <v>2826</v>
      </c>
      <c r="J14" s="53">
        <f ca="1">C29</f>
        <v>17802</v>
      </c>
      <c r="K14" s="26"/>
      <c r="L14" s="801"/>
      <c r="M14" s="802"/>
    </row>
    <row r="15" spans="1:33" s="2050" customFormat="1" ht="18" customHeight="1" thickBot="1">
      <c r="A15" s="1634" t="s">
        <v>1885</v>
      </c>
      <c r="B15" s="784" t="s">
        <v>647</v>
      </c>
      <c r="C15" s="53">
        <f ca="1">ROUND(C14*F15,0)</f>
        <v>379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1773</v>
      </c>
      <c r="K16" s="1807" t="s">
        <v>1750</v>
      </c>
      <c r="L16" s="3187"/>
      <c r="M16" s="2456"/>
    </row>
    <row r="17" spans="1:33" s="2050" customFormat="1" ht="18" customHeight="1">
      <c r="A17" s="1634" t="s">
        <v>1887</v>
      </c>
      <c r="B17" s="784" t="s">
        <v>653</v>
      </c>
      <c r="C17" s="53">
        <f ca="1">ROUND(F17*(F43+INDIRECT("'数据-取费表'!S"&amp;$G$1))/10000,0)</f>
        <v>1012</v>
      </c>
      <c r="D17" s="784" t="s">
        <v>1751</v>
      </c>
      <c r="E17" s="784" t="s">
        <v>1752</v>
      </c>
      <c r="F17" s="56">
        <f>'数据-取费表'!B35</f>
        <v>200</v>
      </c>
      <c r="G17" s="1580"/>
      <c r="H17" s="1635" t="s">
        <v>1830</v>
      </c>
      <c r="I17" s="784" t="s">
        <v>656</v>
      </c>
      <c r="J17" s="53">
        <f ca="1">ROUND(IF(项目基本情况!B11="自然人",J6*M17/(1+'数据-取费表'!C42),J18+J19+J20),0)</f>
        <v>1506</v>
      </c>
      <c r="K17" s="3185" t="s">
        <v>1753</v>
      </c>
      <c r="L17" s="3183"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190</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14226</v>
      </c>
      <c r="D19" s="261" t="s">
        <v>1757</v>
      </c>
      <c r="E19" s="3193"/>
      <c r="F19" s="56"/>
      <c r="G19" s="1579"/>
      <c r="H19" s="1634" t="s">
        <v>1885</v>
      </c>
      <c r="I19" s="784" t="s">
        <v>1758</v>
      </c>
      <c r="J19" s="53">
        <f ca="1">IF(K19="按租金收入计税",ROUND(J6*M19/(1+'数据-取费表'!C42),1),ROUND(C29*F33*0.7,1))</f>
        <v>1495.4</v>
      </c>
      <c r="K19" s="811" t="s">
        <v>665</v>
      </c>
      <c r="L19" s="784" t="s">
        <v>1747</v>
      </c>
      <c r="M19" s="809">
        <f>IF(K19="按租金收入计税",'数据-取费表'!B51,'数据-取费表'!B50)</f>
        <v>1.2E-2</v>
      </c>
    </row>
    <row r="20" spans="1:33" s="2050" customFormat="1" ht="18" customHeight="1">
      <c r="A20" s="1635" t="s">
        <v>1889</v>
      </c>
      <c r="B20" s="784" t="s">
        <v>666</v>
      </c>
      <c r="C20" s="53">
        <f ca="1">ROUND(C19*F20,0)</f>
        <v>285</v>
      </c>
      <c r="D20" s="812" t="s">
        <v>1759</v>
      </c>
      <c r="E20" s="784" t="s">
        <v>1747</v>
      </c>
      <c r="F20" s="809">
        <f>'数据-取费表'!B37</f>
        <v>0.02</v>
      </c>
      <c r="G20" s="1580"/>
      <c r="H20" s="1637" t="s">
        <v>1880</v>
      </c>
      <c r="I20" s="341" t="s">
        <v>1760</v>
      </c>
      <c r="J20" s="54">
        <f ca="1">ROUND(M20*M21/10000,0)</f>
        <v>11</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17636.39</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93"/>
      <c r="F22" s="56"/>
      <c r="G22" s="1579"/>
      <c r="H22" s="1635" t="s">
        <v>1889</v>
      </c>
      <c r="I22" s="784" t="s">
        <v>1768</v>
      </c>
      <c r="J22" s="53">
        <f ca="1">ROUND(J14*M22,0)</f>
        <v>267</v>
      </c>
      <c r="K22" s="3183"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1228</v>
      </c>
      <c r="D23" s="2536" t="str">
        <f>IF(F23&lt;=1,"(建造成本+管理费用)×利率×(建设周期÷2)","(建造成本+管理费用)×((1+利率)^(建设周期÷2)-1)")</f>
        <v>(建造成本+管理费用)×((1+利率)^(建设周期÷2)-1)</v>
      </c>
      <c r="E23" s="784" t="s">
        <v>1770</v>
      </c>
      <c r="F23" s="640">
        <f>'数据-取费表'!B20</f>
        <v>3.5</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1.6999999999999999E-3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93"/>
      <c r="F25" s="56"/>
      <c r="G25" s="1579"/>
      <c r="H25" s="1815" t="s">
        <v>1776</v>
      </c>
      <c r="I25" s="2963" t="s">
        <v>2822</v>
      </c>
      <c r="J25" s="792">
        <f ca="1">J5-J16</f>
        <v>-1773</v>
      </c>
      <c r="K25" s="2513" t="s">
        <v>1777</v>
      </c>
      <c r="L25" s="2514"/>
      <c r="M25" s="2515"/>
    </row>
    <row r="26" spans="1:33" ht="18" customHeight="1">
      <c r="A26" s="1634" t="s">
        <v>1831</v>
      </c>
      <c r="B26" s="784" t="s">
        <v>2438</v>
      </c>
      <c r="C26" s="53">
        <f ca="1">ROUND((C19+C20)*F26,0)</f>
        <v>726</v>
      </c>
      <c r="D26" s="812" t="s">
        <v>1778</v>
      </c>
      <c r="E26" s="795" t="s">
        <v>1779</v>
      </c>
      <c r="F26" s="794">
        <f ca="1">INDIRECT("'数据-取费表'!q"&amp;$G$1)</f>
        <v>0.05</v>
      </c>
      <c r="G26" s="1579"/>
      <c r="H26" s="2467" t="s">
        <v>1780</v>
      </c>
      <c r="I26" s="2218" t="s">
        <v>2827</v>
      </c>
      <c r="J26" s="783">
        <f ca="1">IF(J5&lt;&gt;0,ROUND(J25*(1-((1+M28)/(1+M26))^M27)/(M26-M28),0),0)</f>
        <v>0</v>
      </c>
      <c r="K26" s="814" t="s">
        <v>1781</v>
      </c>
      <c r="L26" s="784" t="s">
        <v>2419</v>
      </c>
      <c r="M26" s="794">
        <f ca="1">INDIRECT("'数据-取费表'!I"&amp;$G$1)</f>
        <v>4.4999999999999998E-2</v>
      </c>
    </row>
    <row r="27" spans="1:33" ht="18" customHeight="1">
      <c r="A27" s="1634" t="s">
        <v>1832</v>
      </c>
      <c r="B27" s="784" t="s">
        <v>686</v>
      </c>
      <c r="C27" s="53">
        <f ca="1">ROUND(F21*F26,4)</f>
        <v>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17802</v>
      </c>
      <c r="D29" s="2510"/>
      <c r="E29" s="2511"/>
      <c r="F29" s="2512"/>
      <c r="G29" s="1580"/>
      <c r="H29" s="823" t="s">
        <v>1787</v>
      </c>
      <c r="I29" s="824" t="s">
        <v>1788</v>
      </c>
      <c r="J29" s="825">
        <f ca="1">ROUND(J26/(1+F40)^F41,0)</f>
        <v>0</v>
      </c>
      <c r="K29" s="826" t="s">
        <v>1789</v>
      </c>
      <c r="L29" s="827"/>
      <c r="M29" s="828">
        <f ca="1">INDIRECT("'数据-取费表'!k"&amp;$G$1)</f>
        <v>47196.729999999996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441</v>
      </c>
      <c r="D30" s="1807" t="s">
        <v>1791</v>
      </c>
      <c r="E30" s="3187"/>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139.80000000000001</v>
      </c>
      <c r="D31" s="3185" t="s">
        <v>1792</v>
      </c>
      <c r="E31" s="318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40.6</v>
      </c>
      <c r="D32" s="318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88.6</v>
      </c>
      <c r="D33" s="811" t="s">
        <v>3255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10.6</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17636.39</v>
      </c>
      <c r="G35" s="2048"/>
      <c r="H35" s="2051"/>
      <c r="I35" s="837" t="s">
        <v>1814</v>
      </c>
      <c r="J35" s="838">
        <f ca="1">ROUND(C13*J36,0)</f>
        <v>1513</v>
      </c>
      <c r="K35" s="2064"/>
      <c r="L35" s="2063"/>
      <c r="M35" s="2063"/>
    </row>
    <row r="36" spans="1:18" ht="18" customHeight="1">
      <c r="A36" s="1635" t="s">
        <v>1889</v>
      </c>
      <c r="B36" s="784" t="s">
        <v>1802</v>
      </c>
      <c r="C36" s="53">
        <f ca="1">ROUND(C29*F36,1)</f>
        <v>267</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26.7</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7.8</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334</v>
      </c>
      <c r="D39" s="2513" t="s">
        <v>1806</v>
      </c>
      <c r="E39" s="2514"/>
      <c r="F39" s="2515"/>
      <c r="G39" s="2048"/>
      <c r="H39" s="2063"/>
      <c r="I39" s="837" t="s">
        <v>1818</v>
      </c>
      <c r="J39" s="845">
        <f ca="1">ROUND(J35/C39,3)</f>
        <v>4.53</v>
      </c>
      <c r="K39" s="2069"/>
      <c r="L39" s="2063"/>
      <c r="M39" s="2063"/>
    </row>
    <row r="40" spans="1:18" ht="18" customHeight="1">
      <c r="A40" s="781" t="s">
        <v>1895</v>
      </c>
      <c r="B40" s="2218" t="s">
        <v>2301</v>
      </c>
      <c r="C40" s="783">
        <f ca="1">ROUND(C39*(1-((1+F42)/(1+F40))^F41)/(F40-F42),0)</f>
        <v>10899</v>
      </c>
      <c r="D40" s="814" t="s">
        <v>1807</v>
      </c>
      <c r="E40" s="784" t="s">
        <v>2419</v>
      </c>
      <c r="F40" s="794">
        <f ca="1">INDIRECT("'数据-取费表'!I"&amp;$G$1)</f>
        <v>4.4999999999999998E-2</v>
      </c>
      <c r="G40" s="2048"/>
      <c r="H40" s="2048"/>
      <c r="I40" s="837" t="s">
        <v>1819</v>
      </c>
      <c r="J40" s="845">
        <f ca="1">1-J39</f>
        <v>-3.5300000000000002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46.5</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1.633</v>
      </c>
      <c r="K42" s="2068"/>
      <c r="L42" s="1974"/>
      <c r="M42" s="1974"/>
    </row>
    <row r="43" spans="1:18" ht="18" customHeight="1" thickBot="1">
      <c r="A43" s="823" t="s">
        <v>1787</v>
      </c>
      <c r="B43" s="824" t="s">
        <v>1810</v>
      </c>
      <c r="C43" s="825">
        <f ca="1">ROUND(C40*10000/F43,0)</f>
        <v>2309</v>
      </c>
      <c r="D43" s="826" t="s">
        <v>1811</v>
      </c>
      <c r="E43" s="827" t="s">
        <v>1812</v>
      </c>
      <c r="F43" s="828">
        <f ca="1">INDIRECT("'数据-取费表'!k"&amp;$G$1)</f>
        <v>47196.729999999996</v>
      </c>
      <c r="G43" s="2048"/>
      <c r="H43" s="1974"/>
      <c r="I43" s="847" t="s">
        <v>1822</v>
      </c>
      <c r="J43" s="848">
        <f ca="1">1-J42</f>
        <v>-0.63300000000000001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-16782</v>
      </c>
      <c r="D46" s="2071"/>
      <c r="E46" s="2071"/>
      <c r="F46" s="2071"/>
      <c r="I46" s="2343" t="s">
        <v>2343</v>
      </c>
      <c r="J46" s="2344"/>
      <c r="K46" s="2345"/>
      <c r="L46" s="3108">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3235</v>
      </c>
      <c r="K47" s="3105" t="s">
        <v>2349</v>
      </c>
      <c r="L47" s="3109">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6" t="s">
        <v>2351</v>
      </c>
      <c r="L48" s="1894">
        <f ca="1">INDIRECT("'数据-取费表'!f"&amp;$G$1)</f>
        <v>50</v>
      </c>
      <c r="O48" s="2363" t="s">
        <v>2379</v>
      </c>
      <c r="P48" s="2364" t="s">
        <v>2405</v>
      </c>
      <c r="Q48" s="2365">
        <f ca="1">C40+J29</f>
        <v>10899</v>
      </c>
      <c r="R48" s="2364" t="s">
        <v>2380</v>
      </c>
    </row>
    <row r="49" spans="1:18" s="2045" customFormat="1" ht="18" customHeight="1" thickBot="1">
      <c r="A49" s="786"/>
      <c r="B49" s="787"/>
      <c r="C49" s="788"/>
      <c r="D49" s="789"/>
      <c r="E49" s="784" t="s">
        <v>1739</v>
      </c>
      <c r="F49" s="785">
        <f ca="1">F7</f>
        <v>47196.729999999996</v>
      </c>
      <c r="G49" s="2076"/>
      <c r="H49" s="2079"/>
      <c r="I49" s="3078" t="s">
        <v>2346</v>
      </c>
      <c r="J49" s="2348">
        <v>2022</v>
      </c>
      <c r="K49" s="3107"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7" t="s">
        <v>2353</v>
      </c>
      <c r="L50" s="2349"/>
      <c r="O50" s="2366" t="s">
        <v>2383</v>
      </c>
      <c r="P50" s="2364" t="s">
        <v>2407</v>
      </c>
      <c r="Q50" s="2365">
        <f ca="1">C29</f>
        <v>17802</v>
      </c>
      <c r="R50" s="2364" t="s">
        <v>2380</v>
      </c>
    </row>
    <row r="51" spans="1:18" s="2045" customFormat="1" ht="18" customHeight="1" thickBot="1">
      <c r="A51" s="786"/>
      <c r="B51" s="787"/>
      <c r="C51" s="788"/>
      <c r="D51" s="789"/>
      <c r="E51" s="784" t="s">
        <v>640</v>
      </c>
      <c r="F51" s="2336"/>
      <c r="H51" s="2079"/>
      <c r="I51" s="3100" t="s">
        <v>2348</v>
      </c>
      <c r="J51" s="3104">
        <f>IF(J49="",J50,J49+J50-YEAR('数据-取费表'!B2))</f>
        <v>63</v>
      </c>
      <c r="K51" s="3078" t="s">
        <v>2354</v>
      </c>
      <c r="L51" s="3110">
        <f ca="1">ROUND(-PV(INDIRECT("'数据-取费表'!h"&amp;$G$1),L48,(C39-C13*J36),0),0)</f>
        <v>-25331</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v>0.09</v>
      </c>
      <c r="K52" s="3101"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46.5</v>
      </c>
      <c r="K53" s="3504" t="s">
        <v>2967</v>
      </c>
      <c r="L53" s="3505"/>
      <c r="O53" s="2366" t="s">
        <v>2388</v>
      </c>
      <c r="P53" s="2364" t="s">
        <v>2389</v>
      </c>
      <c r="Q53" s="2365">
        <f ca="1">J53</f>
        <v>46.5</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10899</v>
      </c>
      <c r="R54" s="2368" t="s">
        <v>2392</v>
      </c>
    </row>
    <row r="55" spans="1:18" s="2045" customFormat="1" ht="18" customHeight="1" thickTop="1" thickBot="1">
      <c r="A55" s="797">
        <v>2</v>
      </c>
      <c r="B55" s="798" t="s">
        <v>644</v>
      </c>
      <c r="C55" s="799">
        <f ca="1">C13</f>
        <v>17802</v>
      </c>
      <c r="D55" s="795"/>
      <c r="E55" s="795"/>
      <c r="F55" s="800"/>
      <c r="I55" s="3113" t="s">
        <v>2355</v>
      </c>
      <c r="J55" s="3053" t="e">
        <f ca="1">ROUND(IF(J47="钢混",J57/J50,1-(1-2%)*(J50-J57)/J50),3)</f>
        <v>#VALUE!</v>
      </c>
      <c r="K55" s="3114" t="s">
        <v>2356</v>
      </c>
      <c r="L55" s="2351"/>
      <c r="O55" s="2369" t="s">
        <v>2411</v>
      </c>
      <c r="P55" s="1579"/>
      <c r="Q55" s="1590"/>
      <c r="R55" s="1579"/>
    </row>
    <row r="56" spans="1:18" s="2045" customFormat="1" ht="42.75" customHeight="1" thickBot="1">
      <c r="A56" s="1636"/>
      <c r="B56" s="2217" t="s">
        <v>2302</v>
      </c>
      <c r="C56" s="53">
        <f ca="1">C29</f>
        <v>17802</v>
      </c>
      <c r="D56" s="3183"/>
      <c r="E56" s="784"/>
      <c r="F56" s="809"/>
      <c r="I56" s="3115" t="s">
        <v>2357</v>
      </c>
      <c r="J56" s="3125" t="s">
        <v>1678</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304</v>
      </c>
      <c r="D57" s="26" t="s">
        <v>1750</v>
      </c>
      <c r="E57" s="3193"/>
      <c r="F57" s="56"/>
      <c r="I57" s="3116" t="s">
        <v>2358</v>
      </c>
      <c r="J57" s="3117" t="str">
        <f ca="1">IF(OR(M47="住宅",J51&lt;L48,J56="是"),"——",J51-L48)</f>
        <v>——</v>
      </c>
      <c r="K57" s="3078" t="s">
        <v>2363</v>
      </c>
      <c r="L57" s="1894" t="str">
        <f ca="1">IF(L48&lt;J51,"——",IF(L55="比较法",L49,IF(L55="基准地价",L50,L51)))</f>
        <v>——</v>
      </c>
      <c r="O57" s="2363" t="s">
        <v>2379</v>
      </c>
      <c r="P57" s="2364" t="s">
        <v>2409</v>
      </c>
      <c r="Q57" s="2365">
        <f ca="1">C40+J29</f>
        <v>10899</v>
      </c>
      <c r="R57" s="2364" t="s">
        <v>2380</v>
      </c>
    </row>
    <row r="58" spans="1:18" s="2045" customFormat="1" ht="28.5" customHeight="1" thickBot="1">
      <c r="A58" s="1635" t="s">
        <v>1824</v>
      </c>
      <c r="B58" s="784" t="s">
        <v>656</v>
      </c>
      <c r="C58" s="53">
        <f ca="1">ROUND(IF(项目基本情况!B11="自然人",C47*F58,C59+C60+C61),1)</f>
        <v>10.6</v>
      </c>
      <c r="D58" s="3185" t="s">
        <v>657</v>
      </c>
      <c r="E58" s="3183" t="s">
        <v>690</v>
      </c>
      <c r="F58" s="810">
        <f ca="1">IF(项目基本情况!B11="企业","",IF(INDIRECT("'数据-取费表'!c"&amp;$G$1)="住宅",5%,IF(F48*F49*F50/12/(1+'数据-取费表'!C42)&gt;20000,12%,7%)))</f>
        <v>7.0000000000000007E-2</v>
      </c>
      <c r="I58" s="3116" t="s">
        <v>2359</v>
      </c>
      <c r="J58" s="3054" t="e">
        <f ca="1">IF(J55&lt;0.4,0.4,J55)</f>
        <v>#VALUE!</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6" t="s">
        <v>2360</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10.6</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17636.39</v>
      </c>
      <c r="I62" s="3121" t="s">
        <v>2367</v>
      </c>
      <c r="J62" s="3122" t="s">
        <v>2368</v>
      </c>
      <c r="K62" s="3122" t="s">
        <v>2369</v>
      </c>
      <c r="L62" s="3122" t="s">
        <v>2350</v>
      </c>
      <c r="M62" s="3123"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267</v>
      </c>
      <c r="D63" s="3183" t="s">
        <v>1803</v>
      </c>
      <c r="E63" s="784" t="s">
        <v>1747</v>
      </c>
      <c r="F63" s="817">
        <f t="shared" ca="1" si="0"/>
        <v>1.4999999999999999E-2</v>
      </c>
      <c r="I63" s="3121" t="s">
        <v>2370</v>
      </c>
      <c r="J63" s="3122">
        <v>70</v>
      </c>
      <c r="K63" s="3122">
        <v>50</v>
      </c>
      <c r="L63" s="3122">
        <v>80</v>
      </c>
      <c r="M63" s="3124">
        <v>0.02</v>
      </c>
      <c r="O63" s="2363" t="s">
        <v>2391</v>
      </c>
      <c r="P63" s="2364" t="s">
        <v>2408</v>
      </c>
      <c r="Q63" s="2365">
        <f ca="1">Q57+Q58</f>
        <v>10899</v>
      </c>
      <c r="R63" s="2368" t="s">
        <v>2392</v>
      </c>
    </row>
    <row r="64" spans="1:18" s="2045" customFormat="1" ht="16.5" thickBot="1">
      <c r="A64" s="1635" t="s">
        <v>1890</v>
      </c>
      <c r="B64" s="784" t="s">
        <v>679</v>
      </c>
      <c r="C64" s="53">
        <f ca="1">ROUND(C55*F64,1)</f>
        <v>26.7</v>
      </c>
      <c r="D64" s="3183" t="s">
        <v>680</v>
      </c>
      <c r="E64" s="784" t="s">
        <v>1747</v>
      </c>
      <c r="F64" s="818">
        <f t="shared" ca="1" si="0"/>
        <v>1.5E-3</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3183" t="s">
        <v>683</v>
      </c>
      <c r="E65" s="784" t="s">
        <v>1747</v>
      </c>
      <c r="F65" s="794">
        <f t="shared" ca="1" si="0"/>
        <v>0.01</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f ca="1">C47-C57</f>
        <v>-304</v>
      </c>
      <c r="D66" s="3185" t="s">
        <v>700</v>
      </c>
      <c r="E66" s="3188"/>
      <c r="F66" s="820"/>
      <c r="K66" s="2072"/>
      <c r="O66" s="2363" t="s">
        <v>2379</v>
      </c>
      <c r="P66" s="2364" t="s">
        <v>2409</v>
      </c>
      <c r="Q66" s="2365">
        <f ca="1">C40+J29</f>
        <v>10899</v>
      </c>
      <c r="R66" s="2364" t="s">
        <v>2380</v>
      </c>
    </row>
    <row r="67" spans="1:18" s="2045" customFormat="1" ht="20.25" thickBot="1">
      <c r="A67" s="781" t="s">
        <v>1780</v>
      </c>
      <c r="B67" s="2218" t="s">
        <v>2301</v>
      </c>
      <c r="C67" s="783">
        <f ca="1">ROUND(C66*(1-((1+F69)/(1+F67))^F68)/(F67-F69),0)</f>
        <v>-5883</v>
      </c>
      <c r="D67" s="814" t="s">
        <v>704</v>
      </c>
      <c r="E67" s="784" t="s">
        <v>705</v>
      </c>
      <c r="F67" s="794">
        <f ca="1">F40</f>
        <v>4.4999999999999998E-2</v>
      </c>
      <c r="K67" s="2072"/>
      <c r="O67" s="2363" t="s">
        <v>2381</v>
      </c>
      <c r="P67" s="2364" t="s">
        <v>2412</v>
      </c>
      <c r="Q67" s="2365">
        <f ca="1">L60</f>
        <v>0</v>
      </c>
      <c r="R67" s="2368" t="s">
        <v>2414</v>
      </c>
    </row>
    <row r="68" spans="1:18" ht="21.75" thickBot="1">
      <c r="A68" s="786"/>
      <c r="B68" s="787"/>
      <c r="C68" s="788"/>
      <c r="D68" s="821" t="s">
        <v>1808</v>
      </c>
      <c r="E68" s="784" t="s">
        <v>1784</v>
      </c>
      <c r="F68" s="822">
        <f ca="1">F41</f>
        <v>46.5</v>
      </c>
      <c r="O68" s="2366" t="s">
        <v>2383</v>
      </c>
      <c r="P68" s="2364" t="s">
        <v>2413</v>
      </c>
      <c r="Q68" s="2370">
        <f ca="1">L51</f>
        <v>-25331</v>
      </c>
      <c r="R68" s="2371" t="s">
        <v>2416</v>
      </c>
    </row>
    <row r="69" spans="1:18" ht="20.25" thickBot="1">
      <c r="A69" s="790"/>
      <c r="B69" s="791"/>
      <c r="C69" s="792"/>
      <c r="D69" s="816"/>
      <c r="E69" s="784" t="s">
        <v>710</v>
      </c>
      <c r="F69" s="2336"/>
      <c r="O69" s="2366" t="s">
        <v>2384</v>
      </c>
      <c r="P69" s="2372" t="s">
        <v>2398</v>
      </c>
      <c r="Q69" s="2365">
        <f ca="1">ROUND(Q70-Q71*Q72,0)</f>
        <v>-1179</v>
      </c>
      <c r="R69" s="2368"/>
    </row>
    <row r="70" spans="1:18" ht="15.75" thickBot="1">
      <c r="A70" s="823" t="s">
        <v>1787</v>
      </c>
      <c r="B70" s="824" t="s">
        <v>1810</v>
      </c>
      <c r="C70" s="825">
        <f ca="1">ROUND(C67*10000/F70,0)</f>
        <v>-1246</v>
      </c>
      <c r="D70" s="826" t="s">
        <v>1811</v>
      </c>
      <c r="E70" s="827" t="s">
        <v>1812</v>
      </c>
      <c r="F70" s="828">
        <f ca="1">F43</f>
        <v>47196.729999999996</v>
      </c>
      <c r="O70" s="2366" t="s">
        <v>2399</v>
      </c>
      <c r="P70" s="2372" t="s">
        <v>2400</v>
      </c>
      <c r="Q70" s="2365">
        <f ca="1">C39</f>
        <v>334</v>
      </c>
      <c r="R70" s="2364" t="s">
        <v>2380</v>
      </c>
    </row>
    <row r="71" spans="1:18" ht="15.75" thickBot="1">
      <c r="O71" s="2366" t="s">
        <v>2401</v>
      </c>
      <c r="P71" s="2372" t="s">
        <v>2402</v>
      </c>
      <c r="Q71" s="2365">
        <f ca="1">C13</f>
        <v>17802</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10899</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2" t="s">
        <v>2471</v>
      </c>
      <c r="B1" s="3523"/>
      <c r="C1" s="3524"/>
      <c r="D1" s="3525">
        <f>SUM(I10,I15,I20,I21,I23)</f>
        <v>0</v>
      </c>
      <c r="E1" s="3525"/>
      <c r="F1" s="3525"/>
      <c r="G1" s="3525"/>
      <c r="H1" s="3525"/>
      <c r="I1" s="3526"/>
    </row>
    <row r="2" spans="1:9">
      <c r="A2" s="3512" t="s">
        <v>2472</v>
      </c>
      <c r="B2" s="3513" t="s">
        <v>2473</v>
      </c>
      <c r="C2" s="3513"/>
      <c r="D2" s="2472" t="s">
        <v>2474</v>
      </c>
      <c r="E2" s="2472" t="s">
        <v>2475</v>
      </c>
      <c r="F2" s="2472" t="s">
        <v>2476</v>
      </c>
      <c r="G2" s="2472" t="s">
        <v>2477</v>
      </c>
      <c r="H2" s="2472" t="s">
        <v>2478</v>
      </c>
      <c r="I2" s="2473" t="s">
        <v>2479</v>
      </c>
    </row>
    <row r="3" spans="1:9">
      <c r="A3" s="3512"/>
      <c r="B3" s="3513" t="s">
        <v>2480</v>
      </c>
      <c r="C3" s="3513"/>
      <c r="D3" s="2474"/>
      <c r="E3" s="2472"/>
      <c r="F3" s="2475"/>
      <c r="G3" s="2475"/>
      <c r="H3" s="2476"/>
      <c r="I3" s="2477">
        <f>ROUND(D3*E3*F3*G3*H3/10000,0)</f>
        <v>0</v>
      </c>
    </row>
    <row r="4" spans="1:9">
      <c r="A4" s="3512"/>
      <c r="B4" s="3513" t="s">
        <v>2481</v>
      </c>
      <c r="C4" s="3513"/>
      <c r="D4" s="2474"/>
      <c r="E4" s="2472"/>
      <c r="F4" s="2475"/>
      <c r="G4" s="2475"/>
      <c r="H4" s="2476"/>
      <c r="I4" s="2477">
        <f t="shared" ref="I4:I9" si="0">ROUND(D4*E4*F4*G4*H4/10000,0)</f>
        <v>0</v>
      </c>
    </row>
    <row r="5" spans="1:9">
      <c r="A5" s="3512"/>
      <c r="B5" s="3513" t="s">
        <v>2482</v>
      </c>
      <c r="C5" s="3513"/>
      <c r="D5" s="2474"/>
      <c r="E5" s="2472"/>
      <c r="F5" s="2475"/>
      <c r="G5" s="2475"/>
      <c r="H5" s="2476"/>
      <c r="I5" s="2477">
        <f t="shared" si="0"/>
        <v>0</v>
      </c>
    </row>
    <row r="6" spans="1:9">
      <c r="A6" s="3512"/>
      <c r="B6" s="3513" t="s">
        <v>2483</v>
      </c>
      <c r="C6" s="3513"/>
      <c r="D6" s="2474"/>
      <c r="E6" s="2472"/>
      <c r="F6" s="2475"/>
      <c r="G6" s="2475"/>
      <c r="H6" s="2476"/>
      <c r="I6" s="2477">
        <f t="shared" si="0"/>
        <v>0</v>
      </c>
    </row>
    <row r="7" spans="1:9">
      <c r="A7" s="3512"/>
      <c r="B7" s="3513" t="s">
        <v>2484</v>
      </c>
      <c r="C7" s="3513"/>
      <c r="D7" s="2474"/>
      <c r="E7" s="2472"/>
      <c r="F7" s="2475"/>
      <c r="G7" s="2475"/>
      <c r="H7" s="2476"/>
      <c r="I7" s="2477">
        <f t="shared" si="0"/>
        <v>0</v>
      </c>
    </row>
    <row r="8" spans="1:9">
      <c r="A8" s="3512"/>
      <c r="B8" s="3513" t="s">
        <v>2485</v>
      </c>
      <c r="C8" s="3513"/>
      <c r="D8" s="2474"/>
      <c r="E8" s="2472"/>
      <c r="F8" s="2475"/>
      <c r="G8" s="2475"/>
      <c r="H8" s="2476"/>
      <c r="I8" s="2477">
        <f t="shared" si="0"/>
        <v>0</v>
      </c>
    </row>
    <row r="9" spans="1:9">
      <c r="A9" s="3512"/>
      <c r="B9" s="3513" t="s">
        <v>2486</v>
      </c>
      <c r="C9" s="3513"/>
      <c r="D9" s="2474"/>
      <c r="E9" s="2472"/>
      <c r="F9" s="2475"/>
      <c r="G9" s="2475"/>
      <c r="H9" s="2476"/>
      <c r="I9" s="2477">
        <f t="shared" si="0"/>
        <v>0</v>
      </c>
    </row>
    <row r="10" spans="1:9">
      <c r="A10" s="3512"/>
      <c r="B10" s="3514" t="s">
        <v>2487</v>
      </c>
      <c r="C10" s="3514"/>
      <c r="D10" s="2478">
        <v>527</v>
      </c>
      <c r="E10" s="2478" t="e">
        <f>ROUND(D1*10000/D10/H9,0)</f>
        <v>#DIV/0!</v>
      </c>
      <c r="F10" s="2479"/>
      <c r="G10" s="2479"/>
      <c r="H10" s="2480"/>
      <c r="I10" s="2481">
        <f>SUM(I3:I9)</f>
        <v>0</v>
      </c>
    </row>
    <row r="11" spans="1:9" ht="14.25">
      <c r="A11" s="3512" t="s">
        <v>2488</v>
      </c>
      <c r="B11" s="3513" t="s">
        <v>2489</v>
      </c>
      <c r="C11" s="3513"/>
      <c r="D11" s="2474" t="s">
        <v>2490</v>
      </c>
      <c r="E11" s="2474" t="s">
        <v>2491</v>
      </c>
      <c r="F11" s="2475" t="s">
        <v>2492</v>
      </c>
      <c r="G11" s="2475" t="s">
        <v>2493</v>
      </c>
      <c r="H11" s="2482" t="s">
        <v>2494</v>
      </c>
      <c r="I11" s="2473" t="s">
        <v>2495</v>
      </c>
    </row>
    <row r="12" spans="1:9">
      <c r="A12" s="3512"/>
      <c r="B12" s="3513" t="s">
        <v>2496</v>
      </c>
      <c r="C12" s="3513"/>
      <c r="D12" s="2474"/>
      <c r="E12" s="2474"/>
      <c r="F12" s="2475"/>
      <c r="G12" s="2476"/>
      <c r="H12" s="2483"/>
      <c r="I12" s="2473">
        <f>ROUND(D12*E12*F12*G12/10000,0)</f>
        <v>0</v>
      </c>
    </row>
    <row r="13" spans="1:9">
      <c r="A13" s="3512"/>
      <c r="B13" s="3513" t="s">
        <v>2497</v>
      </c>
      <c r="C13" s="3513"/>
      <c r="D13" s="2474"/>
      <c r="E13" s="2474"/>
      <c r="F13" s="2475"/>
      <c r="G13" s="2476"/>
      <c r="H13" s="2483"/>
      <c r="I13" s="2473">
        <f>ROUND(D13*E13*F13*G13/10000,0)</f>
        <v>0</v>
      </c>
    </row>
    <row r="14" spans="1:9">
      <c r="A14" s="3512"/>
      <c r="B14" s="3513" t="s">
        <v>2498</v>
      </c>
      <c r="C14" s="3513"/>
      <c r="D14" s="2474"/>
      <c r="E14" s="2474"/>
      <c r="F14" s="2475"/>
      <c r="G14" s="2476"/>
      <c r="H14" s="2483"/>
      <c r="I14" s="2473">
        <f>ROUND(D14*E14*F14*G14/10000,0)</f>
        <v>0</v>
      </c>
    </row>
    <row r="15" spans="1:9">
      <c r="A15" s="3512"/>
      <c r="B15" s="3514" t="s">
        <v>2487</v>
      </c>
      <c r="C15" s="3514"/>
      <c r="D15" s="2478"/>
      <c r="E15" s="2478">
        <f>SUM(E12:E14)</f>
        <v>0</v>
      </c>
      <c r="F15" s="2479"/>
      <c r="G15" s="2476"/>
      <c r="H15" s="2483"/>
      <c r="I15" s="2484">
        <f>SUM(I12:I14)</f>
        <v>0</v>
      </c>
    </row>
    <row r="16" spans="1:9" ht="24">
      <c r="A16" s="3512" t="s">
        <v>2499</v>
      </c>
      <c r="B16" s="3513" t="s">
        <v>2500</v>
      </c>
      <c r="C16" s="3513"/>
      <c r="D16" s="2474" t="s">
        <v>2501</v>
      </c>
      <c r="E16" s="2485" t="s">
        <v>2502</v>
      </c>
      <c r="F16" s="2475" t="s">
        <v>2503</v>
      </c>
      <c r="G16" s="2476" t="s">
        <v>2493</v>
      </c>
      <c r="H16" s="2482" t="s">
        <v>2494</v>
      </c>
      <c r="I16" s="2473" t="s">
        <v>2495</v>
      </c>
    </row>
    <row r="17" spans="1:9" ht="14.25">
      <c r="A17" s="3512"/>
      <c r="B17" s="3513" t="s">
        <v>2504</v>
      </c>
      <c r="C17" s="3513"/>
      <c r="D17" s="2474"/>
      <c r="E17" s="2474"/>
      <c r="F17" s="2475"/>
      <c r="G17" s="2476"/>
      <c r="H17" s="2486"/>
      <c r="I17" s="2487">
        <f>ROUND(D17*E17*F17*G17/10000,0)</f>
        <v>0</v>
      </c>
    </row>
    <row r="18" spans="1:9" ht="14.25">
      <c r="A18" s="3512"/>
      <c r="B18" s="3513" t="s">
        <v>2505</v>
      </c>
      <c r="C18" s="3513"/>
      <c r="D18" s="2474"/>
      <c r="E18" s="2474"/>
      <c r="F18" s="2475"/>
      <c r="G18" s="2476"/>
      <c r="H18" s="2486"/>
      <c r="I18" s="2487">
        <f>ROUND(D18*E18*F18*G18/10000,0)</f>
        <v>0</v>
      </c>
    </row>
    <row r="19" spans="1:9" ht="14.25">
      <c r="A19" s="3512"/>
      <c r="B19" s="3513" t="s">
        <v>2506</v>
      </c>
      <c r="C19" s="3513"/>
      <c r="D19" s="2474"/>
      <c r="E19" s="2474"/>
      <c r="F19" s="2475"/>
      <c r="G19" s="2476"/>
      <c r="H19" s="2486"/>
      <c r="I19" s="2487">
        <f>ROUND(D19*E19*F19*G19/10000,0)</f>
        <v>0</v>
      </c>
    </row>
    <row r="20" spans="1:9">
      <c r="A20" s="3512"/>
      <c r="B20" s="3514" t="s">
        <v>2487</v>
      </c>
      <c r="C20" s="3514"/>
      <c r="D20" s="2478">
        <f>SUM(D17:D19)</f>
        <v>0</v>
      </c>
      <c r="E20" s="2478"/>
      <c r="F20" s="2479"/>
      <c r="G20" s="2476"/>
      <c r="H20" s="2483"/>
      <c r="I20" s="2484">
        <f>SUM(I17:I19)</f>
        <v>0</v>
      </c>
    </row>
    <row r="21" spans="1:9">
      <c r="A21" s="3512" t="s">
        <v>2507</v>
      </c>
      <c r="B21" s="3515"/>
      <c r="C21" s="3515"/>
      <c r="D21" s="3515"/>
      <c r="E21" s="3515"/>
      <c r="F21" s="3515"/>
      <c r="G21" s="3515"/>
      <c r="H21" s="2488">
        <v>0.1</v>
      </c>
      <c r="I21" s="2481">
        <f>ROUND(I10*H21,0)</f>
        <v>0</v>
      </c>
    </row>
    <row r="22" spans="1:9" ht="14.25">
      <c r="A22" s="3516" t="s">
        <v>2508</v>
      </c>
      <c r="B22" s="3517"/>
      <c r="C22" s="3518"/>
      <c r="D22" s="2489" t="s">
        <v>2509</v>
      </c>
      <c r="E22" s="2489" t="s">
        <v>2510</v>
      </c>
      <c r="F22" s="2490" t="s">
        <v>2511</v>
      </c>
      <c r="G22" s="2490" t="s">
        <v>2512</v>
      </c>
      <c r="H22" s="2482" t="s">
        <v>2513</v>
      </c>
      <c r="I22" s="2473" t="s">
        <v>2514</v>
      </c>
    </row>
    <row r="23" spans="1:9" ht="14.25" thickBot="1">
      <c r="A23" s="3519"/>
      <c r="B23" s="3520"/>
      <c r="C23" s="3521"/>
      <c r="D23" s="2491"/>
      <c r="E23" s="2491"/>
      <c r="F23" s="2491"/>
      <c r="G23" s="2492"/>
      <c r="H23" s="2493"/>
      <c r="I23" s="2494">
        <f>ROUND(E23*D23*F23*(1-G23)/10000,0)</f>
        <v>0</v>
      </c>
    </row>
    <row r="26" spans="1:9">
      <c r="A26" s="2495" t="s">
        <v>2515</v>
      </c>
      <c r="B26" s="2495"/>
      <c r="C26" s="2495"/>
      <c r="D26" s="2495"/>
      <c r="E26" s="3509">
        <f>C27-C30-C31-C32</f>
        <v>0</v>
      </c>
      <c r="F26" s="3509"/>
      <c r="G26" s="3509"/>
      <c r="H26" s="2995" t="s">
        <v>2843</v>
      </c>
    </row>
    <row r="27" spans="1:9">
      <c r="A27" s="2496">
        <v>1</v>
      </c>
      <c r="B27" s="2497" t="s">
        <v>2516</v>
      </c>
      <c r="C27" s="2497"/>
      <c r="D27" s="2497"/>
      <c r="E27" s="3510"/>
      <c r="F27" s="3510"/>
      <c r="G27" s="3510"/>
    </row>
    <row r="28" spans="1:9">
      <c r="A28" s="2498" t="s">
        <v>2517</v>
      </c>
      <c r="B28" s="2497" t="s">
        <v>2518</v>
      </c>
      <c r="C28" s="2497"/>
      <c r="D28" s="2497"/>
      <c r="E28" s="3510"/>
      <c r="F28" s="3510"/>
      <c r="G28" s="351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11"/>
      <c r="F32" s="3511"/>
      <c r="G32" s="3511"/>
    </row>
    <row r="33" spans="1:7" hidden="1">
      <c r="A33" s="3506" t="s">
        <v>2526</v>
      </c>
      <c r="B33" s="3507"/>
      <c r="C33" s="3507"/>
      <c r="D33" s="3508"/>
      <c r="E33" s="3509"/>
      <c r="F33" s="3509"/>
      <c r="G33" s="3509"/>
    </row>
    <row r="34" spans="1:7" hidden="1">
      <c r="A34" s="2500">
        <v>1</v>
      </c>
      <c r="B34" s="2497" t="s">
        <v>2527</v>
      </c>
      <c r="C34" s="2497"/>
      <c r="D34" s="2497"/>
      <c r="E34" s="3510"/>
      <c r="F34" s="3510"/>
      <c r="G34" s="3510"/>
    </row>
    <row r="35" spans="1:7" hidden="1">
      <c r="A35" s="2500">
        <v>2</v>
      </c>
      <c r="B35" s="2497" t="s">
        <v>2528</v>
      </c>
      <c r="C35" s="2497"/>
      <c r="D35" s="2497"/>
      <c r="E35" s="3510"/>
      <c r="F35" s="3510"/>
      <c r="G35" s="3510"/>
    </row>
    <row r="36" spans="1:7" hidden="1">
      <c r="A36" s="2500">
        <v>3</v>
      </c>
      <c r="B36" s="2497" t="s">
        <v>2529</v>
      </c>
      <c r="C36" s="2497"/>
      <c r="D36" s="2497"/>
      <c r="E36" s="3510"/>
      <c r="F36" s="3510"/>
      <c r="G36" s="3510"/>
    </row>
    <row r="37" spans="1:7" hidden="1">
      <c r="A37" s="2500">
        <v>4</v>
      </c>
      <c r="B37" s="2497" t="s">
        <v>2530</v>
      </c>
      <c r="C37" s="2497"/>
      <c r="D37" s="2497"/>
      <c r="E37" s="3510"/>
      <c r="F37" s="3510"/>
      <c r="G37" s="3510"/>
    </row>
    <row r="38" spans="1:7" hidden="1">
      <c r="A38" s="3506" t="s">
        <v>2531</v>
      </c>
      <c r="B38" s="3507"/>
      <c r="C38" s="3507"/>
      <c r="D38" s="3508"/>
      <c r="E38" s="3509"/>
      <c r="F38" s="3509"/>
      <c r="G38" s="35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302223.06</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1938</v>
      </c>
      <c r="D12" s="758">
        <f>'数据-汇总表'!E5</f>
        <v>215330.94</v>
      </c>
      <c r="E12" s="757">
        <f>'数据-取费表'!B27</f>
        <v>90</v>
      </c>
      <c r="F12" s="755"/>
      <c r="G12" s="759"/>
    </row>
    <row r="13" spans="1:25" s="2169" customFormat="1" ht="13.5" customHeight="1">
      <c r="A13" s="2441" t="s">
        <v>2447</v>
      </c>
      <c r="B13" s="756" t="s">
        <v>612</v>
      </c>
      <c r="C13" s="757">
        <f>ROUND(D13*E13/10000,0)</f>
        <v>782</v>
      </c>
      <c r="D13" s="758">
        <f>'数据-汇总表'!E6</f>
        <v>86892.12</v>
      </c>
      <c r="E13" s="757">
        <f>'数据-取费表'!B28</f>
        <v>90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0.17</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0.93300000000000005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5" t="s">
        <v>522</v>
      </c>
      <c r="D4" s="3426"/>
      <c r="E4" s="3449" t="s">
        <v>523</v>
      </c>
      <c r="F4" s="3450"/>
      <c r="G4" s="3425" t="s">
        <v>524</v>
      </c>
      <c r="H4" s="3426"/>
      <c r="I4" s="3425" t="s">
        <v>525</v>
      </c>
      <c r="J4" s="3426"/>
      <c r="K4" s="514" t="s">
        <v>526</v>
      </c>
      <c r="L4" s="2119"/>
      <c r="M4" s="2120"/>
      <c r="N4" s="2120"/>
      <c r="O4" s="2120"/>
      <c r="P4" s="3427" t="s">
        <v>527</v>
      </c>
      <c r="Q4" s="3428"/>
      <c r="R4" s="3413" t="s">
        <v>523</v>
      </c>
      <c r="S4" s="3414"/>
      <c r="T4" s="3413" t="s">
        <v>524</v>
      </c>
      <c r="U4" s="3414"/>
      <c r="V4" s="3433" t="s">
        <v>525</v>
      </c>
      <c r="W4" s="3433"/>
      <c r="X4" s="1554"/>
      <c r="Y4" s="3413" t="s">
        <v>527</v>
      </c>
      <c r="Z4" s="3414"/>
      <c r="AA4" s="3408" t="s">
        <v>523</v>
      </c>
      <c r="AB4" s="3433" t="s">
        <v>524</v>
      </c>
      <c r="AC4" s="3408" t="s">
        <v>525</v>
      </c>
    </row>
    <row r="5" spans="1:29" ht="15">
      <c r="A5" s="515"/>
      <c r="B5" s="516"/>
      <c r="C5" s="3436" t="s">
        <v>2931</v>
      </c>
      <c r="D5" s="3437"/>
      <c r="E5" s="3451" t="s">
        <v>2932</v>
      </c>
      <c r="F5" s="3452"/>
      <c r="G5" s="3436" t="s">
        <v>2933</v>
      </c>
      <c r="H5" s="3437"/>
      <c r="I5" s="3436" t="s">
        <v>2934</v>
      </c>
      <c r="J5" s="3437"/>
      <c r="K5" s="514"/>
      <c r="L5" s="2119"/>
      <c r="M5" s="2120"/>
      <c r="N5" s="2120"/>
      <c r="O5" s="2120"/>
      <c r="P5" s="3429"/>
      <c r="Q5" s="3430"/>
      <c r="R5" s="3415"/>
      <c r="S5" s="3416"/>
      <c r="T5" s="3415"/>
      <c r="U5" s="3416"/>
      <c r="V5" s="3433"/>
      <c r="W5" s="3433"/>
      <c r="X5" s="1554"/>
      <c r="Y5" s="3415"/>
      <c r="Z5" s="3416"/>
      <c r="AA5" s="3409"/>
      <c r="AB5" s="3433"/>
      <c r="AC5" s="3409"/>
    </row>
    <row r="6" spans="1:29" ht="15.75" thickBot="1">
      <c r="A6" s="517"/>
      <c r="B6" s="518"/>
      <c r="C6" s="3434" t="s">
        <v>2935</v>
      </c>
      <c r="D6" s="3435"/>
      <c r="E6" s="3453" t="s">
        <v>2935</v>
      </c>
      <c r="F6" s="3454"/>
      <c r="G6" s="3434" t="s">
        <v>2935</v>
      </c>
      <c r="H6" s="3435"/>
      <c r="I6" s="3434" t="s">
        <v>2935</v>
      </c>
      <c r="J6" s="3435"/>
      <c r="K6" s="514" t="s">
        <v>528</v>
      </c>
      <c r="L6" s="2119"/>
      <c r="M6" s="2120"/>
      <c r="N6" s="2120"/>
      <c r="O6" s="2120"/>
      <c r="P6" s="3431"/>
      <c r="Q6" s="3432"/>
      <c r="R6" s="3415"/>
      <c r="S6" s="3416"/>
      <c r="T6" s="3417"/>
      <c r="U6" s="3418"/>
      <c r="V6" s="3433"/>
      <c r="W6" s="3433"/>
      <c r="X6" s="1554"/>
      <c r="Y6" s="3417"/>
      <c r="Z6" s="3418"/>
      <c r="AA6" s="3410"/>
      <c r="AB6" s="3433"/>
      <c r="AC6" s="3410"/>
    </row>
    <row r="7" spans="1:29" s="1216" customFormat="1" ht="15.75" thickBot="1">
      <c r="A7" s="2868"/>
      <c r="B7" s="2875" t="s">
        <v>529</v>
      </c>
      <c r="C7" s="519">
        <f>'数据-取费表'!B2</f>
        <v>43672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1" t="s">
        <v>530</v>
      </c>
      <c r="Q7" s="3420"/>
      <c r="R7" s="1555" t="s">
        <v>8</v>
      </c>
      <c r="S7" s="1556">
        <f t="shared" ref="S7:S15" si="0">F7</f>
        <v>0</v>
      </c>
      <c r="T7" s="1555" t="s">
        <v>8</v>
      </c>
      <c r="U7" s="1556">
        <f t="shared" ref="U7:U15" si="1">H7</f>
        <v>0</v>
      </c>
      <c r="V7" s="1555" t="s">
        <v>8</v>
      </c>
      <c r="W7" s="1556">
        <f t="shared" ref="W7:W15" si="2">J7</f>
        <v>0</v>
      </c>
      <c r="X7" s="1557"/>
      <c r="Y7" s="3411" t="s">
        <v>530</v>
      </c>
      <c r="Z7" s="341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1" t="s">
        <v>533</v>
      </c>
      <c r="Q8" s="3412"/>
      <c r="R8" s="1555" t="s">
        <v>8</v>
      </c>
      <c r="S8" s="1556">
        <f t="shared" si="0"/>
        <v>0</v>
      </c>
      <c r="T8" s="1555" t="s">
        <v>8</v>
      </c>
      <c r="U8" s="1556">
        <f t="shared" si="1"/>
        <v>0</v>
      </c>
      <c r="V8" s="1555" t="s">
        <v>8</v>
      </c>
      <c r="W8" s="1556">
        <f t="shared" si="2"/>
        <v>0</v>
      </c>
      <c r="X8" s="1557"/>
      <c r="Y8" s="3411" t="s">
        <v>533</v>
      </c>
      <c r="Z8" s="341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9" t="s">
        <v>535</v>
      </c>
      <c r="Q9" s="1147" t="str">
        <f t="shared" ref="Q9:Q15" si="6">B9</f>
        <v>用途</v>
      </c>
      <c r="R9" s="1555" t="s">
        <v>8</v>
      </c>
      <c r="S9" s="1556">
        <f t="shared" si="0"/>
        <v>100</v>
      </c>
      <c r="T9" s="1555" t="s">
        <v>8</v>
      </c>
      <c r="U9" s="1556">
        <f t="shared" si="1"/>
        <v>100</v>
      </c>
      <c r="V9" s="1555" t="s">
        <v>8</v>
      </c>
      <c r="W9" s="1556">
        <f t="shared" si="2"/>
        <v>100</v>
      </c>
      <c r="X9" s="1557"/>
      <c r="Y9" s="337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9"/>
      <c r="Q10" s="1147" t="str">
        <f t="shared" si="6"/>
        <v>土地使用年限（年）</v>
      </c>
      <c r="R10" s="1555" t="s">
        <v>8</v>
      </c>
      <c r="S10" s="1556">
        <f t="shared" si="0"/>
        <v>100</v>
      </c>
      <c r="T10" s="1555" t="s">
        <v>8</v>
      </c>
      <c r="U10" s="1556">
        <f t="shared" si="1"/>
        <v>100</v>
      </c>
      <c r="V10" s="1555" t="s">
        <v>8</v>
      </c>
      <c r="W10" s="1556">
        <f t="shared" si="2"/>
        <v>100</v>
      </c>
      <c r="X10" s="1557"/>
      <c r="Y10" s="337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9"/>
      <c r="Q11" s="1147" t="str">
        <f t="shared" si="6"/>
        <v>容积率</v>
      </c>
      <c r="R11" s="1555" t="s">
        <v>8</v>
      </c>
      <c r="S11" s="1556" t="e">
        <f t="shared" si="0"/>
        <v>#N/A</v>
      </c>
      <c r="T11" s="1555" t="s">
        <v>8</v>
      </c>
      <c r="U11" s="1556" t="e">
        <f t="shared" si="1"/>
        <v>#N/A</v>
      </c>
      <c r="V11" s="1555" t="s">
        <v>8</v>
      </c>
      <c r="W11" s="1556" t="e">
        <f t="shared" si="2"/>
        <v>#N/A</v>
      </c>
      <c r="X11" s="1557"/>
      <c r="Y11" s="337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9"/>
      <c r="Q12" s="1147">
        <f t="shared" si="6"/>
        <v>111</v>
      </c>
      <c r="R12" s="1555" t="s">
        <v>8</v>
      </c>
      <c r="S12" s="1556">
        <f t="shared" si="0"/>
        <v>100</v>
      </c>
      <c r="T12" s="1555" t="s">
        <v>8</v>
      </c>
      <c r="U12" s="1556">
        <f t="shared" si="1"/>
        <v>100</v>
      </c>
      <c r="V12" s="1555" t="s">
        <v>8</v>
      </c>
      <c r="W12" s="1556">
        <f t="shared" si="2"/>
        <v>100</v>
      </c>
      <c r="X12" s="1557"/>
      <c r="Y12" s="337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9"/>
      <c r="Q13" s="1147">
        <f t="shared" si="6"/>
        <v>111</v>
      </c>
      <c r="R13" s="1555" t="s">
        <v>8</v>
      </c>
      <c r="S13" s="1556">
        <f t="shared" si="0"/>
        <v>100</v>
      </c>
      <c r="T13" s="1555" t="s">
        <v>8</v>
      </c>
      <c r="U13" s="1556">
        <f t="shared" si="1"/>
        <v>100</v>
      </c>
      <c r="V13" s="1555" t="s">
        <v>8</v>
      </c>
      <c r="W13" s="1556">
        <f t="shared" si="2"/>
        <v>100</v>
      </c>
      <c r="X13" s="1557"/>
      <c r="Y13" s="337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9"/>
      <c r="Q14" s="1147">
        <f t="shared" si="6"/>
        <v>111</v>
      </c>
      <c r="R14" s="1555" t="s">
        <v>8</v>
      </c>
      <c r="S14" s="1556">
        <f t="shared" si="0"/>
        <v>100</v>
      </c>
      <c r="T14" s="1555" t="s">
        <v>8</v>
      </c>
      <c r="U14" s="1556">
        <f t="shared" si="1"/>
        <v>100</v>
      </c>
      <c r="V14" s="1555" t="s">
        <v>8</v>
      </c>
      <c r="W14" s="1556">
        <f t="shared" si="2"/>
        <v>100</v>
      </c>
      <c r="X14" s="1557"/>
      <c r="Y14" s="3376"/>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21" t="s">
        <v>540</v>
      </c>
      <c r="Q15" s="1559" t="str">
        <f t="shared" si="6"/>
        <v>商业繁华度</v>
      </c>
      <c r="R15" s="1560" t="s">
        <v>8</v>
      </c>
      <c r="S15" s="1561">
        <f t="shared" si="0"/>
        <v>100</v>
      </c>
      <c r="T15" s="1560" t="s">
        <v>8</v>
      </c>
      <c r="U15" s="1561">
        <f t="shared" si="1"/>
        <v>100</v>
      </c>
      <c r="V15" s="1560" t="s">
        <v>8</v>
      </c>
      <c r="W15" s="1561">
        <f t="shared" si="2"/>
        <v>100</v>
      </c>
      <c r="X15" s="1554"/>
      <c r="Y15" s="3421"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2"/>
      <c r="Q16" s="1559"/>
      <c r="R16" s="1560"/>
      <c r="S16" s="1561"/>
      <c r="T16" s="1560"/>
      <c r="U16" s="1561"/>
      <c r="V16" s="1560"/>
      <c r="W16" s="1561"/>
      <c r="X16" s="1554"/>
      <c r="Y16" s="342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2"/>
      <c r="Q17" s="1559" t="str">
        <f>B17</f>
        <v>交通便捷度</v>
      </c>
      <c r="R17" s="1560" t="s">
        <v>8</v>
      </c>
      <c r="S17" s="1561">
        <f>F17</f>
        <v>100</v>
      </c>
      <c r="T17" s="1560" t="s">
        <v>8</v>
      </c>
      <c r="U17" s="1561">
        <f>H17</f>
        <v>100</v>
      </c>
      <c r="V17" s="1560" t="s">
        <v>8</v>
      </c>
      <c r="W17" s="1561">
        <f>J17</f>
        <v>100</v>
      </c>
      <c r="X17" s="1554"/>
      <c r="Y17" s="342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2"/>
      <c r="Q18" s="1559"/>
      <c r="R18" s="1560"/>
      <c r="S18" s="1561"/>
      <c r="T18" s="1560"/>
      <c r="U18" s="1561"/>
      <c r="V18" s="1560"/>
      <c r="W18" s="1561"/>
      <c r="X18" s="1554"/>
      <c r="Y18" s="3422"/>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2"/>
      <c r="Q19" s="1559" t="str">
        <f>B19</f>
        <v>公共配套设施</v>
      </c>
      <c r="R19" s="1560" t="s">
        <v>8</v>
      </c>
      <c r="S19" s="1561">
        <f>F19</f>
        <v>100</v>
      </c>
      <c r="T19" s="1560" t="s">
        <v>8</v>
      </c>
      <c r="U19" s="1561">
        <f>H19</f>
        <v>100</v>
      </c>
      <c r="V19" s="1560" t="s">
        <v>8</v>
      </c>
      <c r="W19" s="1561">
        <f>J19</f>
        <v>100</v>
      </c>
      <c r="X19" s="1554"/>
      <c r="Y19" s="342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2"/>
      <c r="Q20" s="1559"/>
      <c r="R20" s="1560"/>
      <c r="S20" s="1561"/>
      <c r="T20" s="1560"/>
      <c r="U20" s="1561"/>
      <c r="V20" s="1560"/>
      <c r="W20" s="1561"/>
      <c r="X20" s="1554"/>
      <c r="Y20" s="3422"/>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2"/>
      <c r="Q21" s="2544" t="str">
        <f>B21</f>
        <v>基础设施水平</v>
      </c>
      <c r="R21" s="1560" t="s">
        <v>8</v>
      </c>
      <c r="S21" s="1561">
        <f>F21</f>
        <v>100</v>
      </c>
      <c r="T21" s="1560" t="s">
        <v>8</v>
      </c>
      <c r="U21" s="1561">
        <f>H21</f>
        <v>100</v>
      </c>
      <c r="V21" s="1560" t="s">
        <v>8</v>
      </c>
      <c r="W21" s="1561">
        <f>J21</f>
        <v>100</v>
      </c>
      <c r="X21" s="2546"/>
      <c r="Y21" s="342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2"/>
      <c r="Q22" s="2544"/>
      <c r="R22" s="1560"/>
      <c r="S22" s="1561"/>
      <c r="T22" s="1560"/>
      <c r="U22" s="1561"/>
      <c r="V22" s="1560"/>
      <c r="W22" s="1561"/>
      <c r="X22" s="2546"/>
      <c r="Y22" s="3422"/>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2"/>
      <c r="Q23" s="1559" t="str">
        <f>B23</f>
        <v>自然及人文环境</v>
      </c>
      <c r="R23" s="1560" t="s">
        <v>8</v>
      </c>
      <c r="S23" s="1561">
        <f>F23</f>
        <v>100</v>
      </c>
      <c r="T23" s="1560" t="s">
        <v>8</v>
      </c>
      <c r="U23" s="1561">
        <f>H23</f>
        <v>100</v>
      </c>
      <c r="V23" s="1560" t="s">
        <v>8</v>
      </c>
      <c r="W23" s="1561">
        <f>J23</f>
        <v>100</v>
      </c>
      <c r="X23" s="1554"/>
      <c r="Y23" s="342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2"/>
      <c r="Q24" s="1559"/>
      <c r="R24" s="1560"/>
      <c r="S24" s="1561"/>
      <c r="T24" s="1560"/>
      <c r="U24" s="1561"/>
      <c r="V24" s="1560"/>
      <c r="W24" s="1561"/>
      <c r="X24" s="1554"/>
      <c r="Y24" s="3422"/>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2"/>
      <c r="Q25" s="1559" t="str">
        <f t="shared" ref="Q25:Q46" si="11">B25</f>
        <v>临街状况</v>
      </c>
      <c r="R25" s="1560" t="s">
        <v>8</v>
      </c>
      <c r="S25" s="1561">
        <f>F25</f>
        <v>100</v>
      </c>
      <c r="T25" s="1560" t="s">
        <v>8</v>
      </c>
      <c r="U25" s="1561">
        <f>H25</f>
        <v>100</v>
      </c>
      <c r="V25" s="1560" t="s">
        <v>8</v>
      </c>
      <c r="W25" s="1561">
        <f>J25</f>
        <v>100</v>
      </c>
      <c r="X25" s="1554"/>
      <c r="Y25" s="3422"/>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2"/>
      <c r="Q26" s="1559" t="str">
        <f t="shared" si="11"/>
        <v>平面位置/可视性</v>
      </c>
      <c r="R26" s="1560" t="s">
        <v>8</v>
      </c>
      <c r="S26" s="1561">
        <f>F26</f>
        <v>100</v>
      </c>
      <c r="T26" s="1560" t="s">
        <v>8</v>
      </c>
      <c r="U26" s="1561">
        <f>H26</f>
        <v>100</v>
      </c>
      <c r="V26" s="1560" t="s">
        <v>8</v>
      </c>
      <c r="W26" s="1561">
        <f>J26</f>
        <v>100</v>
      </c>
      <c r="X26" s="1554"/>
      <c r="Y26" s="3422"/>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2"/>
      <c r="Q27" s="1147" t="str">
        <f t="shared" si="11"/>
        <v>人流量</v>
      </c>
      <c r="R27" s="1555" t="s">
        <v>8</v>
      </c>
      <c r="S27" s="1556">
        <f>F27</f>
        <v>100</v>
      </c>
      <c r="T27" s="1555" t="s">
        <v>8</v>
      </c>
      <c r="U27" s="1556">
        <f>H27</f>
        <v>100</v>
      </c>
      <c r="V27" s="1555" t="s">
        <v>8</v>
      </c>
      <c r="W27" s="1556">
        <f>J27</f>
        <v>100</v>
      </c>
      <c r="X27" s="1557"/>
      <c r="Y27" s="3422"/>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2"/>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2"/>
      <c r="Q29" s="1559">
        <f t="shared" si="11"/>
        <v>111</v>
      </c>
      <c r="R29" s="1560" t="s">
        <v>8</v>
      </c>
      <c r="S29" s="1561">
        <f t="shared" si="12"/>
        <v>100</v>
      </c>
      <c r="T29" s="1560" t="s">
        <v>8</v>
      </c>
      <c r="U29" s="1561">
        <f t="shared" si="13"/>
        <v>100</v>
      </c>
      <c r="V29" s="1560" t="s">
        <v>8</v>
      </c>
      <c r="W29" s="1561">
        <f t="shared" si="14"/>
        <v>100</v>
      </c>
      <c r="X29" s="1554"/>
      <c r="Y29" s="342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2"/>
      <c r="Q30" s="1559">
        <f t="shared" si="11"/>
        <v>111</v>
      </c>
      <c r="R30" s="1560" t="s">
        <v>8</v>
      </c>
      <c r="S30" s="1561">
        <f t="shared" si="12"/>
        <v>100</v>
      </c>
      <c r="T30" s="1560" t="s">
        <v>8</v>
      </c>
      <c r="U30" s="1561">
        <f t="shared" si="13"/>
        <v>100</v>
      </c>
      <c r="V30" s="1560" t="s">
        <v>8</v>
      </c>
      <c r="W30" s="1561">
        <f t="shared" si="14"/>
        <v>100</v>
      </c>
      <c r="X30" s="1554"/>
      <c r="Y30" s="3422"/>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2"/>
      <c r="Q31" s="1559">
        <f t="shared" si="11"/>
        <v>111</v>
      </c>
      <c r="R31" s="1560" t="s">
        <v>8</v>
      </c>
      <c r="S31" s="1561">
        <f t="shared" si="12"/>
        <v>100</v>
      </c>
      <c r="T31" s="1560" t="s">
        <v>8</v>
      </c>
      <c r="U31" s="1561">
        <f t="shared" si="13"/>
        <v>100</v>
      </c>
      <c r="V31" s="1560" t="s">
        <v>8</v>
      </c>
      <c r="W31" s="1561">
        <f t="shared" si="14"/>
        <v>100</v>
      </c>
      <c r="X31" s="1554"/>
      <c r="Y31" s="3422"/>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3" t="s">
        <v>550</v>
      </c>
      <c r="Q32" s="1559" t="str">
        <f t="shared" si="11"/>
        <v>商业类型</v>
      </c>
      <c r="R32" s="1560" t="s">
        <v>8</v>
      </c>
      <c r="S32" s="1561">
        <f t="shared" si="12"/>
        <v>100</v>
      </c>
      <c r="T32" s="1560" t="s">
        <v>8</v>
      </c>
      <c r="U32" s="1561">
        <f t="shared" si="13"/>
        <v>100</v>
      </c>
      <c r="V32" s="1560" t="s">
        <v>8</v>
      </c>
      <c r="W32" s="1561">
        <f t="shared" si="14"/>
        <v>100</v>
      </c>
      <c r="X32" s="1554"/>
      <c r="Y32" s="3424"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4"/>
      <c r="Q33" s="1591" t="str">
        <f t="shared" si="11"/>
        <v>项目建筑规模</v>
      </c>
      <c r="R33" s="1564" t="s">
        <v>8</v>
      </c>
      <c r="S33" s="1565" t="e">
        <f t="shared" si="12"/>
        <v>#N/A</v>
      </c>
      <c r="T33" s="1564" t="s">
        <v>8</v>
      </c>
      <c r="U33" s="1565" t="e">
        <f t="shared" si="13"/>
        <v>#N/A</v>
      </c>
      <c r="V33" s="1564" t="s">
        <v>8</v>
      </c>
      <c r="W33" s="1565" t="e">
        <f t="shared" si="14"/>
        <v>#N/A</v>
      </c>
      <c r="X33" s="1566"/>
      <c r="Y33" s="342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4"/>
      <c r="Q34" s="1559" t="str">
        <f t="shared" si="11"/>
        <v>建筑结构</v>
      </c>
      <c r="R34" s="1560" t="s">
        <v>8</v>
      </c>
      <c r="S34" s="1561">
        <f t="shared" si="12"/>
        <v>100</v>
      </c>
      <c r="T34" s="1560" t="s">
        <v>8</v>
      </c>
      <c r="U34" s="1561">
        <f t="shared" si="13"/>
        <v>100</v>
      </c>
      <c r="V34" s="1560" t="s">
        <v>8</v>
      </c>
      <c r="W34" s="1561">
        <f t="shared" si="14"/>
        <v>100</v>
      </c>
      <c r="X34" s="1554"/>
      <c r="Y34" s="3424"/>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4"/>
      <c r="Q35" s="1559" t="str">
        <f t="shared" si="11"/>
        <v>公共部分装修</v>
      </c>
      <c r="R35" s="1560" t="s">
        <v>8</v>
      </c>
      <c r="S35" s="1561">
        <f t="shared" si="12"/>
        <v>100</v>
      </c>
      <c r="T35" s="1560" t="s">
        <v>8</v>
      </c>
      <c r="U35" s="1561">
        <f t="shared" si="13"/>
        <v>100</v>
      </c>
      <c r="V35" s="1560" t="s">
        <v>8</v>
      </c>
      <c r="W35" s="1561">
        <f t="shared" si="14"/>
        <v>100</v>
      </c>
      <c r="X35" s="1554"/>
      <c r="Y35" s="3424"/>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4"/>
      <c r="Q36" s="1559" t="str">
        <f t="shared" si="11"/>
        <v>成新度</v>
      </c>
      <c r="R36" s="1560" t="s">
        <v>8</v>
      </c>
      <c r="S36" s="1561" t="e">
        <f t="shared" si="12"/>
        <v>#N/A</v>
      </c>
      <c r="T36" s="1560" t="s">
        <v>8</v>
      </c>
      <c r="U36" s="1561" t="e">
        <f t="shared" si="13"/>
        <v>#N/A</v>
      </c>
      <c r="V36" s="1560" t="s">
        <v>8</v>
      </c>
      <c r="W36" s="1561" t="e">
        <f t="shared" si="14"/>
        <v>#N/A</v>
      </c>
      <c r="X36" s="1554"/>
      <c r="Y36" s="3424"/>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4"/>
      <c r="Q37" s="1147" t="str">
        <f t="shared" si="11"/>
        <v>市政基础设施</v>
      </c>
      <c r="R37" s="1555" t="s">
        <v>8</v>
      </c>
      <c r="S37" s="1556">
        <f t="shared" si="12"/>
        <v>100</v>
      </c>
      <c r="T37" s="1555" t="s">
        <v>8</v>
      </c>
      <c r="U37" s="1556">
        <f t="shared" si="13"/>
        <v>100</v>
      </c>
      <c r="V37" s="1555" t="s">
        <v>8</v>
      </c>
      <c r="W37" s="1556">
        <f t="shared" si="14"/>
        <v>100</v>
      </c>
      <c r="X37" s="1557"/>
      <c r="Y37" s="3424"/>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4" t="s">
        <v>766</v>
      </c>
      <c r="Q38" s="1559" t="str">
        <f t="shared" si="11"/>
        <v>业态</v>
      </c>
      <c r="R38" s="1560" t="s">
        <v>8</v>
      </c>
      <c r="S38" s="1561">
        <f t="shared" si="12"/>
        <v>100</v>
      </c>
      <c r="T38" s="1560" t="s">
        <v>8</v>
      </c>
      <c r="U38" s="1561">
        <f t="shared" si="13"/>
        <v>100</v>
      </c>
      <c r="V38" s="1560" t="s">
        <v>8</v>
      </c>
      <c r="W38" s="1561">
        <f t="shared" si="14"/>
        <v>100</v>
      </c>
      <c r="X38" s="1554"/>
      <c r="Y38" s="3424"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4"/>
      <c r="Q39" s="1559" t="str">
        <f t="shared" si="11"/>
        <v>层高</v>
      </c>
      <c r="R39" s="1560" t="s">
        <v>8</v>
      </c>
      <c r="S39" s="1561">
        <f t="shared" si="12"/>
        <v>100</v>
      </c>
      <c r="T39" s="1560" t="s">
        <v>8</v>
      </c>
      <c r="U39" s="1561">
        <f t="shared" si="13"/>
        <v>100</v>
      </c>
      <c r="V39" s="1560" t="s">
        <v>8</v>
      </c>
      <c r="W39" s="1561">
        <f t="shared" si="14"/>
        <v>100</v>
      </c>
      <c r="X39" s="1554"/>
      <c r="Y39" s="3424"/>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4"/>
      <c r="Q40" s="1559" t="str">
        <f t="shared" si="11"/>
        <v>单套建筑面积</v>
      </c>
      <c r="R40" s="1560" t="s">
        <v>8</v>
      </c>
      <c r="S40" s="1561">
        <f t="shared" si="12"/>
        <v>100</v>
      </c>
      <c r="T40" s="1560" t="s">
        <v>8</v>
      </c>
      <c r="U40" s="1561">
        <f t="shared" si="13"/>
        <v>100</v>
      </c>
      <c r="V40" s="1560" t="s">
        <v>8</v>
      </c>
      <c r="W40" s="1561">
        <f t="shared" si="14"/>
        <v>100</v>
      </c>
      <c r="X40" s="1554"/>
      <c r="Y40" s="3424"/>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4"/>
      <c r="Q41" s="1591" t="str">
        <f t="shared" si="11"/>
        <v>进深比</v>
      </c>
      <c r="R41" s="1564" t="s">
        <v>8</v>
      </c>
      <c r="S41" s="1565">
        <f t="shared" si="12"/>
        <v>100</v>
      </c>
      <c r="T41" s="1564" t="s">
        <v>8</v>
      </c>
      <c r="U41" s="1565">
        <f t="shared" si="13"/>
        <v>100</v>
      </c>
      <c r="V41" s="1564" t="s">
        <v>8</v>
      </c>
      <c r="W41" s="1565">
        <f t="shared" si="14"/>
        <v>100</v>
      </c>
      <c r="X41" s="1566"/>
      <c r="Y41" s="3424"/>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4"/>
      <c r="Q42" s="1559" t="str">
        <f t="shared" si="11"/>
        <v>内部装修</v>
      </c>
      <c r="R42" s="1560" t="s">
        <v>8</v>
      </c>
      <c r="S42" s="1561">
        <f t="shared" si="12"/>
        <v>100</v>
      </c>
      <c r="T42" s="1560" t="s">
        <v>8</v>
      </c>
      <c r="U42" s="1561">
        <f t="shared" si="13"/>
        <v>100</v>
      </c>
      <c r="V42" s="1560" t="s">
        <v>8</v>
      </c>
      <c r="W42" s="1561">
        <f t="shared" si="14"/>
        <v>100</v>
      </c>
      <c r="X42" s="1554"/>
      <c r="Y42" s="3424"/>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4"/>
      <c r="Q43" s="1559" t="str">
        <f t="shared" si="11"/>
        <v>内部装修维护情况</v>
      </c>
      <c r="R43" s="1560" t="s">
        <v>8</v>
      </c>
      <c r="S43" s="1561">
        <f t="shared" si="12"/>
        <v>100</v>
      </c>
      <c r="T43" s="1560" t="s">
        <v>8</v>
      </c>
      <c r="U43" s="1561">
        <f t="shared" si="13"/>
        <v>100</v>
      </c>
      <c r="V43" s="1560" t="s">
        <v>8</v>
      </c>
      <c r="W43" s="1561">
        <f t="shared" si="14"/>
        <v>100</v>
      </c>
      <c r="X43" s="1554"/>
      <c r="Y43" s="342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4"/>
      <c r="Q44" s="1147">
        <f t="shared" si="11"/>
        <v>111</v>
      </c>
      <c r="R44" s="1555" t="s">
        <v>8</v>
      </c>
      <c r="S44" s="1556">
        <f t="shared" si="12"/>
        <v>100</v>
      </c>
      <c r="T44" s="1555" t="s">
        <v>8</v>
      </c>
      <c r="U44" s="1556">
        <f t="shared" si="13"/>
        <v>100</v>
      </c>
      <c r="V44" s="1555" t="s">
        <v>8</v>
      </c>
      <c r="W44" s="1556">
        <f t="shared" si="14"/>
        <v>100</v>
      </c>
      <c r="X44" s="1557"/>
      <c r="Y44" s="342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4"/>
      <c r="Q45" s="1559">
        <f t="shared" si="11"/>
        <v>111</v>
      </c>
      <c r="R45" s="1560" t="s">
        <v>8</v>
      </c>
      <c r="S45" s="1561">
        <f t="shared" si="12"/>
        <v>100</v>
      </c>
      <c r="T45" s="1560" t="s">
        <v>8</v>
      </c>
      <c r="U45" s="1561">
        <f t="shared" si="13"/>
        <v>100</v>
      </c>
      <c r="V45" s="1560" t="s">
        <v>8</v>
      </c>
      <c r="W45" s="1561">
        <f t="shared" si="14"/>
        <v>100</v>
      </c>
      <c r="X45" s="1554"/>
      <c r="Y45" s="342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1"/>
      <c r="Q46" s="1559">
        <f t="shared" si="11"/>
        <v>111</v>
      </c>
      <c r="R46" s="1560" t="s">
        <v>8</v>
      </c>
      <c r="S46" s="1561">
        <f t="shared" si="12"/>
        <v>100</v>
      </c>
      <c r="T46" s="1560" t="s">
        <v>8</v>
      </c>
      <c r="U46" s="1561">
        <f t="shared" si="13"/>
        <v>100</v>
      </c>
      <c r="V46" s="1560" t="s">
        <v>8</v>
      </c>
      <c r="W46" s="1561">
        <f t="shared" si="14"/>
        <v>100</v>
      </c>
      <c r="X46" s="1554"/>
      <c r="Y46" s="3501"/>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9" t="str">
        <f>A47</f>
        <v>成交单价（元/平方米）</v>
      </c>
      <c r="Q47" s="3419"/>
      <c r="R47" s="3499">
        <f>E47</f>
        <v>0</v>
      </c>
      <c r="S47" s="3499"/>
      <c r="T47" s="3499">
        <f>G47</f>
        <v>0</v>
      </c>
      <c r="U47" s="3499"/>
      <c r="V47" s="3499">
        <f>I47</f>
        <v>0</v>
      </c>
      <c r="W47" s="3499"/>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19" t="str">
        <f>A48</f>
        <v>比较价格（元/平方米）</v>
      </c>
      <c r="Q48" s="3419"/>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40" t="str">
        <f>A49</f>
        <v>估价对象XX用房的比较价格（楼面单价，元/平方米）</v>
      </c>
      <c r="Q49" s="3441"/>
      <c r="R49" s="3500" t="e">
        <f>IF(F1="售价",ROUND(AVERAGE(R48:V48),0),ROUND(AVERAGE(R48:V48),1))</f>
        <v>#DIV/0!</v>
      </c>
      <c r="S49" s="3500"/>
      <c r="T49" s="3500"/>
      <c r="U49" s="3500"/>
      <c r="V49" s="3500"/>
      <c r="W49" s="350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105380平方米。根据《建设工程规划许可证》[]、《出让合同》[]，估价对象规划建筑面积为302223.06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2019年7月26日（评估专业人员勘察现场之日）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根据《国有土地使用证》[]，估价对象（分摊）出让国有建设用地使用权面积为105380平方米。根据《建设工程规划许可证》[]、《出让合同》[]，估价对象规划建筑面积为302223.06平方米。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5" t="s">
        <v>522</v>
      </c>
      <c r="D4" s="3426"/>
      <c r="E4" s="3449" t="s">
        <v>523</v>
      </c>
      <c r="F4" s="3450"/>
      <c r="G4" s="3425" t="s">
        <v>524</v>
      </c>
      <c r="H4" s="3426"/>
      <c r="I4" s="3425" t="s">
        <v>525</v>
      </c>
      <c r="J4" s="3426"/>
      <c r="K4" s="514" t="s">
        <v>526</v>
      </c>
      <c r="L4" s="2119"/>
      <c r="M4" s="2120"/>
      <c r="N4" s="2120"/>
      <c r="O4" s="2120"/>
      <c r="P4" s="3527" t="s">
        <v>527</v>
      </c>
      <c r="Q4" s="3428"/>
      <c r="R4" s="3413" t="s">
        <v>523</v>
      </c>
      <c r="S4" s="3414"/>
      <c r="T4" s="3413" t="s">
        <v>524</v>
      </c>
      <c r="U4" s="3414"/>
      <c r="V4" s="3433" t="s">
        <v>525</v>
      </c>
      <c r="W4" s="3433"/>
      <c r="X4" s="1554"/>
      <c r="Y4" s="3413" t="s">
        <v>527</v>
      </c>
      <c r="Z4" s="3414"/>
      <c r="AA4" s="3408" t="s">
        <v>523</v>
      </c>
      <c r="AB4" s="3408" t="s">
        <v>524</v>
      </c>
      <c r="AC4" s="3408" t="s">
        <v>525</v>
      </c>
    </row>
    <row r="5" spans="1:29" ht="15">
      <c r="A5" s="515"/>
      <c r="B5" s="516"/>
      <c r="C5" s="3436" t="s">
        <v>2931</v>
      </c>
      <c r="D5" s="3437"/>
      <c r="E5" s="3451" t="s">
        <v>2932</v>
      </c>
      <c r="F5" s="3452"/>
      <c r="G5" s="3436" t="s">
        <v>2933</v>
      </c>
      <c r="H5" s="3437"/>
      <c r="I5" s="3436" t="s">
        <v>2934</v>
      </c>
      <c r="J5" s="3437"/>
      <c r="K5" s="514"/>
      <c r="L5" s="2119"/>
      <c r="M5" s="2120"/>
      <c r="N5" s="2120"/>
      <c r="O5" s="2120"/>
      <c r="P5" s="3528"/>
      <c r="Q5" s="3430"/>
      <c r="R5" s="3415"/>
      <c r="S5" s="3416"/>
      <c r="T5" s="3415"/>
      <c r="U5" s="3416"/>
      <c r="V5" s="3433"/>
      <c r="W5" s="3433"/>
      <c r="X5" s="1554"/>
      <c r="Y5" s="3415"/>
      <c r="Z5" s="3416"/>
      <c r="AA5" s="3409"/>
      <c r="AB5" s="3409"/>
      <c r="AC5" s="3409"/>
    </row>
    <row r="6" spans="1:29" ht="15.75" thickBot="1">
      <c r="A6" s="517"/>
      <c r="B6" s="518"/>
      <c r="C6" s="3434" t="s">
        <v>2935</v>
      </c>
      <c r="D6" s="3435"/>
      <c r="E6" s="3453" t="s">
        <v>2935</v>
      </c>
      <c r="F6" s="3454"/>
      <c r="G6" s="3434" t="s">
        <v>2935</v>
      </c>
      <c r="H6" s="3435"/>
      <c r="I6" s="3434" t="s">
        <v>2935</v>
      </c>
      <c r="J6" s="3435"/>
      <c r="K6" s="514" t="s">
        <v>528</v>
      </c>
      <c r="L6" s="2119"/>
      <c r="M6" s="2120"/>
      <c r="N6" s="2120"/>
      <c r="O6" s="2120"/>
      <c r="P6" s="3529"/>
      <c r="Q6" s="3432"/>
      <c r="R6" s="3415"/>
      <c r="S6" s="3416"/>
      <c r="T6" s="3417"/>
      <c r="U6" s="3418"/>
      <c r="V6" s="3433"/>
      <c r="W6" s="3433"/>
      <c r="X6" s="1554"/>
      <c r="Y6" s="3417"/>
      <c r="Z6" s="3418"/>
      <c r="AA6" s="3410"/>
      <c r="AB6" s="3410"/>
      <c r="AC6" s="3410"/>
    </row>
    <row r="7" spans="1:29" s="1216" customFormat="1" ht="15.75" thickBot="1">
      <c r="A7" s="2868"/>
      <c r="B7" s="2875" t="s">
        <v>529</v>
      </c>
      <c r="C7" s="519">
        <f>'数据-取费表'!B2</f>
        <v>43672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0" t="s">
        <v>530</v>
      </c>
      <c r="Q7" s="3420"/>
      <c r="R7" s="1555" t="s">
        <v>8</v>
      </c>
      <c r="S7" s="1556">
        <f t="shared" ref="S7:S15" si="0">F7</f>
        <v>0</v>
      </c>
      <c r="T7" s="1555" t="s">
        <v>8</v>
      </c>
      <c r="U7" s="1556">
        <f t="shared" ref="U7:U15" si="1">H7</f>
        <v>0</v>
      </c>
      <c r="V7" s="1555" t="s">
        <v>8</v>
      </c>
      <c r="W7" s="1556">
        <f t="shared" ref="W7:W15" si="2">J7</f>
        <v>0</v>
      </c>
      <c r="X7" s="1557"/>
      <c r="Y7" s="3411" t="s">
        <v>530</v>
      </c>
      <c r="Z7" s="341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0" t="s">
        <v>533</v>
      </c>
      <c r="Q8" s="3412"/>
      <c r="R8" s="1555" t="s">
        <v>8</v>
      </c>
      <c r="S8" s="1556">
        <f t="shared" si="0"/>
        <v>0</v>
      </c>
      <c r="T8" s="1555" t="s">
        <v>8</v>
      </c>
      <c r="U8" s="1556">
        <f t="shared" si="1"/>
        <v>0</v>
      </c>
      <c r="V8" s="1555" t="s">
        <v>8</v>
      </c>
      <c r="W8" s="1556">
        <f t="shared" si="2"/>
        <v>0</v>
      </c>
      <c r="X8" s="1557"/>
      <c r="Y8" s="3411" t="s">
        <v>533</v>
      </c>
      <c r="Z8" s="341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9" t="s">
        <v>535</v>
      </c>
      <c r="Q9" s="1147" t="str">
        <f t="shared" ref="Q9:Q15" si="6">B9</f>
        <v>用途</v>
      </c>
      <c r="R9" s="1555" t="s">
        <v>8</v>
      </c>
      <c r="S9" s="1556">
        <f t="shared" si="0"/>
        <v>100</v>
      </c>
      <c r="T9" s="1555" t="s">
        <v>8</v>
      </c>
      <c r="U9" s="1556">
        <f t="shared" si="1"/>
        <v>100</v>
      </c>
      <c r="V9" s="1555" t="s">
        <v>8</v>
      </c>
      <c r="W9" s="1556">
        <f t="shared" si="2"/>
        <v>100</v>
      </c>
      <c r="X9" s="1557"/>
      <c r="Y9" s="337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9"/>
      <c r="Q10" s="1147" t="str">
        <f t="shared" si="6"/>
        <v>土地使用年限（年）</v>
      </c>
      <c r="R10" s="1555" t="s">
        <v>8</v>
      </c>
      <c r="S10" s="1556">
        <f t="shared" si="0"/>
        <v>100</v>
      </c>
      <c r="T10" s="1555" t="s">
        <v>8</v>
      </c>
      <c r="U10" s="1556">
        <f t="shared" si="1"/>
        <v>100</v>
      </c>
      <c r="V10" s="1555" t="s">
        <v>8</v>
      </c>
      <c r="W10" s="1556">
        <f t="shared" si="2"/>
        <v>100</v>
      </c>
      <c r="X10" s="1557"/>
      <c r="Y10" s="337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9"/>
      <c r="Q11" s="1147" t="str">
        <f t="shared" si="6"/>
        <v>容积率</v>
      </c>
      <c r="R11" s="1555" t="s">
        <v>8</v>
      </c>
      <c r="S11" s="1556" t="e">
        <f t="shared" si="0"/>
        <v>#N/A</v>
      </c>
      <c r="T11" s="1555" t="s">
        <v>8</v>
      </c>
      <c r="U11" s="1556" t="e">
        <f t="shared" si="1"/>
        <v>#N/A</v>
      </c>
      <c r="V11" s="1555" t="s">
        <v>8</v>
      </c>
      <c r="W11" s="1556" t="e">
        <f t="shared" si="2"/>
        <v>#N/A</v>
      </c>
      <c r="X11" s="1557"/>
      <c r="Y11" s="337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9"/>
      <c r="Q12" s="1147">
        <f t="shared" si="6"/>
        <v>111</v>
      </c>
      <c r="R12" s="1555" t="s">
        <v>8</v>
      </c>
      <c r="S12" s="1556">
        <f t="shared" si="0"/>
        <v>100</v>
      </c>
      <c r="T12" s="1555" t="s">
        <v>8</v>
      </c>
      <c r="U12" s="1556">
        <f t="shared" si="1"/>
        <v>100</v>
      </c>
      <c r="V12" s="1555" t="s">
        <v>8</v>
      </c>
      <c r="W12" s="1556">
        <f t="shared" si="2"/>
        <v>100</v>
      </c>
      <c r="X12" s="1557"/>
      <c r="Y12" s="337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9"/>
      <c r="Q13" s="1147">
        <f t="shared" si="6"/>
        <v>111</v>
      </c>
      <c r="R13" s="1555" t="s">
        <v>8</v>
      </c>
      <c r="S13" s="1556">
        <f t="shared" si="0"/>
        <v>100</v>
      </c>
      <c r="T13" s="1555" t="s">
        <v>8</v>
      </c>
      <c r="U13" s="1556">
        <f t="shared" si="1"/>
        <v>100</v>
      </c>
      <c r="V13" s="1555" t="s">
        <v>8</v>
      </c>
      <c r="W13" s="1556">
        <f t="shared" si="2"/>
        <v>100</v>
      </c>
      <c r="X13" s="1557"/>
      <c r="Y13" s="337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9"/>
      <c r="Q14" s="1147">
        <f t="shared" si="6"/>
        <v>111</v>
      </c>
      <c r="R14" s="1555" t="s">
        <v>8</v>
      </c>
      <c r="S14" s="1556">
        <f t="shared" si="0"/>
        <v>100</v>
      </c>
      <c r="T14" s="1555" t="s">
        <v>8</v>
      </c>
      <c r="U14" s="1556">
        <f t="shared" si="1"/>
        <v>100</v>
      </c>
      <c r="V14" s="1555" t="s">
        <v>8</v>
      </c>
      <c r="W14" s="1556">
        <f t="shared" si="2"/>
        <v>100</v>
      </c>
      <c r="X14" s="1557"/>
      <c r="Y14" s="337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21" t="s">
        <v>540</v>
      </c>
      <c r="Q15" s="1559" t="str">
        <f t="shared" si="6"/>
        <v>办公集聚程度</v>
      </c>
      <c r="R15" s="1560" t="s">
        <v>8</v>
      </c>
      <c r="S15" s="1561">
        <f t="shared" si="0"/>
        <v>100</v>
      </c>
      <c r="T15" s="1560" t="s">
        <v>8</v>
      </c>
      <c r="U15" s="1561">
        <f t="shared" si="1"/>
        <v>100</v>
      </c>
      <c r="V15" s="1560" t="s">
        <v>8</v>
      </c>
      <c r="W15" s="1561">
        <f t="shared" si="2"/>
        <v>100</v>
      </c>
      <c r="X15" s="1554"/>
      <c r="Y15" s="3421"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2"/>
      <c r="Q16" s="1559"/>
      <c r="R16" s="1560"/>
      <c r="S16" s="1561"/>
      <c r="T16" s="1560"/>
      <c r="U16" s="1561"/>
      <c r="V16" s="1560"/>
      <c r="W16" s="1561"/>
      <c r="X16" s="1554"/>
      <c r="Y16" s="3422"/>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2"/>
      <c r="Q17" s="1559" t="str">
        <f>B17</f>
        <v>交通便捷度</v>
      </c>
      <c r="R17" s="1560" t="s">
        <v>8</v>
      </c>
      <c r="S17" s="1561">
        <f>F17</f>
        <v>100</v>
      </c>
      <c r="T17" s="1560" t="s">
        <v>8</v>
      </c>
      <c r="U17" s="1561">
        <f>H17</f>
        <v>100</v>
      </c>
      <c r="V17" s="1560" t="s">
        <v>8</v>
      </c>
      <c r="W17" s="1561">
        <f>J17</f>
        <v>100</v>
      </c>
      <c r="X17" s="1554"/>
      <c r="Y17" s="342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2"/>
      <c r="Q18" s="1559"/>
      <c r="R18" s="1560"/>
      <c r="S18" s="1561"/>
      <c r="T18" s="1560"/>
      <c r="U18" s="1561"/>
      <c r="V18" s="1560"/>
      <c r="W18" s="1561"/>
      <c r="X18" s="1554"/>
      <c r="Y18" s="3422"/>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2"/>
      <c r="Q19" s="1559" t="str">
        <f>B19</f>
        <v>公共配套设施</v>
      </c>
      <c r="R19" s="1560" t="s">
        <v>8</v>
      </c>
      <c r="S19" s="1561">
        <f>F19</f>
        <v>100</v>
      </c>
      <c r="T19" s="1560" t="s">
        <v>8</v>
      </c>
      <c r="U19" s="1561">
        <f>H19</f>
        <v>100</v>
      </c>
      <c r="V19" s="1560" t="s">
        <v>8</v>
      </c>
      <c r="W19" s="1561">
        <f>J19</f>
        <v>100</v>
      </c>
      <c r="X19" s="1554"/>
      <c r="Y19" s="342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2"/>
      <c r="Q20" s="1559"/>
      <c r="R20" s="1560"/>
      <c r="S20" s="1561"/>
      <c r="T20" s="1560"/>
      <c r="U20" s="1561"/>
      <c r="V20" s="1560"/>
      <c r="W20" s="1561"/>
      <c r="X20" s="1554"/>
      <c r="Y20" s="3422"/>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2"/>
      <c r="Q21" s="2544" t="str">
        <f>B21</f>
        <v>基础设施水平</v>
      </c>
      <c r="R21" s="1560" t="s">
        <v>8</v>
      </c>
      <c r="S21" s="1561">
        <f>F21</f>
        <v>100</v>
      </c>
      <c r="T21" s="1560" t="s">
        <v>8</v>
      </c>
      <c r="U21" s="1561">
        <f>H21</f>
        <v>100</v>
      </c>
      <c r="V21" s="1560" t="s">
        <v>8</v>
      </c>
      <c r="W21" s="1561">
        <f>J21</f>
        <v>100</v>
      </c>
      <c r="X21" s="2546"/>
      <c r="Y21" s="3422"/>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2"/>
      <c r="Q22" s="2544"/>
      <c r="R22" s="1560"/>
      <c r="S22" s="1561"/>
      <c r="T22" s="1560"/>
      <c r="U22" s="1561"/>
      <c r="V22" s="1560"/>
      <c r="W22" s="1561"/>
      <c r="X22" s="2546"/>
      <c r="Y22" s="3422"/>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2"/>
      <c r="Q23" s="1559" t="str">
        <f>B23</f>
        <v>环境质量</v>
      </c>
      <c r="R23" s="1560" t="s">
        <v>8</v>
      </c>
      <c r="S23" s="1561">
        <f>F23</f>
        <v>100</v>
      </c>
      <c r="T23" s="1560" t="s">
        <v>8</v>
      </c>
      <c r="U23" s="1561">
        <f>H23</f>
        <v>100</v>
      </c>
      <c r="V23" s="1560" t="s">
        <v>8</v>
      </c>
      <c r="W23" s="1561">
        <f>J23</f>
        <v>100</v>
      </c>
      <c r="X23" s="1554"/>
      <c r="Y23" s="342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2"/>
      <c r="Q24" s="1559"/>
      <c r="R24" s="1560"/>
      <c r="S24" s="1561"/>
      <c r="T24" s="1560"/>
      <c r="U24" s="1561"/>
      <c r="V24" s="1560"/>
      <c r="W24" s="1561"/>
      <c r="X24" s="1554"/>
      <c r="Y24" s="3422"/>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2"/>
      <c r="Q25" s="1559" t="str">
        <f>B25</f>
        <v>毗邻道路的类型与等级</v>
      </c>
      <c r="R25" s="1560" t="s">
        <v>8</v>
      </c>
      <c r="S25" s="1561">
        <f>F25</f>
        <v>100</v>
      </c>
      <c r="T25" s="1560" t="s">
        <v>8</v>
      </c>
      <c r="U25" s="1561">
        <f>H25</f>
        <v>100</v>
      </c>
      <c r="V25" s="1560" t="s">
        <v>8</v>
      </c>
      <c r="W25" s="1561">
        <f>J25</f>
        <v>100</v>
      </c>
      <c r="X25" s="1554"/>
      <c r="Y25" s="342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2"/>
      <c r="Q26" s="1559"/>
      <c r="R26" s="1560"/>
      <c r="S26" s="1561"/>
      <c r="T26" s="1560"/>
      <c r="U26" s="1561"/>
      <c r="V26" s="1560"/>
      <c r="W26" s="1561"/>
      <c r="X26" s="1554"/>
      <c r="Y26" s="3422"/>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2"/>
      <c r="Q27" s="1559" t="str">
        <f t="shared" ref="Q27:Q47" si="11">B27</f>
        <v>楼层</v>
      </c>
      <c r="R27" s="1560" t="s">
        <v>8</v>
      </c>
      <c r="S27" s="1561">
        <f>F27</f>
        <v>100</v>
      </c>
      <c r="T27" s="1560" t="s">
        <v>8</v>
      </c>
      <c r="U27" s="1561">
        <f>H27</f>
        <v>100</v>
      </c>
      <c r="V27" s="1560" t="s">
        <v>8</v>
      </c>
      <c r="W27" s="1561">
        <f>J27</f>
        <v>100</v>
      </c>
      <c r="X27" s="1554"/>
      <c r="Y27" s="3422"/>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2"/>
      <c r="Q28" s="1147" t="str">
        <f t="shared" si="11"/>
        <v>朝向</v>
      </c>
      <c r="R28" s="1555" t="s">
        <v>8</v>
      </c>
      <c r="S28" s="1556">
        <f>F28</f>
        <v>100</v>
      </c>
      <c r="T28" s="1555" t="s">
        <v>8</v>
      </c>
      <c r="U28" s="1556">
        <f>H28</f>
        <v>100</v>
      </c>
      <c r="V28" s="1555" t="s">
        <v>8</v>
      </c>
      <c r="W28" s="1556">
        <f>J28</f>
        <v>100</v>
      </c>
      <c r="X28" s="1557"/>
      <c r="Y28" s="342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2"/>
      <c r="Q29" s="1559">
        <f t="shared" si="11"/>
        <v>111</v>
      </c>
      <c r="R29" s="1560" t="s">
        <v>8</v>
      </c>
      <c r="S29" s="1561">
        <f t="shared" ref="S29:S47" si="12">F29</f>
        <v>100</v>
      </c>
      <c r="T29" s="1560" t="s">
        <v>8</v>
      </c>
      <c r="U29" s="1561">
        <f t="shared" ref="U29:U47" si="13">H29</f>
        <v>100</v>
      </c>
      <c r="V29" s="1560" t="s">
        <v>8</v>
      </c>
      <c r="W29" s="1561">
        <f t="shared" ref="W29:W47" si="14">J29</f>
        <v>100</v>
      </c>
      <c r="X29" s="1554"/>
      <c r="Y29" s="3422"/>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2"/>
      <c r="Q30" s="1559">
        <f t="shared" si="11"/>
        <v>111</v>
      </c>
      <c r="R30" s="1560" t="s">
        <v>8</v>
      </c>
      <c r="S30" s="1561">
        <f t="shared" si="12"/>
        <v>100</v>
      </c>
      <c r="T30" s="1560" t="s">
        <v>8</v>
      </c>
      <c r="U30" s="1561">
        <f t="shared" si="13"/>
        <v>100</v>
      </c>
      <c r="V30" s="1560" t="s">
        <v>8</v>
      </c>
      <c r="W30" s="1561">
        <f t="shared" si="14"/>
        <v>100</v>
      </c>
      <c r="X30" s="1554"/>
      <c r="Y30" s="3422"/>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2"/>
      <c r="Q31" s="1559">
        <f t="shared" si="11"/>
        <v>111</v>
      </c>
      <c r="R31" s="1560" t="s">
        <v>8</v>
      </c>
      <c r="S31" s="1561">
        <f t="shared" si="12"/>
        <v>100</v>
      </c>
      <c r="T31" s="1560" t="s">
        <v>8</v>
      </c>
      <c r="U31" s="1561">
        <f t="shared" si="13"/>
        <v>100</v>
      </c>
      <c r="V31" s="1560" t="s">
        <v>8</v>
      </c>
      <c r="W31" s="1561">
        <f t="shared" si="14"/>
        <v>100</v>
      </c>
      <c r="X31" s="1554"/>
      <c r="Y31" s="3422"/>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2"/>
      <c r="Q32" s="1559">
        <f t="shared" si="11"/>
        <v>111</v>
      </c>
      <c r="R32" s="1560" t="s">
        <v>8</v>
      </c>
      <c r="S32" s="1561">
        <f t="shared" si="12"/>
        <v>100</v>
      </c>
      <c r="T32" s="1560" t="s">
        <v>8</v>
      </c>
      <c r="U32" s="1561">
        <f t="shared" si="13"/>
        <v>100</v>
      </c>
      <c r="V32" s="1560" t="s">
        <v>8</v>
      </c>
      <c r="W32" s="1561">
        <f t="shared" si="14"/>
        <v>100</v>
      </c>
      <c r="X32" s="1554"/>
      <c r="Y32" s="3422"/>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3" t="s">
        <v>550</v>
      </c>
      <c r="Q33" s="1559" t="str">
        <f t="shared" si="11"/>
        <v>建筑类型</v>
      </c>
      <c r="R33" s="1560" t="s">
        <v>8</v>
      </c>
      <c r="S33" s="1561">
        <f t="shared" si="12"/>
        <v>100</v>
      </c>
      <c r="T33" s="1560" t="s">
        <v>8</v>
      </c>
      <c r="U33" s="1561">
        <f t="shared" si="13"/>
        <v>100</v>
      </c>
      <c r="V33" s="1560" t="s">
        <v>8</v>
      </c>
      <c r="W33" s="1561">
        <f t="shared" si="14"/>
        <v>100</v>
      </c>
      <c r="X33" s="1554"/>
      <c r="Y33" s="3424"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4"/>
      <c r="Q34" s="1591" t="str">
        <f t="shared" si="11"/>
        <v>项目建筑规模</v>
      </c>
      <c r="R34" s="1564" t="s">
        <v>8</v>
      </c>
      <c r="S34" s="1565" t="e">
        <f t="shared" si="12"/>
        <v>#N/A</v>
      </c>
      <c r="T34" s="1564" t="s">
        <v>8</v>
      </c>
      <c r="U34" s="1565" t="e">
        <f t="shared" si="13"/>
        <v>#N/A</v>
      </c>
      <c r="V34" s="1564" t="s">
        <v>8</v>
      </c>
      <c r="W34" s="1565" t="e">
        <f t="shared" si="14"/>
        <v>#N/A</v>
      </c>
      <c r="X34" s="1566"/>
      <c r="Y34" s="3424"/>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4"/>
      <c r="Q35" s="1559" t="str">
        <f t="shared" si="11"/>
        <v>建筑结构</v>
      </c>
      <c r="R35" s="1560" t="s">
        <v>8</v>
      </c>
      <c r="S35" s="1561">
        <f t="shared" si="12"/>
        <v>100</v>
      </c>
      <c r="T35" s="1560" t="s">
        <v>8</v>
      </c>
      <c r="U35" s="1561">
        <f t="shared" si="13"/>
        <v>100</v>
      </c>
      <c r="V35" s="1560" t="s">
        <v>8</v>
      </c>
      <c r="W35" s="1561">
        <f t="shared" si="14"/>
        <v>100</v>
      </c>
      <c r="X35" s="1554"/>
      <c r="Y35" s="3424"/>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4"/>
      <c r="Q36" s="1559" t="str">
        <f t="shared" si="11"/>
        <v>公共部分装修</v>
      </c>
      <c r="R36" s="1560" t="s">
        <v>8</v>
      </c>
      <c r="S36" s="1561">
        <f t="shared" si="12"/>
        <v>100</v>
      </c>
      <c r="T36" s="1560" t="s">
        <v>8</v>
      </c>
      <c r="U36" s="1561">
        <f t="shared" si="13"/>
        <v>100</v>
      </c>
      <c r="V36" s="1560" t="s">
        <v>8</v>
      </c>
      <c r="W36" s="1561">
        <f t="shared" si="14"/>
        <v>100</v>
      </c>
      <c r="X36" s="1554"/>
      <c r="Y36" s="3424"/>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4"/>
      <c r="Q37" s="1559" t="str">
        <f t="shared" si="11"/>
        <v>成新度</v>
      </c>
      <c r="R37" s="1560" t="s">
        <v>8</v>
      </c>
      <c r="S37" s="1561" t="e">
        <f t="shared" si="12"/>
        <v>#N/A</v>
      </c>
      <c r="T37" s="1560" t="s">
        <v>8</v>
      </c>
      <c r="U37" s="1561" t="e">
        <f t="shared" si="13"/>
        <v>#N/A</v>
      </c>
      <c r="V37" s="1560" t="s">
        <v>8</v>
      </c>
      <c r="W37" s="1561" t="e">
        <f t="shared" si="14"/>
        <v>#N/A</v>
      </c>
      <c r="X37" s="1554"/>
      <c r="Y37" s="3424"/>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4"/>
      <c r="Q38" s="1147" t="str">
        <f t="shared" si="11"/>
        <v>写字楼等级</v>
      </c>
      <c r="R38" s="1555" t="s">
        <v>8</v>
      </c>
      <c r="S38" s="1556">
        <f t="shared" si="12"/>
        <v>100</v>
      </c>
      <c r="T38" s="1555" t="s">
        <v>8</v>
      </c>
      <c r="U38" s="1556">
        <f t="shared" si="13"/>
        <v>100</v>
      </c>
      <c r="V38" s="1555" t="s">
        <v>8</v>
      </c>
      <c r="W38" s="1556">
        <f t="shared" si="14"/>
        <v>100</v>
      </c>
      <c r="X38" s="1557"/>
      <c r="Y38" s="3424"/>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4" t="s">
        <v>550</v>
      </c>
      <c r="Q39" s="1559" t="str">
        <f t="shared" si="11"/>
        <v>物业管理</v>
      </c>
      <c r="R39" s="1560" t="s">
        <v>8</v>
      </c>
      <c r="S39" s="1561">
        <f t="shared" si="12"/>
        <v>100</v>
      </c>
      <c r="T39" s="1560" t="s">
        <v>8</v>
      </c>
      <c r="U39" s="1561">
        <f t="shared" si="13"/>
        <v>100</v>
      </c>
      <c r="V39" s="1560" t="s">
        <v>8</v>
      </c>
      <c r="W39" s="1561">
        <f t="shared" si="14"/>
        <v>100</v>
      </c>
      <c r="X39" s="1554"/>
      <c r="Y39" s="3424"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4"/>
      <c r="Q40" s="1559" t="str">
        <f t="shared" si="11"/>
        <v>市政基础设施</v>
      </c>
      <c r="R40" s="1560" t="s">
        <v>8</v>
      </c>
      <c r="S40" s="1561">
        <f t="shared" si="12"/>
        <v>100</v>
      </c>
      <c r="T40" s="1560" t="s">
        <v>8</v>
      </c>
      <c r="U40" s="1561">
        <f t="shared" si="13"/>
        <v>100</v>
      </c>
      <c r="V40" s="1560" t="s">
        <v>8</v>
      </c>
      <c r="W40" s="1561">
        <f t="shared" si="14"/>
        <v>100</v>
      </c>
      <c r="X40" s="1554"/>
      <c r="Y40" s="3424"/>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4"/>
      <c r="Q41" s="1559" t="str">
        <f t="shared" si="11"/>
        <v>层高</v>
      </c>
      <c r="R41" s="1560" t="s">
        <v>8</v>
      </c>
      <c r="S41" s="1561">
        <f t="shared" si="12"/>
        <v>100</v>
      </c>
      <c r="T41" s="1560" t="s">
        <v>8</v>
      </c>
      <c r="U41" s="1561">
        <f t="shared" si="13"/>
        <v>100</v>
      </c>
      <c r="V41" s="1560" t="s">
        <v>8</v>
      </c>
      <c r="W41" s="1561">
        <f t="shared" si="14"/>
        <v>100</v>
      </c>
      <c r="X41" s="1554"/>
      <c r="Y41" s="3424"/>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4"/>
      <c r="Q42" s="1591" t="str">
        <f t="shared" si="11"/>
        <v>单套建筑面积</v>
      </c>
      <c r="R42" s="1564" t="s">
        <v>8</v>
      </c>
      <c r="S42" s="1565">
        <f t="shared" si="12"/>
        <v>100</v>
      </c>
      <c r="T42" s="1564" t="s">
        <v>8</v>
      </c>
      <c r="U42" s="1565">
        <f t="shared" si="13"/>
        <v>100</v>
      </c>
      <c r="V42" s="1564" t="s">
        <v>8</v>
      </c>
      <c r="W42" s="1565">
        <f t="shared" si="14"/>
        <v>100</v>
      </c>
      <c r="X42" s="1566"/>
      <c r="Y42" s="3424"/>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4"/>
      <c r="Q43" s="1559" t="str">
        <f t="shared" si="11"/>
        <v>内部装修</v>
      </c>
      <c r="R43" s="1560" t="s">
        <v>8</v>
      </c>
      <c r="S43" s="1561">
        <f t="shared" si="12"/>
        <v>100</v>
      </c>
      <c r="T43" s="1560" t="s">
        <v>8</v>
      </c>
      <c r="U43" s="1561">
        <f t="shared" si="13"/>
        <v>100</v>
      </c>
      <c r="V43" s="1560" t="s">
        <v>8</v>
      </c>
      <c r="W43" s="1561">
        <f t="shared" si="14"/>
        <v>100</v>
      </c>
      <c r="X43" s="1554"/>
      <c r="Y43" s="3424"/>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4"/>
      <c r="Q44" s="1559" t="str">
        <f t="shared" si="11"/>
        <v>内部装修维护情况</v>
      </c>
      <c r="R44" s="1560" t="s">
        <v>8</v>
      </c>
      <c r="S44" s="1561">
        <f t="shared" si="12"/>
        <v>100</v>
      </c>
      <c r="T44" s="1560" t="s">
        <v>8</v>
      </c>
      <c r="U44" s="1561">
        <f t="shared" si="13"/>
        <v>100</v>
      </c>
      <c r="V44" s="1560" t="s">
        <v>8</v>
      </c>
      <c r="W44" s="1561">
        <f t="shared" si="14"/>
        <v>100</v>
      </c>
      <c r="X44" s="1554"/>
      <c r="Y44" s="342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4"/>
      <c r="Q45" s="1147">
        <f t="shared" si="11"/>
        <v>111</v>
      </c>
      <c r="R45" s="1555" t="s">
        <v>8</v>
      </c>
      <c r="S45" s="1556">
        <f t="shared" si="12"/>
        <v>100</v>
      </c>
      <c r="T45" s="1555" t="s">
        <v>8</v>
      </c>
      <c r="U45" s="1556">
        <f t="shared" si="13"/>
        <v>100</v>
      </c>
      <c r="V45" s="1555" t="s">
        <v>8</v>
      </c>
      <c r="W45" s="1556">
        <f t="shared" si="14"/>
        <v>100</v>
      </c>
      <c r="X45" s="1557"/>
      <c r="Y45" s="342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4"/>
      <c r="Q46" s="1559">
        <f t="shared" si="11"/>
        <v>111</v>
      </c>
      <c r="R46" s="1560" t="s">
        <v>8</v>
      </c>
      <c r="S46" s="1561">
        <f t="shared" si="12"/>
        <v>100</v>
      </c>
      <c r="T46" s="1560" t="s">
        <v>8</v>
      </c>
      <c r="U46" s="1561">
        <f t="shared" si="13"/>
        <v>100</v>
      </c>
      <c r="V46" s="1560" t="s">
        <v>8</v>
      </c>
      <c r="W46" s="1561">
        <f t="shared" si="14"/>
        <v>100</v>
      </c>
      <c r="X46" s="1554"/>
      <c r="Y46" s="342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1"/>
      <c r="Q47" s="1559">
        <f t="shared" si="11"/>
        <v>111</v>
      </c>
      <c r="R47" s="1560" t="s">
        <v>8</v>
      </c>
      <c r="S47" s="1561">
        <f t="shared" si="12"/>
        <v>100</v>
      </c>
      <c r="T47" s="1560" t="s">
        <v>8</v>
      </c>
      <c r="U47" s="1561">
        <f t="shared" si="13"/>
        <v>100</v>
      </c>
      <c r="V47" s="1560" t="s">
        <v>8</v>
      </c>
      <c r="W47" s="1561">
        <f t="shared" si="14"/>
        <v>100</v>
      </c>
      <c r="X47" s="1554"/>
      <c r="Y47" s="350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41" t="str">
        <f>A48</f>
        <v>成交单价（元/平方米）</v>
      </c>
      <c r="Q48" s="3419"/>
      <c r="R48" s="3499">
        <f>E48</f>
        <v>0</v>
      </c>
      <c r="S48" s="3499"/>
      <c r="T48" s="3499">
        <f>G48</f>
        <v>0</v>
      </c>
      <c r="U48" s="3499"/>
      <c r="V48" s="3499">
        <f>I48</f>
        <v>0</v>
      </c>
      <c r="W48" s="3499"/>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41" t="str">
        <f>A49</f>
        <v>比较价格（元/平方米）</v>
      </c>
      <c r="Q49" s="3419"/>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30" t="str">
        <f>A50</f>
        <v>估价对象XX用房的比较价格（楼面单价，元/平方米）</v>
      </c>
      <c r="Q50" s="3441"/>
      <c r="R50" s="3500" t="e">
        <f>IF(F1="售价",ROUND(AVERAGE(R49:V49),0),ROUND(AVERAGE(R49:V49),1))</f>
        <v>#DIV/0!</v>
      </c>
      <c r="S50" s="3500"/>
      <c r="T50" s="3500"/>
      <c r="U50" s="3500"/>
      <c r="V50" s="3500"/>
      <c r="W50" s="3500"/>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5" t="s">
        <v>522</v>
      </c>
      <c r="D4" s="3426"/>
      <c r="E4" s="3449" t="s">
        <v>523</v>
      </c>
      <c r="F4" s="3450"/>
      <c r="G4" s="3425" t="s">
        <v>524</v>
      </c>
      <c r="H4" s="3426"/>
      <c r="I4" s="3425" t="s">
        <v>525</v>
      </c>
      <c r="J4" s="3426"/>
      <c r="K4" s="514" t="s">
        <v>526</v>
      </c>
      <c r="L4" s="2119"/>
      <c r="M4" s="2120"/>
      <c r="N4" s="2120"/>
      <c r="O4" s="2120"/>
      <c r="P4" s="3427" t="s">
        <v>527</v>
      </c>
      <c r="Q4" s="3428"/>
      <c r="R4" s="3413" t="s">
        <v>523</v>
      </c>
      <c r="S4" s="3414"/>
      <c r="T4" s="3413" t="s">
        <v>524</v>
      </c>
      <c r="U4" s="3414"/>
      <c r="V4" s="3433" t="s">
        <v>525</v>
      </c>
      <c r="W4" s="3433"/>
      <c r="X4" s="1554"/>
      <c r="Y4" s="3413" t="s">
        <v>527</v>
      </c>
      <c r="Z4" s="3414"/>
      <c r="AA4" s="3408" t="s">
        <v>523</v>
      </c>
      <c r="AB4" s="3409" t="s">
        <v>524</v>
      </c>
      <c r="AC4" s="3408" t="s">
        <v>525</v>
      </c>
    </row>
    <row r="5" spans="1:29" ht="15">
      <c r="A5" s="515"/>
      <c r="B5" s="516"/>
      <c r="C5" s="3436" t="s">
        <v>2931</v>
      </c>
      <c r="D5" s="3437"/>
      <c r="E5" s="3451" t="s">
        <v>2932</v>
      </c>
      <c r="F5" s="3452"/>
      <c r="G5" s="3436" t="s">
        <v>2933</v>
      </c>
      <c r="H5" s="3437"/>
      <c r="I5" s="3436" t="s">
        <v>2934</v>
      </c>
      <c r="J5" s="3437"/>
      <c r="K5" s="514"/>
      <c r="L5" s="2119"/>
      <c r="M5" s="2120"/>
      <c r="N5" s="2120"/>
      <c r="O5" s="2120"/>
      <c r="P5" s="3429"/>
      <c r="Q5" s="3430"/>
      <c r="R5" s="3415"/>
      <c r="S5" s="3416"/>
      <c r="T5" s="3415"/>
      <c r="U5" s="3416"/>
      <c r="V5" s="3433"/>
      <c r="W5" s="3433"/>
      <c r="X5" s="1554"/>
      <c r="Y5" s="3415"/>
      <c r="Z5" s="3416"/>
      <c r="AA5" s="3409"/>
      <c r="AB5" s="3409"/>
      <c r="AC5" s="3409"/>
    </row>
    <row r="6" spans="1:29" ht="15.75" thickBot="1">
      <c r="A6" s="517"/>
      <c r="B6" s="518"/>
      <c r="C6" s="3434" t="s">
        <v>2935</v>
      </c>
      <c r="D6" s="3435"/>
      <c r="E6" s="3453" t="s">
        <v>2935</v>
      </c>
      <c r="F6" s="3454"/>
      <c r="G6" s="3434" t="s">
        <v>2935</v>
      </c>
      <c r="H6" s="3435"/>
      <c r="I6" s="3434" t="s">
        <v>2935</v>
      </c>
      <c r="J6" s="3435"/>
      <c r="K6" s="514" t="s">
        <v>528</v>
      </c>
      <c r="L6" s="2119"/>
      <c r="M6" s="2120"/>
      <c r="N6" s="2120"/>
      <c r="O6" s="2120"/>
      <c r="P6" s="3431"/>
      <c r="Q6" s="3432"/>
      <c r="R6" s="3415"/>
      <c r="S6" s="3416"/>
      <c r="T6" s="3417"/>
      <c r="U6" s="3418"/>
      <c r="V6" s="3433"/>
      <c r="W6" s="3433"/>
      <c r="X6" s="1554"/>
      <c r="Y6" s="3417"/>
      <c r="Z6" s="3418"/>
      <c r="AA6" s="3410"/>
      <c r="AB6" s="3410"/>
      <c r="AC6" s="3410"/>
    </row>
    <row r="7" spans="1:29" s="1216" customFormat="1" ht="15.75" thickBot="1">
      <c r="A7" s="2868"/>
      <c r="B7" s="2875" t="s">
        <v>529</v>
      </c>
      <c r="C7" s="519">
        <f>'数据-取费表'!B2</f>
        <v>43672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1" t="s">
        <v>530</v>
      </c>
      <c r="Q7" s="3420"/>
      <c r="R7" s="1555" t="s">
        <v>8</v>
      </c>
      <c r="S7" s="1556">
        <f t="shared" ref="S7:S15" si="0">F7</f>
        <v>0</v>
      </c>
      <c r="T7" s="1555" t="s">
        <v>8</v>
      </c>
      <c r="U7" s="1556">
        <f t="shared" ref="U7:U15" si="1">H7</f>
        <v>0</v>
      </c>
      <c r="V7" s="1555" t="s">
        <v>8</v>
      </c>
      <c r="W7" s="1556">
        <f t="shared" ref="W7:W15" si="2">J7</f>
        <v>0</v>
      </c>
      <c r="X7" s="1557"/>
      <c r="Y7" s="3411" t="s">
        <v>530</v>
      </c>
      <c r="Z7" s="341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1" t="s">
        <v>533</v>
      </c>
      <c r="Q8" s="3412"/>
      <c r="R8" s="1555" t="s">
        <v>8</v>
      </c>
      <c r="S8" s="1556">
        <f t="shared" si="0"/>
        <v>0</v>
      </c>
      <c r="T8" s="1555" t="s">
        <v>8</v>
      </c>
      <c r="U8" s="1556">
        <f t="shared" si="1"/>
        <v>0</v>
      </c>
      <c r="V8" s="1555" t="s">
        <v>8</v>
      </c>
      <c r="W8" s="1556">
        <f t="shared" si="2"/>
        <v>0</v>
      </c>
      <c r="X8" s="1557"/>
      <c r="Y8" s="3411" t="s">
        <v>533</v>
      </c>
      <c r="Z8" s="341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9" t="s">
        <v>535</v>
      </c>
      <c r="Q9" s="1147" t="str">
        <f t="shared" ref="Q9:Q15" si="6">B9</f>
        <v>用途</v>
      </c>
      <c r="R9" s="1555" t="s">
        <v>8</v>
      </c>
      <c r="S9" s="1556">
        <f t="shared" si="0"/>
        <v>100</v>
      </c>
      <c r="T9" s="1555" t="s">
        <v>8</v>
      </c>
      <c r="U9" s="1556">
        <f t="shared" si="1"/>
        <v>100</v>
      </c>
      <c r="V9" s="1555" t="s">
        <v>8</v>
      </c>
      <c r="W9" s="1556">
        <f t="shared" si="2"/>
        <v>100</v>
      </c>
      <c r="X9" s="1557"/>
      <c r="Y9" s="337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9"/>
      <c r="Q10" s="1147" t="str">
        <f t="shared" si="6"/>
        <v>土地使用年限（年）</v>
      </c>
      <c r="R10" s="1555" t="s">
        <v>8</v>
      </c>
      <c r="S10" s="1556">
        <f t="shared" si="0"/>
        <v>100</v>
      </c>
      <c r="T10" s="1555" t="s">
        <v>8</v>
      </c>
      <c r="U10" s="1556">
        <f t="shared" si="1"/>
        <v>100</v>
      </c>
      <c r="V10" s="1555" t="s">
        <v>8</v>
      </c>
      <c r="W10" s="1556">
        <f t="shared" si="2"/>
        <v>100</v>
      </c>
      <c r="X10" s="1557"/>
      <c r="Y10" s="337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9"/>
      <c r="Q11" s="1147" t="str">
        <f t="shared" si="6"/>
        <v>容积率</v>
      </c>
      <c r="R11" s="1555" t="s">
        <v>8</v>
      </c>
      <c r="S11" s="1556" t="e">
        <f t="shared" si="0"/>
        <v>#N/A</v>
      </c>
      <c r="T11" s="1555" t="s">
        <v>8</v>
      </c>
      <c r="U11" s="1556" t="e">
        <f t="shared" si="1"/>
        <v>#N/A</v>
      </c>
      <c r="V11" s="1555" t="s">
        <v>8</v>
      </c>
      <c r="W11" s="1556" t="e">
        <f t="shared" si="2"/>
        <v>#N/A</v>
      </c>
      <c r="X11" s="1557"/>
      <c r="Y11" s="337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9"/>
      <c r="Q12" s="1147">
        <f t="shared" si="6"/>
        <v>111</v>
      </c>
      <c r="R12" s="1555" t="s">
        <v>8</v>
      </c>
      <c r="S12" s="1556">
        <f t="shared" si="0"/>
        <v>100</v>
      </c>
      <c r="T12" s="1555" t="s">
        <v>8</v>
      </c>
      <c r="U12" s="1556">
        <f t="shared" si="1"/>
        <v>100</v>
      </c>
      <c r="V12" s="1555" t="s">
        <v>8</v>
      </c>
      <c r="W12" s="1556">
        <f t="shared" si="2"/>
        <v>100</v>
      </c>
      <c r="X12" s="1557"/>
      <c r="Y12" s="337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9"/>
      <c r="Q13" s="1147">
        <f t="shared" si="6"/>
        <v>111</v>
      </c>
      <c r="R13" s="1555" t="s">
        <v>8</v>
      </c>
      <c r="S13" s="1556">
        <f t="shared" si="0"/>
        <v>100</v>
      </c>
      <c r="T13" s="1555" t="s">
        <v>8</v>
      </c>
      <c r="U13" s="1556">
        <f t="shared" si="1"/>
        <v>100</v>
      </c>
      <c r="V13" s="1555" t="s">
        <v>8</v>
      </c>
      <c r="W13" s="1556">
        <f t="shared" si="2"/>
        <v>100</v>
      </c>
      <c r="X13" s="1557"/>
      <c r="Y13" s="337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9"/>
      <c r="Q14" s="1147">
        <f t="shared" si="6"/>
        <v>111</v>
      </c>
      <c r="R14" s="1555" t="s">
        <v>8</v>
      </c>
      <c r="S14" s="1556">
        <f t="shared" si="0"/>
        <v>100</v>
      </c>
      <c r="T14" s="1555" t="s">
        <v>8</v>
      </c>
      <c r="U14" s="1556">
        <f t="shared" si="1"/>
        <v>100</v>
      </c>
      <c r="V14" s="1555" t="s">
        <v>8</v>
      </c>
      <c r="W14" s="1556">
        <f t="shared" si="2"/>
        <v>100</v>
      </c>
      <c r="X14" s="1557"/>
      <c r="Y14" s="337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21" t="s">
        <v>540</v>
      </c>
      <c r="Q15" s="1559" t="str">
        <f t="shared" si="6"/>
        <v>产业集聚程度</v>
      </c>
      <c r="R15" s="1560" t="s">
        <v>8</v>
      </c>
      <c r="S15" s="1561">
        <f t="shared" si="0"/>
        <v>100</v>
      </c>
      <c r="T15" s="1560" t="s">
        <v>8</v>
      </c>
      <c r="U15" s="1561">
        <f t="shared" si="1"/>
        <v>100</v>
      </c>
      <c r="V15" s="1560" t="s">
        <v>8</v>
      </c>
      <c r="W15" s="1561">
        <f t="shared" si="2"/>
        <v>100</v>
      </c>
      <c r="X15" s="1554"/>
      <c r="Y15" s="3421"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2"/>
      <c r="Q16" s="1559"/>
      <c r="R16" s="1560"/>
      <c r="S16" s="1561"/>
      <c r="T16" s="1560"/>
      <c r="U16" s="1561"/>
      <c r="V16" s="1560"/>
      <c r="W16" s="1561"/>
      <c r="X16" s="1554"/>
      <c r="Y16" s="3422"/>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2"/>
      <c r="Q17" s="1559" t="str">
        <f>B17</f>
        <v>交通便捷度</v>
      </c>
      <c r="R17" s="1560" t="s">
        <v>8</v>
      </c>
      <c r="S17" s="1561">
        <f>F17</f>
        <v>100</v>
      </c>
      <c r="T17" s="1560" t="s">
        <v>8</v>
      </c>
      <c r="U17" s="1561">
        <f>H17</f>
        <v>100</v>
      </c>
      <c r="V17" s="1560" t="s">
        <v>8</v>
      </c>
      <c r="W17" s="1561">
        <f>J17</f>
        <v>100</v>
      </c>
      <c r="X17" s="1554"/>
      <c r="Y17" s="342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2"/>
      <c r="Q18" s="1559"/>
      <c r="R18" s="1560"/>
      <c r="S18" s="1561"/>
      <c r="T18" s="1560"/>
      <c r="U18" s="1561"/>
      <c r="V18" s="1560"/>
      <c r="W18" s="1561"/>
      <c r="X18" s="1554"/>
      <c r="Y18" s="3422"/>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2"/>
      <c r="Q19" s="1559" t="str">
        <f>B19</f>
        <v>公共配套设施</v>
      </c>
      <c r="R19" s="1560" t="s">
        <v>8</v>
      </c>
      <c r="S19" s="1561">
        <f>F19</f>
        <v>100</v>
      </c>
      <c r="T19" s="1560" t="s">
        <v>8</v>
      </c>
      <c r="U19" s="1561">
        <f>H19</f>
        <v>100</v>
      </c>
      <c r="V19" s="1560" t="s">
        <v>8</v>
      </c>
      <c r="W19" s="1561">
        <f>J19</f>
        <v>100</v>
      </c>
      <c r="X19" s="1554"/>
      <c r="Y19" s="342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2"/>
      <c r="Q20" s="1559"/>
      <c r="R20" s="1560"/>
      <c r="S20" s="1561"/>
      <c r="T20" s="1560"/>
      <c r="U20" s="1561"/>
      <c r="V20" s="1560"/>
      <c r="W20" s="1561"/>
      <c r="X20" s="1554"/>
      <c r="Y20" s="3422"/>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2"/>
      <c r="Q21" s="2544" t="str">
        <f>B21</f>
        <v>基础设施水平</v>
      </c>
      <c r="R21" s="1560" t="s">
        <v>8</v>
      </c>
      <c r="S21" s="1561">
        <f>F21</f>
        <v>100</v>
      </c>
      <c r="T21" s="1560" t="s">
        <v>8</v>
      </c>
      <c r="U21" s="1561">
        <f>H21</f>
        <v>100</v>
      </c>
      <c r="V21" s="1560" t="s">
        <v>8</v>
      </c>
      <c r="W21" s="1561">
        <f>J21</f>
        <v>100</v>
      </c>
      <c r="X21" s="2546"/>
      <c r="Y21" s="3422"/>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2"/>
      <c r="Q22" s="2544"/>
      <c r="R22" s="1560"/>
      <c r="S22" s="1561"/>
      <c r="T22" s="1560"/>
      <c r="U22" s="1561"/>
      <c r="V22" s="1560"/>
      <c r="W22" s="1561"/>
      <c r="X22" s="2546"/>
      <c r="Y22" s="3422"/>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2"/>
      <c r="Q23" s="1559" t="str">
        <f>B23</f>
        <v>环境质量</v>
      </c>
      <c r="R23" s="1560" t="s">
        <v>8</v>
      </c>
      <c r="S23" s="1561">
        <f>F23</f>
        <v>100</v>
      </c>
      <c r="T23" s="1560" t="s">
        <v>8</v>
      </c>
      <c r="U23" s="1561">
        <f>H23</f>
        <v>100</v>
      </c>
      <c r="V23" s="1560" t="s">
        <v>8</v>
      </c>
      <c r="W23" s="1561">
        <f>J23</f>
        <v>100</v>
      </c>
      <c r="X23" s="1554"/>
      <c r="Y23" s="342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2"/>
      <c r="Q24" s="1559"/>
      <c r="R24" s="1560"/>
      <c r="S24" s="1561"/>
      <c r="T24" s="1560"/>
      <c r="U24" s="1561"/>
      <c r="V24" s="1560"/>
      <c r="W24" s="1561"/>
      <c r="X24" s="1554"/>
      <c r="Y24" s="342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2"/>
      <c r="Q25" s="1559">
        <f>B25</f>
        <v>111</v>
      </c>
      <c r="R25" s="1560" t="s">
        <v>8</v>
      </c>
      <c r="S25" s="1561">
        <f>F25</f>
        <v>100</v>
      </c>
      <c r="T25" s="1560" t="s">
        <v>8</v>
      </c>
      <c r="U25" s="1561">
        <f>H25</f>
        <v>100</v>
      </c>
      <c r="V25" s="1560" t="s">
        <v>8</v>
      </c>
      <c r="W25" s="1561">
        <f>J25</f>
        <v>100</v>
      </c>
      <c r="X25" s="1554"/>
      <c r="Y25" s="342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2"/>
      <c r="Q26" s="1559">
        <f t="shared" ref="Q26:Q40" si="11">B26</f>
        <v>111</v>
      </c>
      <c r="R26" s="1560" t="s">
        <v>8</v>
      </c>
      <c r="S26" s="1561">
        <f>F26</f>
        <v>100</v>
      </c>
      <c r="T26" s="1560" t="s">
        <v>8</v>
      </c>
      <c r="U26" s="1561">
        <f>H26</f>
        <v>100</v>
      </c>
      <c r="V26" s="1560" t="s">
        <v>8</v>
      </c>
      <c r="W26" s="1561">
        <f>J26</f>
        <v>100</v>
      </c>
      <c r="X26" s="1554"/>
      <c r="Y26" s="342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2"/>
      <c r="Q27" s="1147">
        <f t="shared" si="11"/>
        <v>111</v>
      </c>
      <c r="R27" s="1555" t="s">
        <v>8</v>
      </c>
      <c r="S27" s="1556">
        <f>F27</f>
        <v>100</v>
      </c>
      <c r="T27" s="1555" t="s">
        <v>8</v>
      </c>
      <c r="U27" s="1556">
        <f>H27</f>
        <v>100</v>
      </c>
      <c r="V27" s="1555" t="s">
        <v>8</v>
      </c>
      <c r="W27" s="1556">
        <f>J27</f>
        <v>100</v>
      </c>
      <c r="X27" s="1557"/>
      <c r="Y27" s="342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2"/>
      <c r="Q28" s="1559">
        <f t="shared" si="11"/>
        <v>111</v>
      </c>
      <c r="R28" s="1560" t="s">
        <v>8</v>
      </c>
      <c r="S28" s="1561">
        <f t="shared" ref="S28:S40" si="12">F28</f>
        <v>100</v>
      </c>
      <c r="T28" s="1560" t="s">
        <v>8</v>
      </c>
      <c r="U28" s="1561">
        <f t="shared" ref="U28:U40" si="13">H28</f>
        <v>100</v>
      </c>
      <c r="V28" s="1560" t="s">
        <v>8</v>
      </c>
      <c r="W28" s="1561">
        <f t="shared" ref="W28:W40" si="14">J28</f>
        <v>100</v>
      </c>
      <c r="X28" s="1554"/>
      <c r="Y28" s="3422"/>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3" t="s">
        <v>550</v>
      </c>
      <c r="Q29" s="1559" t="str">
        <f t="shared" si="11"/>
        <v>建筑类型</v>
      </c>
      <c r="R29" s="1560" t="s">
        <v>8</v>
      </c>
      <c r="S29" s="1561">
        <f t="shared" si="12"/>
        <v>100</v>
      </c>
      <c r="T29" s="1560" t="s">
        <v>8</v>
      </c>
      <c r="U29" s="1561">
        <f t="shared" si="13"/>
        <v>100</v>
      </c>
      <c r="V29" s="1560" t="s">
        <v>8</v>
      </c>
      <c r="W29" s="1561">
        <f t="shared" si="14"/>
        <v>100</v>
      </c>
      <c r="X29" s="1554"/>
      <c r="Y29" s="3424"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4"/>
      <c r="Q30" s="1591" t="str">
        <f t="shared" si="11"/>
        <v>项目建筑规模</v>
      </c>
      <c r="R30" s="1564" t="s">
        <v>8</v>
      </c>
      <c r="S30" s="1565" t="e">
        <f t="shared" si="12"/>
        <v>#N/A</v>
      </c>
      <c r="T30" s="1564" t="s">
        <v>8</v>
      </c>
      <c r="U30" s="1565" t="e">
        <f t="shared" si="13"/>
        <v>#N/A</v>
      </c>
      <c r="V30" s="1564" t="s">
        <v>8</v>
      </c>
      <c r="W30" s="1565" t="e">
        <f t="shared" si="14"/>
        <v>#N/A</v>
      </c>
      <c r="X30" s="1566"/>
      <c r="Y30" s="3424"/>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4"/>
      <c r="Q31" s="1559" t="str">
        <f t="shared" si="11"/>
        <v>建筑结构</v>
      </c>
      <c r="R31" s="1560" t="s">
        <v>8</v>
      </c>
      <c r="S31" s="1561">
        <f t="shared" si="12"/>
        <v>100</v>
      </c>
      <c r="T31" s="1560" t="s">
        <v>8</v>
      </c>
      <c r="U31" s="1561">
        <f t="shared" si="13"/>
        <v>100</v>
      </c>
      <c r="V31" s="1560" t="s">
        <v>8</v>
      </c>
      <c r="W31" s="1561">
        <f t="shared" si="14"/>
        <v>100</v>
      </c>
      <c r="X31" s="1554"/>
      <c r="Y31" s="3424"/>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4"/>
      <c r="Q32" s="1559" t="str">
        <f t="shared" si="11"/>
        <v>公共部分装修</v>
      </c>
      <c r="R32" s="1560" t="s">
        <v>8</v>
      </c>
      <c r="S32" s="1561">
        <f t="shared" si="12"/>
        <v>100</v>
      </c>
      <c r="T32" s="1560" t="s">
        <v>8</v>
      </c>
      <c r="U32" s="1561">
        <f t="shared" si="13"/>
        <v>100</v>
      </c>
      <c r="V32" s="1560" t="s">
        <v>8</v>
      </c>
      <c r="W32" s="1561">
        <f t="shared" si="14"/>
        <v>100</v>
      </c>
      <c r="X32" s="1554"/>
      <c r="Y32" s="3424"/>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4"/>
      <c r="Q33" s="1559" t="str">
        <f t="shared" si="11"/>
        <v>成新度</v>
      </c>
      <c r="R33" s="1560" t="s">
        <v>8</v>
      </c>
      <c r="S33" s="1561" t="e">
        <f t="shared" si="12"/>
        <v>#N/A</v>
      </c>
      <c r="T33" s="1560" t="s">
        <v>8</v>
      </c>
      <c r="U33" s="1561" t="e">
        <f t="shared" si="13"/>
        <v>#N/A</v>
      </c>
      <c r="V33" s="1560" t="s">
        <v>8</v>
      </c>
      <c r="W33" s="1561" t="e">
        <f t="shared" si="14"/>
        <v>#N/A</v>
      </c>
      <c r="X33" s="1554"/>
      <c r="Y33" s="3424"/>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4"/>
      <c r="Q34" s="1147" t="str">
        <f t="shared" si="11"/>
        <v>物业管理</v>
      </c>
      <c r="R34" s="1555" t="s">
        <v>8</v>
      </c>
      <c r="S34" s="1556">
        <f t="shared" si="12"/>
        <v>100</v>
      </c>
      <c r="T34" s="1555" t="s">
        <v>8</v>
      </c>
      <c r="U34" s="1556">
        <f t="shared" si="13"/>
        <v>100</v>
      </c>
      <c r="V34" s="1555" t="s">
        <v>8</v>
      </c>
      <c r="W34" s="1556">
        <f t="shared" si="14"/>
        <v>100</v>
      </c>
      <c r="X34" s="1557"/>
      <c r="Y34" s="3424"/>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4" t="s">
        <v>550</v>
      </c>
      <c r="Q35" s="1559" t="str">
        <f t="shared" si="11"/>
        <v>市政基础设施</v>
      </c>
      <c r="R35" s="1560" t="s">
        <v>8</v>
      </c>
      <c r="S35" s="1561">
        <f t="shared" si="12"/>
        <v>100</v>
      </c>
      <c r="T35" s="1560" t="s">
        <v>8</v>
      </c>
      <c r="U35" s="1561">
        <f t="shared" si="13"/>
        <v>100</v>
      </c>
      <c r="V35" s="1560" t="s">
        <v>8</v>
      </c>
      <c r="W35" s="1561">
        <f t="shared" si="14"/>
        <v>100</v>
      </c>
      <c r="X35" s="1554"/>
      <c r="Y35" s="3424"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4"/>
      <c r="Q36" s="1559" t="str">
        <f t="shared" si="11"/>
        <v>内部装修</v>
      </c>
      <c r="R36" s="1560" t="s">
        <v>8</v>
      </c>
      <c r="S36" s="1561">
        <f t="shared" si="12"/>
        <v>100</v>
      </c>
      <c r="T36" s="1560" t="s">
        <v>8</v>
      </c>
      <c r="U36" s="1561">
        <f t="shared" si="13"/>
        <v>100</v>
      </c>
      <c r="V36" s="1560" t="s">
        <v>8</v>
      </c>
      <c r="W36" s="1561">
        <f t="shared" si="14"/>
        <v>100</v>
      </c>
      <c r="X36" s="1554"/>
      <c r="Y36" s="3424"/>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4"/>
      <c r="Q37" s="1559" t="str">
        <f t="shared" si="11"/>
        <v>内部装修状况</v>
      </c>
      <c r="R37" s="1560" t="s">
        <v>8</v>
      </c>
      <c r="S37" s="1561">
        <f t="shared" si="12"/>
        <v>100</v>
      </c>
      <c r="T37" s="1560" t="s">
        <v>8</v>
      </c>
      <c r="U37" s="1561">
        <f t="shared" si="13"/>
        <v>100</v>
      </c>
      <c r="V37" s="1560" t="s">
        <v>8</v>
      </c>
      <c r="W37" s="1561">
        <f t="shared" si="14"/>
        <v>100</v>
      </c>
      <c r="X37" s="1554"/>
      <c r="Y37" s="342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4"/>
      <c r="Q38" s="1591">
        <f t="shared" si="11"/>
        <v>111</v>
      </c>
      <c r="R38" s="1564" t="s">
        <v>8</v>
      </c>
      <c r="S38" s="1565">
        <f t="shared" si="12"/>
        <v>100</v>
      </c>
      <c r="T38" s="1564" t="s">
        <v>8</v>
      </c>
      <c r="U38" s="1565">
        <f t="shared" si="13"/>
        <v>100</v>
      </c>
      <c r="V38" s="1564" t="s">
        <v>8</v>
      </c>
      <c r="W38" s="1565">
        <f t="shared" si="14"/>
        <v>100</v>
      </c>
      <c r="X38" s="1566"/>
      <c r="Y38" s="342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4"/>
      <c r="Q39" s="1559">
        <f t="shared" si="11"/>
        <v>111</v>
      </c>
      <c r="R39" s="1560" t="s">
        <v>8</v>
      </c>
      <c r="S39" s="1561">
        <f t="shared" si="12"/>
        <v>100</v>
      </c>
      <c r="T39" s="1560" t="s">
        <v>8</v>
      </c>
      <c r="U39" s="1561">
        <f t="shared" si="13"/>
        <v>100</v>
      </c>
      <c r="V39" s="1560" t="s">
        <v>8</v>
      </c>
      <c r="W39" s="1561">
        <f t="shared" si="14"/>
        <v>100</v>
      </c>
      <c r="X39" s="1554"/>
      <c r="Y39" s="342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1"/>
      <c r="Q40" s="1559">
        <f t="shared" si="11"/>
        <v>111</v>
      </c>
      <c r="R40" s="1560" t="s">
        <v>8</v>
      </c>
      <c r="S40" s="1561">
        <f t="shared" si="12"/>
        <v>100</v>
      </c>
      <c r="T40" s="1560" t="s">
        <v>8</v>
      </c>
      <c r="U40" s="1561">
        <f t="shared" si="13"/>
        <v>100</v>
      </c>
      <c r="V40" s="1560" t="s">
        <v>8</v>
      </c>
      <c r="W40" s="1561">
        <f t="shared" si="14"/>
        <v>100</v>
      </c>
      <c r="X40" s="1554"/>
      <c r="Y40" s="350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9" t="str">
        <f>A41</f>
        <v>成交单价（元/平方米）</v>
      </c>
      <c r="Q41" s="3419"/>
      <c r="R41" s="3499">
        <f>E41</f>
        <v>0</v>
      </c>
      <c r="S41" s="3499"/>
      <c r="T41" s="3499">
        <f>G41</f>
        <v>0</v>
      </c>
      <c r="U41" s="3499"/>
      <c r="V41" s="3499">
        <f>I41</f>
        <v>0</v>
      </c>
      <c r="W41" s="3499"/>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19" t="str">
        <f>A42</f>
        <v>比较价格（元/平方米）</v>
      </c>
      <c r="Q42" s="3419"/>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40" t="str">
        <f>A43</f>
        <v>估价对象XX用房的比较价格（楼面单价，元/平方米）</v>
      </c>
      <c r="Q43" s="3441"/>
      <c r="R43" s="3500" t="e">
        <f>IF(F1="售价",ROUND(AVERAGE(R42:V42),0),ROUND(AVERAGE(R42:V42),1))</f>
        <v>#DIV/0!</v>
      </c>
      <c r="S43" s="3500"/>
      <c r="T43" s="3500"/>
      <c r="U43" s="3500"/>
      <c r="V43" s="3500"/>
      <c r="W43" s="3500"/>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5" t="s">
        <v>798</v>
      </c>
      <c r="D4" s="3426"/>
      <c r="E4" s="3425" t="s">
        <v>799</v>
      </c>
      <c r="F4" s="3426"/>
      <c r="G4" s="3425" t="s">
        <v>800</v>
      </c>
      <c r="H4" s="3426"/>
      <c r="I4" s="3425" t="s">
        <v>801</v>
      </c>
      <c r="J4" s="3426"/>
      <c r="K4" s="514" t="s">
        <v>802</v>
      </c>
      <c r="L4" s="2119"/>
      <c r="M4" s="2120"/>
      <c r="N4" s="2120"/>
      <c r="O4" s="2120"/>
      <c r="P4" s="3427" t="s">
        <v>803</v>
      </c>
      <c r="Q4" s="3428"/>
      <c r="R4" s="3413" t="s">
        <v>799</v>
      </c>
      <c r="S4" s="3414"/>
      <c r="T4" s="3413" t="s">
        <v>800</v>
      </c>
      <c r="U4" s="3414"/>
      <c r="V4" s="3433" t="s">
        <v>801</v>
      </c>
      <c r="W4" s="3433"/>
      <c r="X4" s="1554"/>
      <c r="Y4" s="3413" t="s">
        <v>803</v>
      </c>
      <c r="Z4" s="3414"/>
      <c r="AA4" s="3408" t="s">
        <v>799</v>
      </c>
      <c r="AB4" s="3409" t="s">
        <v>800</v>
      </c>
      <c r="AC4" s="3408" t="s">
        <v>801</v>
      </c>
    </row>
    <row r="5" spans="1:29" ht="15">
      <c r="A5" s="515"/>
      <c r="B5" s="516"/>
      <c r="C5" s="3436" t="s">
        <v>2931</v>
      </c>
      <c r="D5" s="3437"/>
      <c r="E5" s="3436" t="s">
        <v>2932</v>
      </c>
      <c r="F5" s="3437"/>
      <c r="G5" s="3436" t="s">
        <v>2933</v>
      </c>
      <c r="H5" s="3437"/>
      <c r="I5" s="3436" t="s">
        <v>2934</v>
      </c>
      <c r="J5" s="3437"/>
      <c r="K5" s="514"/>
      <c r="L5" s="2119"/>
      <c r="M5" s="2120"/>
      <c r="N5" s="2120"/>
      <c r="O5" s="2120"/>
      <c r="P5" s="3429"/>
      <c r="Q5" s="3430"/>
      <c r="R5" s="3415"/>
      <c r="S5" s="3416"/>
      <c r="T5" s="3415"/>
      <c r="U5" s="3416"/>
      <c r="V5" s="3433"/>
      <c r="W5" s="3433"/>
      <c r="X5" s="1554"/>
      <c r="Y5" s="3415"/>
      <c r="Z5" s="3416"/>
      <c r="AA5" s="3409"/>
      <c r="AB5" s="3409"/>
      <c r="AC5" s="3409"/>
    </row>
    <row r="6" spans="1:29" ht="15.75" thickBot="1">
      <c r="A6" s="517"/>
      <c r="B6" s="518"/>
      <c r="C6" s="3434" t="s">
        <v>2935</v>
      </c>
      <c r="D6" s="3435"/>
      <c r="E6" s="3438" t="s">
        <v>2935</v>
      </c>
      <c r="F6" s="3439"/>
      <c r="G6" s="3434" t="s">
        <v>2935</v>
      </c>
      <c r="H6" s="3435"/>
      <c r="I6" s="3434" t="s">
        <v>2935</v>
      </c>
      <c r="J6" s="3435"/>
      <c r="K6" s="514" t="s">
        <v>528</v>
      </c>
      <c r="L6" s="2119"/>
      <c r="M6" s="2120"/>
      <c r="N6" s="2120"/>
      <c r="O6" s="2120"/>
      <c r="P6" s="3431"/>
      <c r="Q6" s="3432"/>
      <c r="R6" s="3415"/>
      <c r="S6" s="3416"/>
      <c r="T6" s="3417"/>
      <c r="U6" s="3418"/>
      <c r="V6" s="3433"/>
      <c r="W6" s="3433"/>
      <c r="X6" s="1554"/>
      <c r="Y6" s="3417"/>
      <c r="Z6" s="3418"/>
      <c r="AA6" s="3410"/>
      <c r="AB6" s="3410"/>
      <c r="AC6" s="3410"/>
    </row>
    <row r="7" spans="1:29" s="1216" customFormat="1" ht="15.75" thickBot="1">
      <c r="A7" s="2868"/>
      <c r="B7" s="2875" t="s">
        <v>529</v>
      </c>
      <c r="C7" s="519">
        <f>'数据-取费表'!B2</f>
        <v>43672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1" t="s">
        <v>530</v>
      </c>
      <c r="Q7" s="3420"/>
      <c r="R7" s="1555" t="s">
        <v>8</v>
      </c>
      <c r="S7" s="1556">
        <f t="shared" ref="S7:S14" si="0">F7</f>
        <v>0</v>
      </c>
      <c r="T7" s="1555" t="s">
        <v>8</v>
      </c>
      <c r="U7" s="1556">
        <f t="shared" ref="U7:U14" si="1">H7</f>
        <v>0</v>
      </c>
      <c r="V7" s="1555" t="s">
        <v>8</v>
      </c>
      <c r="W7" s="1556">
        <f t="shared" ref="W7:W14" si="2">J7</f>
        <v>0</v>
      </c>
      <c r="X7" s="1557"/>
      <c r="Y7" s="3411" t="s">
        <v>530</v>
      </c>
      <c r="Z7" s="341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1" t="s">
        <v>533</v>
      </c>
      <c r="Q8" s="3412"/>
      <c r="R8" s="1555" t="s">
        <v>8</v>
      </c>
      <c r="S8" s="1556">
        <f t="shared" si="0"/>
        <v>0</v>
      </c>
      <c r="T8" s="1555" t="s">
        <v>8</v>
      </c>
      <c r="U8" s="1556">
        <f t="shared" si="1"/>
        <v>0</v>
      </c>
      <c r="V8" s="1555" t="s">
        <v>8</v>
      </c>
      <c r="W8" s="1556">
        <f t="shared" si="2"/>
        <v>0</v>
      </c>
      <c r="X8" s="1557"/>
      <c r="Y8" s="3411" t="s">
        <v>533</v>
      </c>
      <c r="Z8" s="341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9" t="s">
        <v>535</v>
      </c>
      <c r="Q9" s="1147" t="str">
        <f t="shared" ref="Q9:Q14" si="6">B9</f>
        <v>用途</v>
      </c>
      <c r="R9" s="1555" t="s">
        <v>8</v>
      </c>
      <c r="S9" s="1556">
        <f t="shared" si="0"/>
        <v>100</v>
      </c>
      <c r="T9" s="1555" t="s">
        <v>8</v>
      </c>
      <c r="U9" s="1556">
        <f t="shared" si="1"/>
        <v>100</v>
      </c>
      <c r="V9" s="1555" t="s">
        <v>8</v>
      </c>
      <c r="W9" s="1556">
        <f t="shared" si="2"/>
        <v>100</v>
      </c>
      <c r="X9" s="1557"/>
      <c r="Y9" s="337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9"/>
      <c r="Q10" s="1147" t="str">
        <f t="shared" si="6"/>
        <v>土地使用年限（年）</v>
      </c>
      <c r="R10" s="1555" t="s">
        <v>8</v>
      </c>
      <c r="S10" s="1556">
        <f t="shared" si="0"/>
        <v>100</v>
      </c>
      <c r="T10" s="1555" t="s">
        <v>8</v>
      </c>
      <c r="U10" s="1556">
        <f t="shared" si="1"/>
        <v>100</v>
      </c>
      <c r="V10" s="1555" t="s">
        <v>8</v>
      </c>
      <c r="W10" s="1556">
        <f t="shared" si="2"/>
        <v>100</v>
      </c>
      <c r="X10" s="1557"/>
      <c r="Y10" s="337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9"/>
      <c r="Q11" s="1147">
        <f t="shared" si="6"/>
        <v>111</v>
      </c>
      <c r="R11" s="1555" t="s">
        <v>8</v>
      </c>
      <c r="S11" s="1556">
        <f t="shared" si="0"/>
        <v>100</v>
      </c>
      <c r="T11" s="1555" t="s">
        <v>8</v>
      </c>
      <c r="U11" s="1556">
        <f t="shared" si="1"/>
        <v>100</v>
      </c>
      <c r="V11" s="1555" t="s">
        <v>8</v>
      </c>
      <c r="W11" s="1556">
        <f t="shared" si="2"/>
        <v>100</v>
      </c>
      <c r="X11" s="1557"/>
      <c r="Y11" s="337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9"/>
      <c r="Q12" s="1147">
        <f t="shared" si="6"/>
        <v>111</v>
      </c>
      <c r="R12" s="1555" t="s">
        <v>8</v>
      </c>
      <c r="S12" s="1556">
        <f t="shared" si="0"/>
        <v>100</v>
      </c>
      <c r="T12" s="1555" t="s">
        <v>8</v>
      </c>
      <c r="U12" s="1556">
        <f t="shared" si="1"/>
        <v>100</v>
      </c>
      <c r="V12" s="1555" t="s">
        <v>8</v>
      </c>
      <c r="W12" s="1556">
        <f t="shared" si="2"/>
        <v>100</v>
      </c>
      <c r="X12" s="1557"/>
      <c r="Y12" s="337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9"/>
      <c r="Q13" s="1147">
        <f t="shared" si="6"/>
        <v>111</v>
      </c>
      <c r="R13" s="1555" t="s">
        <v>8</v>
      </c>
      <c r="S13" s="1556">
        <f t="shared" si="0"/>
        <v>100</v>
      </c>
      <c r="T13" s="1555" t="s">
        <v>8</v>
      </c>
      <c r="U13" s="1556">
        <f t="shared" si="1"/>
        <v>100</v>
      </c>
      <c r="V13" s="1555" t="s">
        <v>8</v>
      </c>
      <c r="W13" s="1556">
        <f t="shared" si="2"/>
        <v>100</v>
      </c>
      <c r="X13" s="1557"/>
      <c r="Y13" s="3376"/>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21" t="s">
        <v>540</v>
      </c>
      <c r="Q14" s="1559" t="str">
        <f t="shared" si="6"/>
        <v>交通便捷度</v>
      </c>
      <c r="R14" s="1560" t="s">
        <v>8</v>
      </c>
      <c r="S14" s="1561">
        <f t="shared" si="0"/>
        <v>100</v>
      </c>
      <c r="T14" s="1560" t="s">
        <v>8</v>
      </c>
      <c r="U14" s="1561">
        <f t="shared" si="1"/>
        <v>100</v>
      </c>
      <c r="V14" s="1560" t="s">
        <v>8</v>
      </c>
      <c r="W14" s="1561">
        <f t="shared" si="2"/>
        <v>100</v>
      </c>
      <c r="X14" s="1554"/>
      <c r="Y14" s="3421"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2"/>
      <c r="Q15" s="1559"/>
      <c r="R15" s="1560"/>
      <c r="S15" s="1561"/>
      <c r="T15" s="1560"/>
      <c r="U15" s="1561"/>
      <c r="V15" s="1560"/>
      <c r="W15" s="1561"/>
      <c r="X15" s="1554"/>
      <c r="Y15" s="3422"/>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2"/>
      <c r="Q16" s="1559" t="str">
        <f>B16</f>
        <v>公共配套设施</v>
      </c>
      <c r="R16" s="1560" t="s">
        <v>8</v>
      </c>
      <c r="S16" s="1561">
        <f>F16</f>
        <v>100</v>
      </c>
      <c r="T16" s="1560" t="s">
        <v>8</v>
      </c>
      <c r="U16" s="1561">
        <f>H16</f>
        <v>100</v>
      </c>
      <c r="V16" s="1560" t="s">
        <v>8</v>
      </c>
      <c r="W16" s="1561">
        <f>J16</f>
        <v>100</v>
      </c>
      <c r="X16" s="1554"/>
      <c r="Y16" s="342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2"/>
      <c r="Q17" s="1559"/>
      <c r="R17" s="1560"/>
      <c r="S17" s="1561"/>
      <c r="T17" s="1560"/>
      <c r="U17" s="1561"/>
      <c r="V17" s="1560"/>
      <c r="W17" s="1561"/>
      <c r="X17" s="1554"/>
      <c r="Y17" s="3422"/>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2"/>
      <c r="Q18" s="2544" t="str">
        <f>B18</f>
        <v>基础设施水平</v>
      </c>
      <c r="R18" s="1560" t="s">
        <v>8</v>
      </c>
      <c r="S18" s="1561">
        <f>F18</f>
        <v>100</v>
      </c>
      <c r="T18" s="1560" t="s">
        <v>8</v>
      </c>
      <c r="U18" s="1561">
        <f>H18</f>
        <v>100</v>
      </c>
      <c r="V18" s="1560" t="s">
        <v>8</v>
      </c>
      <c r="W18" s="1561">
        <f>J18</f>
        <v>100</v>
      </c>
      <c r="X18" s="2546"/>
      <c r="Y18" s="3422"/>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2"/>
      <c r="Q19" s="2544"/>
      <c r="R19" s="1560"/>
      <c r="S19" s="1561"/>
      <c r="T19" s="1560"/>
      <c r="U19" s="1561"/>
      <c r="V19" s="1560"/>
      <c r="W19" s="1561"/>
      <c r="X19" s="2546"/>
      <c r="Y19" s="3422"/>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2"/>
      <c r="Q20" s="1559" t="str">
        <f>B20</f>
        <v>自然及人文环境</v>
      </c>
      <c r="R20" s="1560" t="s">
        <v>8</v>
      </c>
      <c r="S20" s="1561">
        <f>F20</f>
        <v>100</v>
      </c>
      <c r="T20" s="1560" t="s">
        <v>8</v>
      </c>
      <c r="U20" s="1561">
        <f>H20</f>
        <v>100</v>
      </c>
      <c r="V20" s="1560" t="s">
        <v>8</v>
      </c>
      <c r="W20" s="1561">
        <f>J20</f>
        <v>100</v>
      </c>
      <c r="X20" s="1554"/>
      <c r="Y20" s="342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2"/>
      <c r="Q21" s="1559"/>
      <c r="R21" s="1560"/>
      <c r="S21" s="1561"/>
      <c r="T21" s="1560"/>
      <c r="U21" s="1561"/>
      <c r="V21" s="1560"/>
      <c r="W21" s="1561"/>
      <c r="X21" s="1554"/>
      <c r="Y21" s="3422"/>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2"/>
      <c r="Q22" s="1559" t="str">
        <f>B22</f>
        <v>楼层</v>
      </c>
      <c r="R22" s="1560" t="s">
        <v>8</v>
      </c>
      <c r="S22" s="1561">
        <f>F22</f>
        <v>100</v>
      </c>
      <c r="T22" s="1560" t="s">
        <v>8</v>
      </c>
      <c r="U22" s="1561">
        <f>H22</f>
        <v>100</v>
      </c>
      <c r="V22" s="1560" t="s">
        <v>8</v>
      </c>
      <c r="W22" s="1561">
        <f>J22</f>
        <v>100</v>
      </c>
      <c r="X22" s="1554"/>
      <c r="Y22" s="342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2"/>
      <c r="Q23" s="1559">
        <f>B23</f>
        <v>111</v>
      </c>
      <c r="R23" s="1560" t="s">
        <v>8</v>
      </c>
      <c r="S23" s="1561">
        <f>F23</f>
        <v>100</v>
      </c>
      <c r="T23" s="1560" t="s">
        <v>8</v>
      </c>
      <c r="U23" s="1561">
        <f>H23</f>
        <v>100</v>
      </c>
      <c r="V23" s="1560" t="s">
        <v>8</v>
      </c>
      <c r="W23" s="1561">
        <f>J23</f>
        <v>100</v>
      </c>
      <c r="X23" s="1554"/>
      <c r="Y23" s="342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2"/>
      <c r="Q24" s="1559">
        <f t="shared" ref="Q24:Q36" si="11">B24</f>
        <v>111</v>
      </c>
      <c r="R24" s="1560" t="s">
        <v>8</v>
      </c>
      <c r="S24" s="1561">
        <f>F24</f>
        <v>100</v>
      </c>
      <c r="T24" s="1560" t="s">
        <v>8</v>
      </c>
      <c r="U24" s="1561">
        <f>H24</f>
        <v>100</v>
      </c>
      <c r="V24" s="1560" t="s">
        <v>8</v>
      </c>
      <c r="W24" s="1561">
        <f>J24</f>
        <v>100</v>
      </c>
      <c r="X24" s="1554"/>
      <c r="Y24" s="342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2"/>
      <c r="Q25" s="1147">
        <f t="shared" si="11"/>
        <v>111</v>
      </c>
      <c r="R25" s="1555" t="s">
        <v>8</v>
      </c>
      <c r="S25" s="1556">
        <f>F25</f>
        <v>100</v>
      </c>
      <c r="T25" s="1555" t="s">
        <v>8</v>
      </c>
      <c r="U25" s="1556">
        <f>H25</f>
        <v>100</v>
      </c>
      <c r="V25" s="1555" t="s">
        <v>8</v>
      </c>
      <c r="W25" s="1556">
        <f>J25</f>
        <v>100</v>
      </c>
      <c r="X25" s="1557"/>
      <c r="Y25" s="3422"/>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4"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4"/>
      <c r="Q27" s="1591" t="str">
        <f t="shared" si="11"/>
        <v>项目停车位配比</v>
      </c>
      <c r="R27" s="1564" t="s">
        <v>8</v>
      </c>
      <c r="S27" s="1565">
        <f t="shared" si="12"/>
        <v>100</v>
      </c>
      <c r="T27" s="1564" t="s">
        <v>8</v>
      </c>
      <c r="U27" s="1565">
        <f t="shared" si="13"/>
        <v>100</v>
      </c>
      <c r="V27" s="1564" t="s">
        <v>8</v>
      </c>
      <c r="W27" s="1565">
        <f t="shared" si="14"/>
        <v>100</v>
      </c>
      <c r="X27" s="1566"/>
      <c r="Y27" s="3424"/>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4"/>
      <c r="Q28" s="1559" t="str">
        <f t="shared" si="11"/>
        <v>公共部分装修</v>
      </c>
      <c r="R28" s="1560" t="s">
        <v>8</v>
      </c>
      <c r="S28" s="1561">
        <f t="shared" si="12"/>
        <v>100</v>
      </c>
      <c r="T28" s="1560" t="s">
        <v>8</v>
      </c>
      <c r="U28" s="1561">
        <f t="shared" si="13"/>
        <v>100</v>
      </c>
      <c r="V28" s="1560" t="s">
        <v>8</v>
      </c>
      <c r="W28" s="1561">
        <f t="shared" si="14"/>
        <v>100</v>
      </c>
      <c r="X28" s="1554"/>
      <c r="Y28" s="3424"/>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4"/>
      <c r="Q29" s="1559" t="str">
        <f t="shared" si="11"/>
        <v>成新率</v>
      </c>
      <c r="R29" s="1560" t="s">
        <v>8</v>
      </c>
      <c r="S29" s="1561" t="e">
        <f t="shared" si="12"/>
        <v>#N/A</v>
      </c>
      <c r="T29" s="1560" t="s">
        <v>8</v>
      </c>
      <c r="U29" s="1561" t="e">
        <f t="shared" si="13"/>
        <v>#N/A</v>
      </c>
      <c r="V29" s="1560" t="s">
        <v>8</v>
      </c>
      <c r="W29" s="1561" t="e">
        <f t="shared" si="14"/>
        <v>#N/A</v>
      </c>
      <c r="X29" s="1554"/>
      <c r="Y29" s="3424"/>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4"/>
      <c r="Q30" s="1559" t="str">
        <f t="shared" si="11"/>
        <v>物业等级</v>
      </c>
      <c r="R30" s="1560" t="s">
        <v>8</v>
      </c>
      <c r="S30" s="1561">
        <f t="shared" si="12"/>
        <v>100</v>
      </c>
      <c r="T30" s="1560" t="s">
        <v>8</v>
      </c>
      <c r="U30" s="1561">
        <f t="shared" si="13"/>
        <v>100</v>
      </c>
      <c r="V30" s="1560" t="s">
        <v>8</v>
      </c>
      <c r="W30" s="1561">
        <f t="shared" si="14"/>
        <v>100</v>
      </c>
      <c r="X30" s="1554"/>
      <c r="Y30" s="3424"/>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4"/>
      <c r="Q31" s="1147" t="str">
        <f t="shared" si="11"/>
        <v>停车位面积</v>
      </c>
      <c r="R31" s="1555" t="s">
        <v>8</v>
      </c>
      <c r="S31" s="1556" t="e">
        <f t="shared" si="12"/>
        <v>#N/A</v>
      </c>
      <c r="T31" s="1555" t="s">
        <v>8</v>
      </c>
      <c r="U31" s="1556" t="e">
        <f t="shared" si="13"/>
        <v>#N/A</v>
      </c>
      <c r="V31" s="1555" t="s">
        <v>8</v>
      </c>
      <c r="W31" s="1556" t="e">
        <f t="shared" si="14"/>
        <v>#N/A</v>
      </c>
      <c r="X31" s="1557"/>
      <c r="Y31" s="3424"/>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4" t="s">
        <v>550</v>
      </c>
      <c r="Q32" s="1559" t="str">
        <f t="shared" si="11"/>
        <v>车位类型</v>
      </c>
      <c r="R32" s="1560" t="s">
        <v>8</v>
      </c>
      <c r="S32" s="1561">
        <f t="shared" si="12"/>
        <v>100</v>
      </c>
      <c r="T32" s="1560" t="s">
        <v>8</v>
      </c>
      <c r="U32" s="1561">
        <f t="shared" si="13"/>
        <v>100</v>
      </c>
      <c r="V32" s="1560" t="s">
        <v>8</v>
      </c>
      <c r="W32" s="1561">
        <f t="shared" si="14"/>
        <v>100</v>
      </c>
      <c r="X32" s="1554"/>
      <c r="Y32" s="3424"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4"/>
      <c r="Q33" s="1559" t="str">
        <f t="shared" si="11"/>
        <v>是否直接入户</v>
      </c>
      <c r="R33" s="1560" t="s">
        <v>8</v>
      </c>
      <c r="S33" s="1561">
        <f t="shared" si="12"/>
        <v>100</v>
      </c>
      <c r="T33" s="1560" t="s">
        <v>8</v>
      </c>
      <c r="U33" s="1561">
        <f t="shared" si="13"/>
        <v>100</v>
      </c>
      <c r="V33" s="1560" t="s">
        <v>8</v>
      </c>
      <c r="W33" s="1561">
        <f t="shared" si="14"/>
        <v>100</v>
      </c>
      <c r="X33" s="1554"/>
      <c r="Y33" s="342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4"/>
      <c r="Q34" s="1559">
        <f t="shared" si="11"/>
        <v>111</v>
      </c>
      <c r="R34" s="1560" t="s">
        <v>8</v>
      </c>
      <c r="S34" s="1561">
        <f t="shared" si="12"/>
        <v>100</v>
      </c>
      <c r="T34" s="1560" t="s">
        <v>8</v>
      </c>
      <c r="U34" s="1561">
        <f t="shared" si="13"/>
        <v>100</v>
      </c>
      <c r="V34" s="1560" t="s">
        <v>8</v>
      </c>
      <c r="W34" s="1561">
        <f t="shared" si="14"/>
        <v>100</v>
      </c>
      <c r="X34" s="1554"/>
      <c r="Y34" s="342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4"/>
      <c r="Q35" s="1591">
        <f t="shared" si="11"/>
        <v>111</v>
      </c>
      <c r="R35" s="1564" t="s">
        <v>8</v>
      </c>
      <c r="S35" s="1565">
        <f t="shared" si="12"/>
        <v>100</v>
      </c>
      <c r="T35" s="1564" t="s">
        <v>8</v>
      </c>
      <c r="U35" s="1565">
        <f t="shared" si="13"/>
        <v>100</v>
      </c>
      <c r="V35" s="1564" t="s">
        <v>8</v>
      </c>
      <c r="W35" s="1565">
        <f t="shared" si="14"/>
        <v>100</v>
      </c>
      <c r="X35" s="1566"/>
      <c r="Y35" s="342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4"/>
      <c r="Q36" s="1559">
        <f t="shared" si="11"/>
        <v>111</v>
      </c>
      <c r="R36" s="1560" t="s">
        <v>8</v>
      </c>
      <c r="S36" s="1561">
        <f t="shared" si="12"/>
        <v>100</v>
      </c>
      <c r="T36" s="1560" t="s">
        <v>8</v>
      </c>
      <c r="U36" s="1561">
        <f t="shared" si="13"/>
        <v>100</v>
      </c>
      <c r="V36" s="1560" t="s">
        <v>8</v>
      </c>
      <c r="W36" s="1561">
        <f t="shared" si="14"/>
        <v>100</v>
      </c>
      <c r="X36" s="1554"/>
      <c r="Y36" s="3424"/>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19" t="str">
        <f>A37</f>
        <v>成交单价</v>
      </c>
      <c r="Q37" s="3419"/>
      <c r="R37" s="3499">
        <f>E37</f>
        <v>0</v>
      </c>
      <c r="S37" s="3499"/>
      <c r="T37" s="3499">
        <f>G37</f>
        <v>0</v>
      </c>
      <c r="U37" s="3499"/>
      <c r="V37" s="3499">
        <f>I37</f>
        <v>0</v>
      </c>
      <c r="W37" s="3499"/>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19" t="str">
        <f>A38</f>
        <v>比较价格（元/平方米）</v>
      </c>
      <c r="Q38" s="3419"/>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40" t="str">
        <f>A39</f>
        <v>估价对象XX用房的比较价格（楼面单价，元/平方米）</v>
      </c>
      <c r="Q39" s="3441"/>
      <c r="R39" s="3500" t="e">
        <f>IF(F1="售价",ROUND(AVERAGE(R38:V38),0),ROUND(AVERAGE(R38:V38),1))</f>
        <v>#DIV/0!</v>
      </c>
      <c r="S39" s="3500"/>
      <c r="T39" s="3500"/>
      <c r="U39" s="3500"/>
      <c r="V39" s="3500"/>
      <c r="W39" s="3500"/>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5" t="s">
        <v>798</v>
      </c>
      <c r="D4" s="3426"/>
      <c r="E4" s="3449" t="s">
        <v>799</v>
      </c>
      <c r="F4" s="3450"/>
      <c r="G4" s="3425" t="s">
        <v>800</v>
      </c>
      <c r="H4" s="3426"/>
      <c r="I4" s="3425" t="s">
        <v>801</v>
      </c>
      <c r="J4" s="3426"/>
      <c r="K4" s="514" t="s">
        <v>802</v>
      </c>
      <c r="L4" s="2119"/>
      <c r="M4" s="2120"/>
      <c r="N4" s="2120"/>
      <c r="O4" s="2120"/>
      <c r="P4" s="3427" t="s">
        <v>803</v>
      </c>
      <c r="Q4" s="3428"/>
      <c r="R4" s="3413" t="s">
        <v>799</v>
      </c>
      <c r="S4" s="3414"/>
      <c r="T4" s="3413" t="s">
        <v>800</v>
      </c>
      <c r="U4" s="3414"/>
      <c r="V4" s="3433" t="s">
        <v>801</v>
      </c>
      <c r="W4" s="3433"/>
      <c r="X4" s="1554"/>
      <c r="Y4" s="3413" t="s">
        <v>803</v>
      </c>
      <c r="Z4" s="3414"/>
      <c r="AA4" s="3408" t="s">
        <v>799</v>
      </c>
      <c r="AB4" s="3409" t="s">
        <v>800</v>
      </c>
      <c r="AC4" s="3408" t="s">
        <v>801</v>
      </c>
    </row>
    <row r="5" spans="1:29" ht="15">
      <c r="A5" s="515"/>
      <c r="B5" s="516"/>
      <c r="C5" s="3436" t="s">
        <v>2931</v>
      </c>
      <c r="D5" s="3437"/>
      <c r="E5" s="3451" t="s">
        <v>2932</v>
      </c>
      <c r="F5" s="3452"/>
      <c r="G5" s="3436" t="s">
        <v>2933</v>
      </c>
      <c r="H5" s="3437"/>
      <c r="I5" s="3436" t="s">
        <v>2934</v>
      </c>
      <c r="J5" s="3437"/>
      <c r="K5" s="514"/>
      <c r="L5" s="2119"/>
      <c r="M5" s="2120"/>
      <c r="N5" s="2120"/>
      <c r="O5" s="2120"/>
      <c r="P5" s="3429"/>
      <c r="Q5" s="3430"/>
      <c r="R5" s="3415"/>
      <c r="S5" s="3416"/>
      <c r="T5" s="3415"/>
      <c r="U5" s="3416"/>
      <c r="V5" s="3433"/>
      <c r="W5" s="3433"/>
      <c r="X5" s="1554"/>
      <c r="Y5" s="3415"/>
      <c r="Z5" s="3416"/>
      <c r="AA5" s="3409"/>
      <c r="AB5" s="3409"/>
      <c r="AC5" s="3409"/>
    </row>
    <row r="6" spans="1:29" ht="15.75" thickBot="1">
      <c r="A6" s="517"/>
      <c r="B6" s="518"/>
      <c r="C6" s="3434" t="s">
        <v>2935</v>
      </c>
      <c r="D6" s="3435"/>
      <c r="E6" s="3453" t="s">
        <v>2935</v>
      </c>
      <c r="F6" s="3454"/>
      <c r="G6" s="3434" t="s">
        <v>2935</v>
      </c>
      <c r="H6" s="3435"/>
      <c r="I6" s="3434" t="s">
        <v>2935</v>
      </c>
      <c r="J6" s="3435"/>
      <c r="K6" s="514" t="s">
        <v>528</v>
      </c>
      <c r="L6" s="2119"/>
      <c r="M6" s="2120"/>
      <c r="N6" s="2120"/>
      <c r="O6" s="2120"/>
      <c r="P6" s="3431"/>
      <c r="Q6" s="3432"/>
      <c r="R6" s="3415"/>
      <c r="S6" s="3416"/>
      <c r="T6" s="3417"/>
      <c r="U6" s="3418"/>
      <c r="V6" s="3433"/>
      <c r="W6" s="3433"/>
      <c r="X6" s="1554"/>
      <c r="Y6" s="3417"/>
      <c r="Z6" s="3418"/>
      <c r="AA6" s="3410"/>
      <c r="AB6" s="3410"/>
      <c r="AC6" s="3410"/>
    </row>
    <row r="7" spans="1:29" s="1216" customFormat="1" ht="15.75" thickBot="1">
      <c r="A7" s="2868"/>
      <c r="B7" s="2875" t="s">
        <v>529</v>
      </c>
      <c r="C7" s="519">
        <f>'数据-取费表'!B2</f>
        <v>43672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1" t="s">
        <v>530</v>
      </c>
      <c r="Q7" s="3420"/>
      <c r="R7" s="1555" t="s">
        <v>8</v>
      </c>
      <c r="S7" s="1556">
        <f t="shared" ref="S7:S14" si="0">F7</f>
        <v>0</v>
      </c>
      <c r="T7" s="1555" t="s">
        <v>8</v>
      </c>
      <c r="U7" s="1556">
        <f t="shared" ref="U7:U14" si="1">H7</f>
        <v>0</v>
      </c>
      <c r="V7" s="1555" t="s">
        <v>8</v>
      </c>
      <c r="W7" s="1556">
        <f t="shared" ref="W7:W14" si="2">J7</f>
        <v>0</v>
      </c>
      <c r="X7" s="1557"/>
      <c r="Y7" s="3411" t="s">
        <v>530</v>
      </c>
      <c r="Z7" s="341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1" t="s">
        <v>533</v>
      </c>
      <c r="Q8" s="3412"/>
      <c r="R8" s="1555" t="s">
        <v>8</v>
      </c>
      <c r="S8" s="1556">
        <f t="shared" si="0"/>
        <v>0</v>
      </c>
      <c r="T8" s="1555" t="s">
        <v>8</v>
      </c>
      <c r="U8" s="1556">
        <f t="shared" si="1"/>
        <v>0</v>
      </c>
      <c r="V8" s="1555" t="s">
        <v>8</v>
      </c>
      <c r="W8" s="1556">
        <f t="shared" si="2"/>
        <v>0</v>
      </c>
      <c r="X8" s="1557"/>
      <c r="Y8" s="3411" t="s">
        <v>533</v>
      </c>
      <c r="Z8" s="341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9" t="s">
        <v>535</v>
      </c>
      <c r="Q9" s="1147" t="str">
        <f t="shared" ref="Q9:Q14" si="6">B9</f>
        <v>用途</v>
      </c>
      <c r="R9" s="1555" t="s">
        <v>8</v>
      </c>
      <c r="S9" s="1556">
        <f t="shared" si="0"/>
        <v>100</v>
      </c>
      <c r="T9" s="1555" t="s">
        <v>8</v>
      </c>
      <c r="U9" s="1556">
        <f t="shared" si="1"/>
        <v>100</v>
      </c>
      <c r="V9" s="1555" t="s">
        <v>8</v>
      </c>
      <c r="W9" s="1556">
        <f t="shared" si="2"/>
        <v>100</v>
      </c>
      <c r="X9" s="1557"/>
      <c r="Y9" s="337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9"/>
      <c r="Q10" s="1147" t="str">
        <f t="shared" si="6"/>
        <v>土地使用年限（年）</v>
      </c>
      <c r="R10" s="1555" t="s">
        <v>8</v>
      </c>
      <c r="S10" s="1556">
        <f t="shared" si="0"/>
        <v>100</v>
      </c>
      <c r="T10" s="1555" t="s">
        <v>8</v>
      </c>
      <c r="U10" s="1556">
        <f t="shared" si="1"/>
        <v>100</v>
      </c>
      <c r="V10" s="1555" t="s">
        <v>8</v>
      </c>
      <c r="W10" s="1556">
        <f t="shared" si="2"/>
        <v>100</v>
      </c>
      <c r="X10" s="1557"/>
      <c r="Y10" s="337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9"/>
      <c r="Q11" s="1147">
        <f t="shared" si="6"/>
        <v>111</v>
      </c>
      <c r="R11" s="1555" t="s">
        <v>8</v>
      </c>
      <c r="S11" s="1556">
        <f t="shared" si="0"/>
        <v>100</v>
      </c>
      <c r="T11" s="1555" t="s">
        <v>8</v>
      </c>
      <c r="U11" s="1556">
        <f t="shared" si="1"/>
        <v>100</v>
      </c>
      <c r="V11" s="1555" t="s">
        <v>8</v>
      </c>
      <c r="W11" s="1556">
        <f t="shared" si="2"/>
        <v>100</v>
      </c>
      <c r="X11" s="1557"/>
      <c r="Y11" s="337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9"/>
      <c r="Q12" s="1147">
        <f t="shared" si="6"/>
        <v>111</v>
      </c>
      <c r="R12" s="1555" t="s">
        <v>8</v>
      </c>
      <c r="S12" s="1556">
        <f t="shared" si="0"/>
        <v>100</v>
      </c>
      <c r="T12" s="1555" t="s">
        <v>8</v>
      </c>
      <c r="U12" s="1556">
        <f t="shared" si="1"/>
        <v>100</v>
      </c>
      <c r="V12" s="1555" t="s">
        <v>8</v>
      </c>
      <c r="W12" s="1556">
        <f t="shared" si="2"/>
        <v>100</v>
      </c>
      <c r="X12" s="1557"/>
      <c r="Y12" s="337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9"/>
      <c r="Q13" s="1147">
        <f t="shared" si="6"/>
        <v>111</v>
      </c>
      <c r="R13" s="1555" t="s">
        <v>8</v>
      </c>
      <c r="S13" s="1556">
        <f t="shared" si="0"/>
        <v>100</v>
      </c>
      <c r="T13" s="1555" t="s">
        <v>8</v>
      </c>
      <c r="U13" s="1556">
        <f t="shared" si="1"/>
        <v>100</v>
      </c>
      <c r="V13" s="1555" t="s">
        <v>8</v>
      </c>
      <c r="W13" s="1556">
        <f t="shared" si="2"/>
        <v>100</v>
      </c>
      <c r="X13" s="1557"/>
      <c r="Y13" s="3376"/>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21" t="s">
        <v>540</v>
      </c>
      <c r="Q14" s="1559" t="str">
        <f t="shared" si="6"/>
        <v>交通便捷度</v>
      </c>
      <c r="R14" s="1560" t="s">
        <v>8</v>
      </c>
      <c r="S14" s="1561">
        <f t="shared" si="0"/>
        <v>100</v>
      </c>
      <c r="T14" s="1560" t="s">
        <v>8</v>
      </c>
      <c r="U14" s="1561">
        <f t="shared" si="1"/>
        <v>100</v>
      </c>
      <c r="V14" s="1560" t="s">
        <v>8</v>
      </c>
      <c r="W14" s="1561">
        <f t="shared" si="2"/>
        <v>100</v>
      </c>
      <c r="X14" s="1554"/>
      <c r="Y14" s="3421"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2"/>
      <c r="Q15" s="1559"/>
      <c r="R15" s="1560"/>
      <c r="S15" s="1561"/>
      <c r="T15" s="1560"/>
      <c r="U15" s="1561"/>
      <c r="V15" s="1560"/>
      <c r="W15" s="1561"/>
      <c r="X15" s="1554"/>
      <c r="Y15" s="3422"/>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2"/>
      <c r="Q16" s="1559" t="str">
        <f>B16</f>
        <v>公共配套设施</v>
      </c>
      <c r="R16" s="1560" t="s">
        <v>8</v>
      </c>
      <c r="S16" s="1561">
        <f>F16</f>
        <v>100</v>
      </c>
      <c r="T16" s="1560" t="s">
        <v>8</v>
      </c>
      <c r="U16" s="1561">
        <f>H16</f>
        <v>100</v>
      </c>
      <c r="V16" s="1560" t="s">
        <v>8</v>
      </c>
      <c r="W16" s="1561">
        <f>J16</f>
        <v>100</v>
      </c>
      <c r="X16" s="1554"/>
      <c r="Y16" s="342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2"/>
      <c r="Q17" s="1559"/>
      <c r="R17" s="1560"/>
      <c r="S17" s="1561"/>
      <c r="T17" s="1560"/>
      <c r="U17" s="1561"/>
      <c r="V17" s="1560"/>
      <c r="W17" s="1561"/>
      <c r="X17" s="1554"/>
      <c r="Y17" s="3422"/>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2"/>
      <c r="Q18" s="2544" t="str">
        <f>B18</f>
        <v>基础设施水平</v>
      </c>
      <c r="R18" s="1560" t="s">
        <v>8</v>
      </c>
      <c r="S18" s="1561">
        <f>F18</f>
        <v>100</v>
      </c>
      <c r="T18" s="1560" t="s">
        <v>8</v>
      </c>
      <c r="U18" s="1561">
        <f>H18</f>
        <v>100</v>
      </c>
      <c r="V18" s="1560" t="s">
        <v>8</v>
      </c>
      <c r="W18" s="1561">
        <f>J18</f>
        <v>100</v>
      </c>
      <c r="X18" s="2546"/>
      <c r="Y18" s="3422"/>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2"/>
      <c r="Q19" s="2544"/>
      <c r="R19" s="1560"/>
      <c r="S19" s="1561"/>
      <c r="T19" s="1560"/>
      <c r="U19" s="1561"/>
      <c r="V19" s="1560"/>
      <c r="W19" s="1561"/>
      <c r="X19" s="2546"/>
      <c r="Y19" s="3422"/>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2"/>
      <c r="Q20" s="1559" t="str">
        <f>B20</f>
        <v>自然及人文环境</v>
      </c>
      <c r="R20" s="1560" t="s">
        <v>8</v>
      </c>
      <c r="S20" s="1561">
        <f>F20</f>
        <v>100</v>
      </c>
      <c r="T20" s="1560" t="s">
        <v>8</v>
      </c>
      <c r="U20" s="1561">
        <f>H20</f>
        <v>100</v>
      </c>
      <c r="V20" s="1560" t="s">
        <v>8</v>
      </c>
      <c r="W20" s="1561">
        <f>J20</f>
        <v>100</v>
      </c>
      <c r="X20" s="1554"/>
      <c r="Y20" s="342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2"/>
      <c r="Q21" s="1559"/>
      <c r="R21" s="1560"/>
      <c r="S21" s="1561"/>
      <c r="T21" s="1560"/>
      <c r="U21" s="1561"/>
      <c r="V21" s="1560"/>
      <c r="W21" s="1561"/>
      <c r="X21" s="1554"/>
      <c r="Y21" s="3422"/>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2"/>
      <c r="Q22" s="1559" t="str">
        <f>B22</f>
        <v>楼层</v>
      </c>
      <c r="R22" s="1560" t="s">
        <v>8</v>
      </c>
      <c r="S22" s="1561">
        <f>F22</f>
        <v>100</v>
      </c>
      <c r="T22" s="1560" t="s">
        <v>8</v>
      </c>
      <c r="U22" s="1561">
        <f>H22</f>
        <v>100</v>
      </c>
      <c r="V22" s="1560" t="s">
        <v>8</v>
      </c>
      <c r="W22" s="1561">
        <f>J22</f>
        <v>100</v>
      </c>
      <c r="X22" s="1554"/>
      <c r="Y22" s="342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2"/>
      <c r="Q23" s="1559">
        <f>B23</f>
        <v>111</v>
      </c>
      <c r="R23" s="1560" t="s">
        <v>8</v>
      </c>
      <c r="S23" s="1561">
        <f>F23</f>
        <v>100</v>
      </c>
      <c r="T23" s="1560" t="s">
        <v>8</v>
      </c>
      <c r="U23" s="1561">
        <f>H23</f>
        <v>100</v>
      </c>
      <c r="V23" s="1560" t="s">
        <v>8</v>
      </c>
      <c r="W23" s="1561">
        <f>J23</f>
        <v>100</v>
      </c>
      <c r="X23" s="1554"/>
      <c r="Y23" s="342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2"/>
      <c r="Q24" s="1559">
        <f t="shared" ref="Q24:Q34" si="11">B24</f>
        <v>111</v>
      </c>
      <c r="R24" s="1560" t="s">
        <v>8</v>
      </c>
      <c r="S24" s="1561">
        <f>F24</f>
        <v>100</v>
      </c>
      <c r="T24" s="1560" t="s">
        <v>8</v>
      </c>
      <c r="U24" s="1561">
        <f>H24</f>
        <v>100</v>
      </c>
      <c r="V24" s="1560" t="s">
        <v>8</v>
      </c>
      <c r="W24" s="1561">
        <f>J24</f>
        <v>100</v>
      </c>
      <c r="X24" s="1554"/>
      <c r="Y24" s="342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2"/>
      <c r="Q25" s="1147">
        <f t="shared" si="11"/>
        <v>111</v>
      </c>
      <c r="R25" s="1555" t="s">
        <v>8</v>
      </c>
      <c r="S25" s="1556">
        <f>F25</f>
        <v>100</v>
      </c>
      <c r="T25" s="1555" t="s">
        <v>8</v>
      </c>
      <c r="U25" s="1556">
        <f>H25</f>
        <v>100</v>
      </c>
      <c r="V25" s="1555" t="s">
        <v>8</v>
      </c>
      <c r="W25" s="1556">
        <f>J25</f>
        <v>100</v>
      </c>
      <c r="X25" s="1557"/>
      <c r="Y25" s="3422"/>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4"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4"/>
      <c r="Q27" s="1591" t="str">
        <f t="shared" si="11"/>
        <v>成新率</v>
      </c>
      <c r="R27" s="1564" t="s">
        <v>8</v>
      </c>
      <c r="S27" s="1565" t="e">
        <f t="shared" si="12"/>
        <v>#N/A</v>
      </c>
      <c r="T27" s="1564" t="s">
        <v>8</v>
      </c>
      <c r="U27" s="1565" t="e">
        <f t="shared" si="13"/>
        <v>#N/A</v>
      </c>
      <c r="V27" s="1564" t="s">
        <v>8</v>
      </c>
      <c r="W27" s="1565" t="e">
        <f t="shared" si="14"/>
        <v>#N/A</v>
      </c>
      <c r="X27" s="1566"/>
      <c r="Y27" s="3424"/>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4"/>
      <c r="Q28" s="1559" t="str">
        <f t="shared" si="11"/>
        <v>物业等级</v>
      </c>
      <c r="R28" s="1560" t="s">
        <v>8</v>
      </c>
      <c r="S28" s="1561">
        <f t="shared" si="12"/>
        <v>100</v>
      </c>
      <c r="T28" s="1560" t="s">
        <v>8</v>
      </c>
      <c r="U28" s="1561">
        <f t="shared" si="13"/>
        <v>100</v>
      </c>
      <c r="V28" s="1560" t="s">
        <v>8</v>
      </c>
      <c r="W28" s="1561">
        <f t="shared" si="14"/>
        <v>100</v>
      </c>
      <c r="X28" s="1554"/>
      <c r="Y28" s="3424"/>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4"/>
      <c r="Q29" s="1559" t="str">
        <f t="shared" si="11"/>
        <v>有无电梯</v>
      </c>
      <c r="R29" s="1560" t="s">
        <v>8</v>
      </c>
      <c r="S29" s="1561">
        <f t="shared" si="12"/>
        <v>100</v>
      </c>
      <c r="T29" s="1560" t="s">
        <v>8</v>
      </c>
      <c r="U29" s="1561">
        <f t="shared" si="13"/>
        <v>100</v>
      </c>
      <c r="V29" s="1560" t="s">
        <v>8</v>
      </c>
      <c r="W29" s="1561">
        <f t="shared" si="14"/>
        <v>100</v>
      </c>
      <c r="X29" s="1554"/>
      <c r="Y29" s="3424"/>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4"/>
      <c r="Q30" s="1559" t="str">
        <f t="shared" si="11"/>
        <v>建筑面积</v>
      </c>
      <c r="R30" s="1560" t="s">
        <v>8</v>
      </c>
      <c r="S30" s="1561" t="e">
        <f t="shared" si="12"/>
        <v>#N/A</v>
      </c>
      <c r="T30" s="1560" t="s">
        <v>8</v>
      </c>
      <c r="U30" s="1561" t="e">
        <f t="shared" si="13"/>
        <v>#N/A</v>
      </c>
      <c r="V30" s="1560" t="s">
        <v>8</v>
      </c>
      <c r="W30" s="1561" t="e">
        <f t="shared" si="14"/>
        <v>#N/A</v>
      </c>
      <c r="X30" s="1554"/>
      <c r="Y30" s="3424"/>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4"/>
      <c r="Q31" s="1147" t="str">
        <f t="shared" si="11"/>
        <v>是否封闭</v>
      </c>
      <c r="R31" s="1555" t="s">
        <v>8</v>
      </c>
      <c r="S31" s="1556">
        <f t="shared" si="12"/>
        <v>100</v>
      </c>
      <c r="T31" s="1555" t="s">
        <v>8</v>
      </c>
      <c r="U31" s="1556">
        <f t="shared" si="13"/>
        <v>100</v>
      </c>
      <c r="V31" s="1555" t="s">
        <v>8</v>
      </c>
      <c r="W31" s="1556">
        <f t="shared" si="14"/>
        <v>100</v>
      </c>
      <c r="X31" s="1557"/>
      <c r="Y31" s="342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4" t="s">
        <v>550</v>
      </c>
      <c r="Q32" s="1559">
        <f t="shared" si="11"/>
        <v>111</v>
      </c>
      <c r="R32" s="1560" t="s">
        <v>8</v>
      </c>
      <c r="S32" s="1561">
        <f t="shared" si="12"/>
        <v>100</v>
      </c>
      <c r="T32" s="1560" t="s">
        <v>8</v>
      </c>
      <c r="U32" s="1561">
        <f t="shared" si="13"/>
        <v>100</v>
      </c>
      <c r="V32" s="1560" t="s">
        <v>8</v>
      </c>
      <c r="W32" s="1561">
        <f t="shared" si="14"/>
        <v>100</v>
      </c>
      <c r="X32" s="1554"/>
      <c r="Y32" s="3424"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4"/>
      <c r="Q33" s="1559">
        <f t="shared" si="11"/>
        <v>111</v>
      </c>
      <c r="R33" s="1560" t="s">
        <v>8</v>
      </c>
      <c r="S33" s="1561">
        <f t="shared" si="12"/>
        <v>100</v>
      </c>
      <c r="T33" s="1560" t="s">
        <v>8</v>
      </c>
      <c r="U33" s="1561">
        <f t="shared" si="13"/>
        <v>100</v>
      </c>
      <c r="V33" s="1560" t="s">
        <v>8</v>
      </c>
      <c r="W33" s="1561">
        <f t="shared" si="14"/>
        <v>100</v>
      </c>
      <c r="X33" s="1554"/>
      <c r="Y33" s="342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4"/>
      <c r="Q34" s="1559">
        <f t="shared" si="11"/>
        <v>111</v>
      </c>
      <c r="R34" s="1560" t="s">
        <v>8</v>
      </c>
      <c r="S34" s="1561">
        <f t="shared" si="12"/>
        <v>100</v>
      </c>
      <c r="T34" s="1560" t="s">
        <v>8</v>
      </c>
      <c r="U34" s="1561">
        <f t="shared" si="13"/>
        <v>100</v>
      </c>
      <c r="V34" s="1560" t="s">
        <v>8</v>
      </c>
      <c r="W34" s="1561">
        <f t="shared" si="14"/>
        <v>100</v>
      </c>
      <c r="X34" s="1554"/>
      <c r="Y34" s="3424"/>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9" t="str">
        <f>A35</f>
        <v>成交单价（元/平方米）</v>
      </c>
      <c r="Q35" s="3419"/>
      <c r="R35" s="3499">
        <f>E35</f>
        <v>0</v>
      </c>
      <c r="S35" s="3499"/>
      <c r="T35" s="3499">
        <f>G35</f>
        <v>0</v>
      </c>
      <c r="U35" s="3499"/>
      <c r="V35" s="3499">
        <f>I35</f>
        <v>0</v>
      </c>
      <c r="W35" s="3499"/>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19" t="str">
        <f>A36</f>
        <v>比较价格（元/平方米）</v>
      </c>
      <c r="Q36" s="3419"/>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40" t="str">
        <f>A37</f>
        <v>估价对象XX用房的比较价格（楼面单价，元/平方米）</v>
      </c>
      <c r="Q37" s="3441"/>
      <c r="R37" s="3500" t="e">
        <f>IF(F1="售价",ROUND(AVERAGE(R36:V36),0),ROUND(AVERAGE(R36:V36),1))</f>
        <v>#DIV/0!</v>
      </c>
      <c r="S37" s="3500"/>
      <c r="T37" s="3500"/>
      <c r="U37" s="3500"/>
      <c r="V37" s="3500"/>
      <c r="W37" s="3500"/>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34" t="s">
        <v>2304</v>
      </c>
      <c r="D1" s="3535"/>
      <c r="E1" s="3535"/>
      <c r="F1" s="3535"/>
      <c r="G1" s="3535"/>
      <c r="H1" s="3535"/>
      <c r="I1" s="3535"/>
      <c r="J1" s="3535"/>
      <c r="K1" s="3535"/>
      <c r="L1" s="3535"/>
      <c r="M1" s="3535"/>
      <c r="N1" s="3535"/>
      <c r="O1" s="3535"/>
      <c r="P1" s="3535"/>
      <c r="Q1" s="3535"/>
      <c r="R1" s="3535"/>
      <c r="S1" s="3536"/>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31" t="s">
        <v>20</v>
      </c>
      <c r="D22" s="3532"/>
      <c r="E22" s="3532"/>
      <c r="F22" s="3532"/>
      <c r="G22" s="3532"/>
      <c r="H22" s="3532"/>
      <c r="I22" s="3532"/>
      <c r="J22" s="3532"/>
      <c r="K22" s="3532"/>
      <c r="L22" s="3532"/>
      <c r="M22" s="3532"/>
      <c r="N22" s="3532"/>
      <c r="O22" s="3532"/>
      <c r="P22" s="3532"/>
      <c r="Q22" s="3533"/>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43672</v>
      </c>
      <c r="H1" s="2894">
        <f>IF(C1&gt;C13,0,MATCH(C1,C$13:C$100,-1))+IF(SUMIF(C13:C100,C1,D13:D100)=0,13,12)</f>
        <v>13</v>
      </c>
      <c r="I1" s="2894">
        <f>MATCH(C2,H3:H7,1)+IF(SUMIF(H3:H7,C2,I3:I7)=0,2,1)</f>
        <v>6</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3.5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2038</v>
      </c>
      <c r="B1" s="3230"/>
      <c r="C1" s="3230"/>
      <c r="D1" s="3230"/>
      <c r="E1" s="3230"/>
      <c r="F1" s="3230"/>
      <c r="G1" s="3230"/>
      <c r="H1" s="3230"/>
      <c r="I1" s="3230"/>
      <c r="J1" s="3230"/>
      <c r="K1" s="3230"/>
      <c r="L1" s="3230"/>
      <c r="M1" s="3230"/>
      <c r="N1" s="3230"/>
      <c r="O1" s="3230"/>
      <c r="P1" s="3230"/>
      <c r="Q1" s="3230"/>
      <c r="R1" s="3230"/>
    </row>
    <row r="2" spans="1:18">
      <c r="A2" s="1793" t="s">
        <v>2040</v>
      </c>
      <c r="B2" s="1793"/>
      <c r="C2" s="1793"/>
      <c r="D2" s="1793"/>
      <c r="E2" s="1793"/>
      <c r="F2" s="1793"/>
      <c r="G2" s="1793"/>
      <c r="H2" s="1793"/>
      <c r="I2" s="1794"/>
      <c r="J2" s="1794"/>
      <c r="K2" s="1795" t="str">
        <f>"估价期日："&amp;TEXT(项目基本情况!D3,"yyyy年m月d日;;")</f>
        <v>估价期日：2019年7月26日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1" t="s">
        <v>2029</v>
      </c>
      <c r="B3" s="3231" t="s">
        <v>2731</v>
      </c>
      <c r="C3" s="3232" t="s">
        <v>2030</v>
      </c>
      <c r="D3" s="3231" t="s">
        <v>2735</v>
      </c>
      <c r="E3" s="3234" t="s">
        <v>2031</v>
      </c>
      <c r="F3" s="3234"/>
      <c r="G3" s="3234"/>
      <c r="H3" s="3234" t="s">
        <v>2032</v>
      </c>
      <c r="I3" s="3234"/>
      <c r="J3" s="3234"/>
      <c r="K3" s="3232" t="s">
        <v>2033</v>
      </c>
      <c r="L3" s="3232" t="s">
        <v>2034</v>
      </c>
      <c r="M3" s="3231" t="s">
        <v>2732</v>
      </c>
      <c r="N3" s="3233" t="str">
        <f>"（分摊）"&amp;项目基本情况!B16&amp;"国有建设用地使用权面积/㎡"</f>
        <v>（分摊）出让国有建设用地使用权面积/㎡</v>
      </c>
      <c r="O3" s="3231" t="s">
        <v>2063</v>
      </c>
      <c r="P3" s="3232" t="s">
        <v>2043</v>
      </c>
      <c r="Q3" s="3232" t="s">
        <v>2064</v>
      </c>
      <c r="R3" s="3232" t="s">
        <v>2035</v>
      </c>
    </row>
    <row r="4" spans="1:18" ht="36.75" customHeight="1">
      <c r="A4" s="3231"/>
      <c r="B4" s="3231"/>
      <c r="C4" s="3232"/>
      <c r="D4" s="3231"/>
      <c r="E4" s="2614" t="s">
        <v>2042</v>
      </c>
      <c r="F4" s="2614" t="s">
        <v>2744</v>
      </c>
      <c r="G4" s="2614" t="s">
        <v>2036</v>
      </c>
      <c r="H4" s="2614" t="s">
        <v>2037</v>
      </c>
      <c r="I4" s="2614" t="s">
        <v>2745</v>
      </c>
      <c r="J4" s="2614" t="s">
        <v>2036</v>
      </c>
      <c r="K4" s="3232"/>
      <c r="L4" s="3232"/>
      <c r="M4" s="3231"/>
      <c r="N4" s="3233"/>
      <c r="O4" s="3231"/>
      <c r="P4" s="3232"/>
      <c r="Q4" s="3232"/>
      <c r="R4" s="3232"/>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105380</v>
      </c>
      <c r="O5" s="1796">
        <f>项目基本情况!C21</f>
        <v>302223.06</v>
      </c>
      <c r="P5" s="1796">
        <f ca="1">结果表!E42</f>
        <v>9668</v>
      </c>
      <c r="Q5" s="1796">
        <f ca="1">结果表!D42</f>
        <v>3371</v>
      </c>
      <c r="R5" s="1797">
        <f ca="1">结果表!C42</f>
        <v>101882</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798">
        <f ca="1">结果表!O39</f>
        <v>101882</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798"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35" t="s">
        <v>2065</v>
      </c>
      <c r="B1" s="3235"/>
      <c r="C1" s="3235"/>
      <c r="D1" s="3235"/>
    </row>
    <row r="2" spans="1:4" ht="47.25" customHeight="1">
      <c r="A2" s="3239" t="str">
        <f>"1.权利限制："&amp;项目基本情况!L24&amp;"未设定租赁等其他他项权利。"</f>
        <v>1.权利限制：根据估价对象《不动产权证书》原件、《国有土地使用权》复印件，截至估价期日，估价对象抵押权未见登记。未设定租赁等其他他项权利。</v>
      </c>
      <c r="B2" s="3239"/>
      <c r="C2" s="3239"/>
      <c r="D2" s="3239"/>
    </row>
    <row r="3" spans="1:4" ht="48" customHeight="1">
      <c r="A3" s="32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8" t="s">
        <v>2066</v>
      </c>
      <c r="B5" s="3238"/>
      <c r="C5" s="3238"/>
      <c r="D5" s="3238"/>
    </row>
    <row r="6" spans="1:4">
      <c r="A6" s="3235" t="s">
        <v>2044</v>
      </c>
      <c r="B6" s="3235"/>
      <c r="C6" s="3235"/>
      <c r="D6" s="3235"/>
    </row>
    <row r="7" spans="1:4" ht="33" customHeight="1">
      <c r="A7" s="3235" t="s">
        <v>2575</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7"/>
      <c r="C11" s="3237"/>
      <c r="D11" s="3237"/>
    </row>
    <row r="12" spans="1:4" ht="168" customHeight="1">
      <c r="A12" s="3238" t="s">
        <v>2068</v>
      </c>
      <c r="B12" s="3238"/>
      <c r="C12" s="3238"/>
      <c r="D12" s="3238"/>
    </row>
    <row r="13" spans="1:4">
      <c r="A13" s="3236" t="s">
        <v>2746</v>
      </c>
      <c r="B13" s="3236"/>
      <c r="C13" s="3236"/>
      <c r="D13" s="3236"/>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2702</v>
      </c>
      <c r="B17" s="3235"/>
      <c r="C17" s="3235"/>
      <c r="D17" s="3235"/>
    </row>
    <row r="18" spans="1:4">
      <c r="A18" s="3235" t="s">
        <v>2694</v>
      </c>
      <c r="B18" s="3235"/>
      <c r="C18" s="3235"/>
      <c r="D18" s="3235"/>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35" t="s">
        <v>2699</v>
      </c>
      <c r="B23" s="3235"/>
      <c r="C23" s="3235"/>
      <c r="D23" s="3235"/>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47" t="s">
        <v>53</v>
      </c>
      <c r="B15" s="3248" t="s">
        <v>846</v>
      </c>
      <c r="C15" s="3244"/>
    </row>
    <row r="16" spans="1:7" ht="14.25">
      <c r="A16" s="3247"/>
      <c r="B16" s="3245" t="s">
        <v>54</v>
      </c>
      <c r="C16" s="1168" t="s">
        <v>53</v>
      </c>
    </row>
    <row r="17" spans="1:3" ht="14.25">
      <c r="A17" s="3247"/>
      <c r="B17" s="3245"/>
      <c r="C17" s="1168" t="s">
        <v>55</v>
      </c>
    </row>
    <row r="18" spans="1:3" ht="14.25">
      <c r="A18" s="3247"/>
      <c r="B18" s="3245"/>
      <c r="C18" s="1168" t="s">
        <v>56</v>
      </c>
    </row>
    <row r="19" spans="1:3" ht="14.25">
      <c r="A19" s="3247"/>
      <c r="B19" s="3243" t="s">
        <v>57</v>
      </c>
      <c r="C19" s="3244"/>
    </row>
    <row r="20" spans="1:3" ht="14.25">
      <c r="A20" s="1169" t="s">
        <v>58</v>
      </c>
      <c r="B20" s="1170"/>
      <c r="C20" s="1171"/>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2" t="s">
        <v>837</v>
      </c>
    </row>
    <row r="25" spans="1:3" ht="14.25">
      <c r="A25" s="3246"/>
      <c r="B25" s="3250"/>
      <c r="C25" s="1172" t="s">
        <v>838</v>
      </c>
    </row>
    <row r="26" spans="1:3" ht="14.25">
      <c r="A26" s="3246"/>
      <c r="B26" s="3250"/>
      <c r="C26" s="1172" t="s">
        <v>839</v>
      </c>
    </row>
    <row r="27" spans="1:3" ht="14.25">
      <c r="A27" s="3246"/>
      <c r="B27" s="3250"/>
      <c r="C27" s="1172" t="s">
        <v>840</v>
      </c>
    </row>
    <row r="28" spans="1:3" ht="14.25">
      <c r="A28" s="3246"/>
      <c r="B28" s="3250"/>
      <c r="C28" s="1172" t="s">
        <v>841</v>
      </c>
    </row>
    <row r="29" spans="1:3" ht="14.25">
      <c r="A29" s="3246"/>
      <c r="B29" s="3250"/>
      <c r="C29" s="1172" t="s">
        <v>842</v>
      </c>
    </row>
    <row r="30" spans="1:3" ht="14.25">
      <c r="A30" s="3246"/>
      <c r="B30" s="3250"/>
      <c r="C30" s="1172" t="s">
        <v>843</v>
      </c>
    </row>
    <row r="31" spans="1:3" ht="14.25">
      <c r="A31" s="3246"/>
      <c r="B31" s="3250"/>
      <c r="C31" s="1172" t="s">
        <v>844</v>
      </c>
    </row>
    <row r="32" spans="1:3" ht="14.25">
      <c r="A32" s="3246"/>
      <c r="B32" s="3250"/>
      <c r="C32" s="1172" t="s">
        <v>1646</v>
      </c>
    </row>
    <row r="33" spans="1:3" ht="14.25">
      <c r="A33" s="3246"/>
      <c r="B33" s="3240" t="s">
        <v>1652</v>
      </c>
      <c r="C33" s="1172" t="s">
        <v>1647</v>
      </c>
    </row>
    <row r="34" spans="1:3" ht="14.25">
      <c r="A34" s="3246"/>
      <c r="B34" s="3241"/>
      <c r="C34" s="1177" t="s">
        <v>1648</v>
      </c>
    </row>
    <row r="35" spans="1:3" ht="14.25">
      <c r="A35" s="3246"/>
      <c r="B35" s="3241"/>
      <c r="C35" s="1178" t="s">
        <v>1649</v>
      </c>
    </row>
    <row r="36" spans="1:3" ht="14.25">
      <c r="A36" s="3246"/>
      <c r="B36" s="3241"/>
      <c r="C36" s="1178" t="s">
        <v>1650</v>
      </c>
    </row>
    <row r="37" spans="1:3" ht="14.25">
      <c r="A37" s="3246"/>
      <c r="B37" s="324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43679</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2982</v>
      </c>
      <c r="B14" s="3131">
        <f ca="1">IF(C14&lt;B2,"已过期",1120040230)</f>
        <v>1120040230</v>
      </c>
      <c r="C14" s="3135">
        <v>43835</v>
      </c>
      <c r="D14" s="3136" t="s">
        <v>2983</v>
      </c>
      <c r="E14" s="3131">
        <f ca="1">IF(F14&lt;B2,"已过期",98030020)</f>
        <v>98030020</v>
      </c>
      <c r="F14" s="3134">
        <v>47118</v>
      </c>
    </row>
    <row r="15" spans="1:6" ht="20.25" customHeight="1">
      <c r="A15" s="3131" t="s">
        <v>2574</v>
      </c>
      <c r="B15" s="3131">
        <f ca="1">IF(C15&lt;B2,"已过期",1120070085)</f>
        <v>1120070085</v>
      </c>
      <c r="C15" s="3135">
        <v>43814</v>
      </c>
      <c r="D15" s="3131" t="s">
        <v>2984</v>
      </c>
      <c r="E15" s="3131">
        <f ca="1">IF(F15&lt;B2,"已过期",2004110128)</f>
        <v>2004110128</v>
      </c>
      <c r="F15" s="3137">
        <v>47118</v>
      </c>
    </row>
    <row r="16" spans="1:6" ht="20.25" customHeight="1">
      <c r="A16" s="3131" t="s">
        <v>1923</v>
      </c>
      <c r="B16" s="3131">
        <f ca="1">IF(C16&lt;B2,"已过期",1120140022)</f>
        <v>1120140022</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1" t="s">
        <v>1926</v>
      </c>
      <c r="B25" s="3251"/>
      <c r="C25" s="3251"/>
      <c r="D25" s="3251"/>
      <c r="E25" s="3251"/>
      <c r="F25" s="3251"/>
      <c r="G25" s="3251"/>
    </row>
    <row r="26" spans="1:7" ht="20.25" customHeight="1">
      <c r="A26" s="3252" t="s">
        <v>1927</v>
      </c>
      <c r="B26" s="3252"/>
      <c r="C26" s="3252"/>
      <c r="D26" s="3252" t="s">
        <v>1928</v>
      </c>
      <c r="E26" s="3252"/>
      <c r="F26" s="3252"/>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 sqref="X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3256</v>
      </c>
      <c r="C20" s="1541"/>
    </row>
    <row r="21" spans="1:3">
      <c r="A21" s="8" t="s">
        <v>122</v>
      </c>
      <c r="B21" s="8" t="s">
        <v>3257</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3"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26日，在规划利用条件下、设定土地开发程度为红线外“七通”、宗地内场地，设定用途为，剩余土地使用年限为的出让国有建设用地使用权价格。</v>
      </c>
      <c r="D53" s="1753"/>
      <c r="E53" s="1753"/>
    </row>
    <row r="54" spans="1:5">
      <c r="A54" s="3253"/>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3"/>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3"/>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3"/>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Sheet5</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 (叠拼)</vt:lpstr>
      <vt:lpstr>不动产比较法-住宅</vt:lpstr>
      <vt:lpstr>不动产收益法</vt:lpstr>
      <vt:lpstr>不动产收益法 (高层仓促)</vt:lpstr>
      <vt:lpstr>不动产收益法 (车库)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住宅朝向</vt:lpstr>
      <vt:lpstr>'不动产比较法-住宅 (叠拼)'!住宅房型</vt:lpstr>
      <vt:lpstr>住宅房型</vt:lpstr>
      <vt:lpstr>'不动产比较法-住宅 (叠拼)'!住宅公共部分装修</vt:lpstr>
      <vt:lpstr>住宅公共部分装修</vt:lpstr>
      <vt:lpstr>'不动产比较法-住宅 (叠拼)'!住宅基础设施水平</vt:lpstr>
      <vt:lpstr>住宅基础设施水平</vt:lpstr>
      <vt:lpstr>'不动产比较法-住宅 (叠拼)'!住宅建筑结构</vt:lpstr>
      <vt:lpstr>住宅建筑结构</vt:lpstr>
      <vt:lpstr>'不动产比较法-住宅 (叠拼)'!住宅建筑类型</vt:lpstr>
      <vt:lpstr>住宅建筑类型</vt:lpstr>
      <vt:lpstr>'不动产比较法-住宅 (叠拼)'!住宅建筑品质</vt:lpstr>
      <vt:lpstr>住宅建筑品质</vt:lpstr>
      <vt:lpstr>'不动产比较法-住宅 (叠拼)'!住宅交易情况</vt:lpstr>
      <vt:lpstr>住宅交易情况</vt:lpstr>
      <vt:lpstr>'不动产比较法-住宅 (叠拼)'!住宅楼层</vt:lpstr>
      <vt:lpstr>住宅楼层</vt:lpstr>
      <vt:lpstr>'不动产比较法-住宅 (叠拼)'!住宅内部装修</vt:lpstr>
      <vt:lpstr>住宅内部装修</vt:lpstr>
      <vt:lpstr>'不动产比较法-住宅 (叠拼)'!住宅物业管理</vt:lpstr>
      <vt:lpstr>住宅物业管理</vt:lpstr>
      <vt:lpstr>'不动产比较法-住宅 (叠拼)'!住宅用途</vt:lpstr>
      <vt:lpstr>住宅用途</vt:lpstr>
      <vt:lpstr>'不动产比较法-住宅 (叠拼)'!住宅主力户型面积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2019-08-02T05:10:05Z</dcterms:modified>
</cp:coreProperties>
</file>