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 name="Sheet1" sheetId="73" r:id="rId46"/>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I13" i="3"/>
  <c r="AD13" i="3"/>
  <c r="C106" i="9" l="1"/>
  <c r="W21" i="1" l="1"/>
  <c r="E7" i="39" l="1"/>
  <c r="C30" i="9"/>
  <c r="B27" i="9" l="1"/>
  <c r="D30"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F14" i="67"/>
  <c r="M30" i="44"/>
  <c r="B12" i="67"/>
  <c r="F11" i="67"/>
  <c r="E11" i="67"/>
  <c r="N7" i="65"/>
  <c r="E8" i="67"/>
  <c r="B13" i="67"/>
  <c r="F10" i="67"/>
  <c r="F10" i="44"/>
  <c r="M28" i="44"/>
  <c r="F38" i="44"/>
  <c r="N3" i="65"/>
  <c r="F9" i="67"/>
  <c r="M11" i="44"/>
  <c r="B11" i="67"/>
  <c r="B14" i="67"/>
  <c r="N6" i="65"/>
  <c r="B10" i="67"/>
  <c r="E13" i="67"/>
  <c r="E12" i="67"/>
  <c r="N5" i="65"/>
  <c r="E14" i="67"/>
  <c r="M10" i="44"/>
  <c r="F8" i="67"/>
  <c r="F12" i="67"/>
  <c r="M24" i="44"/>
  <c r="J17" i="44"/>
  <c r="B9" i="67"/>
  <c r="M26" i="44"/>
  <c r="F18" i="44"/>
  <c r="M29" i="44"/>
  <c r="E10" i="67"/>
  <c r="B8" i="67"/>
  <c r="E9" i="67"/>
  <c r="F13" i="67"/>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M25" i="44"/>
  <c r="I7" i="65"/>
  <c r="F37" i="15"/>
  <c r="F16" i="15"/>
  <c r="I6" i="65"/>
  <c r="I4" i="65"/>
  <c r="M28" i="15"/>
  <c r="F38" i="15"/>
  <c r="F9" i="44"/>
  <c r="M6" i="15"/>
  <c r="F28" i="44"/>
  <c r="M9" i="15"/>
  <c r="F8" i="44"/>
  <c r="M26" i="15"/>
  <c r="I3" i="65"/>
  <c r="M24" i="15"/>
  <c r="J36" i="15"/>
  <c r="F9" i="15"/>
  <c r="F40" i="15"/>
  <c r="J7" i="65"/>
  <c r="J3" i="65"/>
  <c r="F13" i="15"/>
  <c r="F11" i="44"/>
  <c r="F45" i="44"/>
  <c r="M29" i="15"/>
  <c r="F15" i="44"/>
  <c r="J4" i="65"/>
  <c r="J15" i="15"/>
  <c r="M22" i="15"/>
  <c r="L47" i="15"/>
  <c r="F26" i="15"/>
  <c r="F7" i="15"/>
  <c r="M23" i="15"/>
  <c r="F8" i="15"/>
  <c r="M27" i="15"/>
  <c r="F40" i="44"/>
  <c r="F43" i="44"/>
  <c r="M8" i="44"/>
  <c r="F39" i="44"/>
  <c r="M31" i="44"/>
  <c r="M8" i="15"/>
  <c r="L48" i="15"/>
  <c r="F42" i="15"/>
  <c r="J6" i="65"/>
  <c r="F43" i="70"/>
  <c r="J5" i="65"/>
  <c r="I5" i="65"/>
  <c r="F43" i="15"/>
  <c r="L48" i="44"/>
  <c r="F36" i="15"/>
  <c r="L49" i="44"/>
  <c r="R7" i="54" l="1"/>
  <c r="B52" i="63" s="1"/>
  <c r="Q73" i="44"/>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F8" i="70"/>
  <c r="F26" i="70"/>
  <c r="F13" i="70"/>
  <c r="F7" i="70"/>
  <c r="F9" i="70"/>
  <c r="J36" i="70"/>
  <c r="M26" i="70"/>
  <c r="E3" i="65"/>
  <c r="M23" i="70"/>
  <c r="C18" i="44"/>
  <c r="L48" i="70"/>
  <c r="M27" i="70"/>
  <c r="M28" i="70"/>
  <c r="F37" i="70"/>
  <c r="J15" i="70"/>
  <c r="F16" i="70"/>
  <c r="C16" i="15"/>
  <c r="M8" i="70"/>
  <c r="M24" i="70"/>
  <c r="F42" i="70"/>
  <c r="M6" i="70"/>
  <c r="M22" i="70"/>
  <c r="F6" i="70"/>
  <c r="M9" i="70"/>
  <c r="L47" i="70"/>
  <c r="F38" i="70"/>
  <c r="M29" i="70"/>
  <c r="F40" i="70"/>
  <c r="F36" i="70"/>
  <c r="E2" i="65"/>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F41" i="70"/>
  <c r="AE7" i="1"/>
  <c r="C16" i="70"/>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C19" i="44"/>
  <c r="F46" i="44"/>
  <c r="L52" i="44"/>
  <c r="F41" i="15"/>
  <c r="C17" i="15"/>
  <c r="C17" i="70"/>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F37" i="44"/>
  <c r="C14" i="70"/>
  <c r="M21" i="15"/>
  <c r="F35" i="70"/>
  <c r="F7" i="67"/>
  <c r="F35" i="15"/>
  <c r="C14" i="15"/>
  <c r="M23" i="44"/>
  <c r="C16" i="44"/>
  <c r="M21" i="70"/>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B7" i="67"/>
  <c r="E7" i="67"/>
  <c r="C19" i="70" l="1"/>
  <c r="C20" i="70" s="1"/>
  <c r="C21" i="44"/>
  <c r="C22" i="44" s="1"/>
  <c r="C25" i="44" s="1"/>
  <c r="C19" i="15"/>
  <c r="C20" i="15" s="1"/>
  <c r="C26" i="15" s="1"/>
  <c r="E3" i="67"/>
  <c r="I6" i="6"/>
  <c r="C13" i="39" s="1"/>
  <c r="I5" i="6"/>
  <c r="C11" i="21" s="1"/>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B4" i="40" l="1"/>
  <c r="B5" i="40"/>
  <c r="B3" i="40"/>
  <c r="D77" i="9" l="1"/>
  <c r="N75" i="9" s="1"/>
  <c r="W20" i="1" l="1"/>
  <c r="U7" i="1" s="1"/>
  <c r="F6" i="15"/>
  <c r="C6" i="15" l="1"/>
  <c r="C10" i="15" s="1"/>
  <c r="C5" i="15" s="1"/>
  <c r="C32" i="15" l="1"/>
  <c r="C38" i="15"/>
  <c r="C33" i="15"/>
  <c r="C31" i="15" l="1"/>
  <c r="C30" i="15" s="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19" i="9"/>
  <c r="D21"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<sst xmlns="http://schemas.openxmlformats.org/spreadsheetml/2006/main" count="7781" uniqueCount="3239">
  <si>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</si>
  <si>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</si>
  <si>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</si>
  <si>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</si>
  <si>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</si>
  <si>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</si>
  <si>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</si>
  <si>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</si>
  <si>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</si>
  <si>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</si>
  <si>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</si>
  <si>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</si>
  <si>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</si>
  <si>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</si>
  <si>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</si>
  <si>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</si>
  <si>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</si>
  <si>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</si>
  <si>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</si>
  <si>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</si>
  <si>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</si>
  <si>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</si>
  <si>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</si>
  <si>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</si>
  <si>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</si>
  <si>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</si>
  <si>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</si>
  <si>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</si>
  <si>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</si>
  <si>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</si>
  <si>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</si>
  <si>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</si>
  <si>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</si>
  <si>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</si>
  <si>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</si>
  <si>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</si>
  <si>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</si>
  <si>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</si>
  <si>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</si>
  <si>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</si>
  <si>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</si>
  <si>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</si>
  <si>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</si>
  <si>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</si>
  <si>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</si>
  <si>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</si>
  <si>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</si>
  <si>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</si>
  <si>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</si>
  <si>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</si>
  <si>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</si>
  <si>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</si>
  <si>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</si>
  <si>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</si>
  <si>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</si>
  <si>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</si>
  <si>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</si>
  <si>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</si>
  <si>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</si>
  <si>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</si>
  <si>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</si>
  <si>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</si>
  <si>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</si>
  <si>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</si>
  <si>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</si>
  <si>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</si>
  <si>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</si>
  <si>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</si>
  <si>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</si>
  <si>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</si>
  <si>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</si>
  <si>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</si>
  <si>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</si>
  <si>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</si>
  <si>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</si>
  <si>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</si>
  <si>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</si>
  <si>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</si>
  <si>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</si>
  <si>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</si>
  <si>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</si>
  <si>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</si>
  <si>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</si>
  <si>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</si>
  <si>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</si>
  <si>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</si>
  <si>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</si>
  <si>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</si>
  <si>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</si>
  <si>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</si>
  <si>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</si>
  <si>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</si>
  <si>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</si>
  <si>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</si>
  <si>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</si>
  <si>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</si>
  <si>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</si>
  <si>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</si>
  <si>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</si>
  <si>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</si>
  <si>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</si>
  <si>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</si>
  <si>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</si>
  <si>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</si>
  <si>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</si>
  <si>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</si>
  <si>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</si>
  <si>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</si>
  <si>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</si>
  <si>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</si>
  <si>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</si>
  <si>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</si>
  <si>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</si>
  <si>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</si>
  <si>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</si>
  <si>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</si>
  <si>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</si>
  <si>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</si>
  <si>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</si>
  <si>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</si>
  <si>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</si>
  <si>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</si>
  <si>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</si>
  <si>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</si>
  <si>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</si>
  <si>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</si>
  <si>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</si>
  <si>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</si>
  <si>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</si>
  <si>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</si>
  <si>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</si>
  <si>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</si>
  <si>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</si>
  <si>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</si>
  <si>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</si>
  <si>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</si>
  <si>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</si>
  <si>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</si>
  <si>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</si>
  <si>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</si>
  <si>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</si>
  <si>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</si>
  <si>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</si>
  <si>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</si>
  <si>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</si>
  <si>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</si>
  <si>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</si>
  <si>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</si>
  <si>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</si>
  <si>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</si>
  <si>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</si>
  <si>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</si>
  <si>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</si>
  <si>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</si>
  <si>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</si>
  <si>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</si>
  <si>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</si>
  <si>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</si>
  <si>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</si>
  <si>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</si>
  <si>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</si>
  <si>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</si>
  <si>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</si>
  <si>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</si>
  <si>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</si>
  <si>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</si>
  <si>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</si>
  <si>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</si>
  <si>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</si>
  <si>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</si>
  <si>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</si>
  <si>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</si>
  <si>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</si>
  <si>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</si>
  <si>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</si>
  <si>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</si>
  <si>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</si>
  <si>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</si>
  <si>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</si>
  <si>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</si>
  <si>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</si>
  <si>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</si>
  <si>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</si>
  <si>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</si>
  <si>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</si>
  <si>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</si>
  <si>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</si>
  <si>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</si>
  <si>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</si>
  <si>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</si>
  <si>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</si>
  <si>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</si>
  <si>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</si>
  <si>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</si>
  <si>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</si>
  <si>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</si>
  <si>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</si>
  <si>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</si>
  <si>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</si>
  <si>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</si>
  <si>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</si>
  <si>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</si>
  <si>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</si>
  <si>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</si>
  <si>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</si>
  <si>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</si>
  <si>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</si>
  <si>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</si>
  <si>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</si>
  <si>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</si>
  <si>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</si>
  <si>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</si>
  <si>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</si>
  <si>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</si>
  <si>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</si>
  <si>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</si>
  <si>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</si>
  <si>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</si>
  <si>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</si>
  <si>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</si>
  <si>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</si>
  <si>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</si>
  <si>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</si>
  <si>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</si>
  <si>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</si>
  <si>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</si>
  <si>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</si>
  <si>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</si>
  <si>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</si>
  <si>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</si>
  <si>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</si>
  <si>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</si>
  <si>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</si>
  <si>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</si>
  <si>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</si>
  <si>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</si>
  <si>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</si>
  <si>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</si>
  <si>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</si>
  <si>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</si>
  <si>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</si>
  <si>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</si>
  <si>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</si>
  <si>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</si>
  <si>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</si>
  <si>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</si>
  <si>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</si>
  <si>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</si>
  <si>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</si>
  <si>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</si>
  <si>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</si>
  <si>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</si>
  <si>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</si>
  <si>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</si>
  <si>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</si>
  <si>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</si>
  <si>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</si>
  <si>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</si>
  <si>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</si>
  <si>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</si>
  <si>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</si>
  <si>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</si>
  <si>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</si>
  <si>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</si>
  <si>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</si>
  <si>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</si>
  <si>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</si>
  <si>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</si>
  <si>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</si>
  <si>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</si>
  <si>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</si>
  <si>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</si>
  <si>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</si>
  <si>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</si>
  <si>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</si>
  <si>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</si>
  <si>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</si>
  <si>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</si>
  <si>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</si>
  <si>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</si>
  <si>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</si>
  <si>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</si>
  <si>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</si>
  <si>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</si>
  <si>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</si>
  <si>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</si>
  <si>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</si>
  <si>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</si>
  <si>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</si>
  <si>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</si>
  <si>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</si>
  <si>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</si>
  <si>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</si>
  <si>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</si>
  <si>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</si>
  <si>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</si>
  <si>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</si>
  <si>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</si>
  <si>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</si>
  <si>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</si>
  <si>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</si>
  <si>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</si>
  <si>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</si>
  <si>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</si>
  <si>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</si>
  <si>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</si>
  <si>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</si>
  <si>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</si>
  <si>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</si>
  <si>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</si>
  <si>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</si>
  <si>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</si>
  <si>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</si>
  <si>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</si>
  <si>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</si>
  <si>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</si>
  <si>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</si>
  <si>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</si>
  <si>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</si>
  <si>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</si>
  <si>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</si>
  <si>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</si>
  <si>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</si>
  <si>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</si>
  <si>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</si>
  <si>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</si>
  <si>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</si>
  <si>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</si>
  <si>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</si>
  <si>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</si>
  <si>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</si>
  <si>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</si>
  <si>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</si>
  <si>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</si>
  <si>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</si>
  <si>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</si>
  <si>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</si>
  <si>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</si>
  <si>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</si>
  <si>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</si>
  <si>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</si>
  <si>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</si>
  <si>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</si>
  <si>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</si>
  <si>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</si>
  <si>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</si>
  <si>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</si>
  <si>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</si>
  <si>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</si>
  <si>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</si>
  <si>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</si>
  <si>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</si>
  <si>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</si>
  <si>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</si>
  <si>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</si>
  <si>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</si>
  <si>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</si>
  <si>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</si>
  <si>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</si>
  <si>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</si>
  <si>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</si>
  <si>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</si>
  <si>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</si>
  <si>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</si>
  <si>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</si>
  <si>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</si>
  <si>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</si>
  <si>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</si>
  <si>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</si>
  <si>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</si>
  <si>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</si>
  <si>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</si>
  <si>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</si>
  <si>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</si>
  <si>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</si>
  <si>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</si>
  <si>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</si>
  <si>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</si>
  <si>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</si>
  <si>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</si>
  <si>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</si>
  <si>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</si>
  <si>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</si>
  <si>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</si>
  <si>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</si>
  <si>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</si>
  <si>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</si>
  <si>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</si>
  <si>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</si>
  <si>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</si>
  <si>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</si>
  <si>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</si>
  <si>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</si>
  <si>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</si>
  <si>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</si>
  <si>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</si>
  <si>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</si>
  <si>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</si>
  <si>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</si>
  <si>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</si>
  <si>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</si>
  <si>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</si>
  <si>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</si>
  <si>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</si>
  <si>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</si>
  <si>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</si>
  <si>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</si>
  <si>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</si>
  <si>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</si>
  <si>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</si>
  <si>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</si>
  <si>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</si>
  <si>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</si>
  <si>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</si>
  <si>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</si>
  <si>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</si>
  <si>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</si>
  <si>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</si>
  <si>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</si>
  <si>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</si>
  <si>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</si>
  <si>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</si>
  <si>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</si>
  <si>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</si>
  <si>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</si>
  <si>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</si>
  <si>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</si>
  <si>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</si>
  <si>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</si>
  <si>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</si>
  <si>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</si>
  <si>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</si>
  <si>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</si>
  <si>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</si>
  <si>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</si>
  <si>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</si>
  <si>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</si>
  <si>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</si>
  <si>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</si>
  <si>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</si>
  <si>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</si>
  <si>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</si>
  <si>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</si>
  <si>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</si>
  <si>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</si>
  <si>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</si>
  <si>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</si>
  <si>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</si>
  <si>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</si>
  <si>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</si>
  <si>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</si>
  <si>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</si>
  <si>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</si>
  <si>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</si>
  <si>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</si>
  <si>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</si>
  <si>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</si>
  <si>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</si>
  <si>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</si>
  <si>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</si>
  <si>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</si>
  <si>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</si>
  <si>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</si>
  <si>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</si>
  <si>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</si>
  <si>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</si>
  <si>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</si>
  <si>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</si>
  <si>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</si>
  <si>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</si>
  <si>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</si>
  <si>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</si>
  <si>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</si>
  <si>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</si>
  <si>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</si>
  <si>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</si>
  <si>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</si>
  <si>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</si>
  <si>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</si>
  <si>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</si>
  <si>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</si>
  <si>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</si>
  <si>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</si>
  <si>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</si>
  <si>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</si>
  <si>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</si>
  <si>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</si>
  <si>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</si>
  <si>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</si>
  <si>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</si>
  <si>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</si>
  <si>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</si>
  <si>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</si>
  <si>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</si>
  <si>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</si>
  <si>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</si>
  <si>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</si>
  <si>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</si>
  <si>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</si>
  <si>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</si>
  <si>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</si>
  <si>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</si>
  <si>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</si>
  <si>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</si>
  <si>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</si>
  <si>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</si>
  <si>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</si>
  <si>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</si>
  <si>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</si>
  <si>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</si>
  <si>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</si>
  <si>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</si>
  <si>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</si>
  <si>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</si>
  <si>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</si>
  <si>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</si>
  <si>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</si>
  <si>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</si>
  <si>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</si>
  <si>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</si>
  <si>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</si>
  <si>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</si>
  <si>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</si>
  <si>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</si>
  <si>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</si>
  <si>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</si>
  <si>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</si>
  <si>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</si>
  <si>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</si>
  <si>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</si>
  <si>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</si>
  <si>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</si>
  <si>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</si>
  <si>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</si>
  <si>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</si>
  <si>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</si>
  <si>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</si>
  <si>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</si>
  <si>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</si>
  <si>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</si>
  <si>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</si>
  <si>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</si>
  <si>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</si>
  <si>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</si>
  <si>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</si>
  <si>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</si>
  <si>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</si>
  <si>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</si>
  <si>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</si>
  <si>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</si>
  <si>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</si>
  <si>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</si>
  <si>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</si>
  <si>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</si>
  <si>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</si>
  <si>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</si>
  <si>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</si>
  <si>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</si>
  <si>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</si>
  <si>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</si>
  <si>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</si>
  <si>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</si>
  <si>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</si>
  <si>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</si>
  <si>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</si>
  <si>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</si>
  <si>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</si>
  <si>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</si>
  <si>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</si>
  <si>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</si>
  <si>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</si>
  <si>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</si>
  <si>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</si>
  <si>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</si>
  <si>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</si>
  <si>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</si>
  <si>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</si>
  <si>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</si>
  <si>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</si>
  <si>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</si>
  <si>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</si>
  <si>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</si>
  <si>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</si>
  <si>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</si>
  <si>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</si>
  <si>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</si>
  <si>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</si>
  <si>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</si>
  <si>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</si>
  <si>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</si>
  <si>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</si>
  <si>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</si>
  <si>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</si>
  <si>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</si>
  <si>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</si>
  <si>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</si>
  <si>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</si>
  <si>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</si>
  <si>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</si>
  <si>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</si>
  <si>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</si>
  <si>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</si>
  <si>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</si>
  <si>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</si>
  <si>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</si>
  <si>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</si>
  <si>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</si>
  <si>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</si>
  <si>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</si>
  <si>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</si>
  <si>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</si>
  <si>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</si>
  <si>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</si>
  <si>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</si>
  <si>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</si>
  <si>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</si>
  <si>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</si>
  <si>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</si>
  <si>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</si>
  <si>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</si>
  <si>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</si>
  <si>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</si>
  <si>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</si>
  <si>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</si>
  <si>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</si>
  <si>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</si>
  <si>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</si>
  <si>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</si>
  <si>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</si>
  <si>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</si>
  <si>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</si>
  <si>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</si>
  <si>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</si>
  <si>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</si>
  <si>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</si>
  <si>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</si>
  <si>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</si>
  <si>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</si>
  <si>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</si>
  <si>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</si>
  <si>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</si>
  <si>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</si>
  <si>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</si>
  <si>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</si>
  <si>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</si>
  <si>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</si>
  <si>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</si>
  <si>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</si>
  <si>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</si>
  <si>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</si>
  <si>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</si>
  <si>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</si>
  <si>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</si>
  <si>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</si>
  <si>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</si>
  <si>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</si>
  <si>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</si>
  <si>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</si>
  <si>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</si>
  <si>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</si>
  <si>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</si>
  <si>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</si>
  <si>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</si>
  <si>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</si>
  <si>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</si>
  <si>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</si>
  <si>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</si>
  <si>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</si>
  <si>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</si>
  <si>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</si>
  <si>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</si>
  <si>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</si>
  <si>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</si>
  <si>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</si>
  <si>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</si>
  <si>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</si>
  <si>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</si>
  <si>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</si>
  <si>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</si>
  <si>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</si>
  <si>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</si>
  <si>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</si>
  <si>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</si>
  <si>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</si>
  <si>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</si>
  <si>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</si>
  <si>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</si>
  <si>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</si>
  <si>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</si>
  <si>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</si>
  <si>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</si>
  <si>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</si>
  <si>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</si>
  <si>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</si>
  <si>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</si>
  <si>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</si>
  <si>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</si>
  <si>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</si>
  <si>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</si>
  <si>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</si>
  <si>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</si>
  <si>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</si>
  <si>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</si>
  <si>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</si>
  <si>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</si>
  <si>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</si>
  <si>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</si>
  <si>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</si>
  <si>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</si>
  <si>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</si>
  <si>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</si>
  <si>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</si>
  <si>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</si>
  <si>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</si>
  <si>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</si>
  <si>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</si>
  <si>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</si>
  <si>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</si>
  <si>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</si>
  <si>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</si>
  <si>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</si>
  <si>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</si>
  <si>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</si>
  <si>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</si>
  <si>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</si>
  <si>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</si>
  <si>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</si>
  <si>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</si>
  <si>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</si>
  <si>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</si>
  <si>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</si>
  <si>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</si>
  <si>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</si>
  <si>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</si>
  <si>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</si>
  <si>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</si>
  <si>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</si>
  <si>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</si>
  <si>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</si>
  <si>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</si>
  <si>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</si>
  <si>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</si>
  <si>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</si>
  <si>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</si>
  <si>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</si>
  <si>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</si>
  <si>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</si>
  <si>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</si>
  <si>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</si>
  <si>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</si>
  <si>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</si>
  <si>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</si>
  <si>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</si>
  <si>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</si>
  <si>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</si>
  <si>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</si>
  <si>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</si>
  <si>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</si>
  <si>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</si>
  <si>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</si>
  <si>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</si>
  <si>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</si>
  <si>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</si>
  <si>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</si>
  <si>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</si>
  <si>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</si>
  <si>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</si>
  <si>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</si>
  <si>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</si>
  <si>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</si>
  <si>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</si>
  <si>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</si>
  <si>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</si>
  <si>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</si>
  <si>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</si>
  <si>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</si>
  <si>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</si>
  <si>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</si>
  <si>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</si>
  <si>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</si>
  <si>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</si>
  <si>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</si>
  <si>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</si>
  <si>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</si>
  <si>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</si>
  <si>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</si>
  <si>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</si>
  <si>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</si>
  <si>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</si>
  <si>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</si>
  <si>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</si>
  <si>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</si>
  <si>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</si>
  <si>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</si>
  <si>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</si>
  <si>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</si>
  <si>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</si>
  <si>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</si>
  <si>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</si>
  <si>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</si>
  <si>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</si>
  <si>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</si>
  <si>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</si>
  <si>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</si>
  <si>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</si>
  <si>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</si>
  <si>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</si>
  <si>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</si>
  <si>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</si>
  <si>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</si>
  <si>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</si>
  <si>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</si>
  <si>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</si>
  <si>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</si>
  <si>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</si>
  <si>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</si>
  <si>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</si>
  <si>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</si>
  <si>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</si>
  <si>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</si>
  <si>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</si>
  <si>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</si>
  <si>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</si>
  <si>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</si>
  <si>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</si>
  <si>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</si>
  <si>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</si>
  <si>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</si>
  <si>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</si>
  <si>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</si>
  <si>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</si>
  <si>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</si>
  <si>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</si>
  <si>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</si>
  <si>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</si>
  <si>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</si>
  <si>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</si>
  <si>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</si>
  <si>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</si>
  <si>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</si>
  <si>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</si>
  <si>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</si>
  <si>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</si>
  <si>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</si>
  <si>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</si>
  <si>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</si>
  <si>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</si>
  <si>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</si>
  <si>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</si>
  <si>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</si>
  <si>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</si>
  <si>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</si>
  <si>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</si>
  <si>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</si>
  <si>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</si>
  <si>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</si>
  <si>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</si>
  <si>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</si>
  <si>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</si>
  <si>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</si>
  <si>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</si>
  <si>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</si>
  <si>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</si>
  <si>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</si>
  <si>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</si>
  <si>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</si>
  <si>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</si>
  <si>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</si>
  <si>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</si>
  <si>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</si>
  <si>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</si>
  <si>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</si>
  <si>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</si>
  <si>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</si>
  <si>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</si>
  <si>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</si>
  <si>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</si>
  <si>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</si>
  <si>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</si>
  <si>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</si>
  <si>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</si>
  <si>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</si>
  <si>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</si>
  <si>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</si>
  <si>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</si>
  <si>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</si>
  <si>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</si>
  <si>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</si>
  <si>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</si>
  <si>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</si>
  <si>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</si>
  <si>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</si>
  <si>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</si>
  <si>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</si>
  <si>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</si>
  <si>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</si>
  <si>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</si>
  <si>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</si>
  <si>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</si>
  <si>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</si>
  <si>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</si>
  <si>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</si>
  <si>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</si>
  <si>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</si>
  <si>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</si>
  <si>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</si>
  <si>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</si>
  <si>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</si>
  <si>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</si>
  <si>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</si>
  <si>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</si>
  <si>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</si>
  <si>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</si>
  <si>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</si>
  <si>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</si>
  <si>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</si>
  <si>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</si>
  <si>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</si>
  <si>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</si>
  <si>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</si>
  <si>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</si>
  <si>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</si>
  <si>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</si>
  <si>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</si>
  <si>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</si>
  <si>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</si>
  <si>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</si>
  <si>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</si>
  <si>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</si>
  <si>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</si>
  <si>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</si>
  <si>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</si>
  <si>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</si>
  <si>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</si>
  <si>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</si>
  <si>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</si>
  <si>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</si>
  <si>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</si>
  <si>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</si>
  <si>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</si>
  <si>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</si>
  <si>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</si>
  <si>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</si>
  <si>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</si>
  <si>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</si>
  <si>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</si>
  <si>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</si>
  <si>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</si>
  <si>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</si>
  <si>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</si>
  <si>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</si>
  <si>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</si>
  <si>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</si>
  <si>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</si>
  <si>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</si>
  <si>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</si>
  <si>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</si>
  <si>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</si>
  <si>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</si>
  <si>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</si>
  <si>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</si>
  <si>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</si>
  <si>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</si>
  <si>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</si>
  <si>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</si>
  <si>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</si>
  <si>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</si>
  <si>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</si>
  <si>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</si>
  <si>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</si>
  <si>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</si>
  <si>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</si>
  <si>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</si>
  <si>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</si>
  <si>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</si>
  <si>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</si>
  <si>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</si>
  <si>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</si>
  <si>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</si>
  <si>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</si>
  <si>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</si>
  <si>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</si>
  <si>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</si>
  <si>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</si>
  <si>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</si>
  <si>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</si>
  <si>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</si>
  <si>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</si>
  <si>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</si>
  <si>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</si>
  <si>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</si>
  <si>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</si>
  <si>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</si>
  <si>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</si>
  <si>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</si>
  <si>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</si>
  <si>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</si>
  <si>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</si>
  <si>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</si>
  <si>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</si>
  <si>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</si>
  <si>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</si>
  <si>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</si>
  <si>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</si>
  <si>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</si>
  <si>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</si>
  <si>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</si>
  <si>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</si>
  <si>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</si>
  <si>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</si>
  <si>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</si>
  <si>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</si>
  <si>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</si>
  <si>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</si>
  <si>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</si>
  <si>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</si>
  <si>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</si>
  <si>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</si>
  <si>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</si>
  <si>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</si>
  <si>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</si>
  <si>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</si>
  <si>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</si>
  <si>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</si>
  <si>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</si>
  <si>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</si>
  <si>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</si>
  <si>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</si>
  <si>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</si>
  <si>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</si>
  <si>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</si>
  <si>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</si>
  <si>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</si>
  <si>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</si>
  <si>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</si>
  <si>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</si>
  <si>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</si>
  <si>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</si>
  <si>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</si>
  <si>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</si>
  <si>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</si>
  <si>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</si>
  <si>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</si>
  <si>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</si>
  <si>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</si>
  <si>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</si>
  <si>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</si>
  <si>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</si>
  <si>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</si>
  <si>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</si>
  <si>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</si>
  <si>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</si>
  <si>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</si>
  <si>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</si>
  <si>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</si>
  <si>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</si>
  <si>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</si>
  <si>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</si>
  <si>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</si>
  <si>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</si>
  <si>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</si>
  <si>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</si>
  <si>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</si>
  <si>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</si>
  <si>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</si>
  <si>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</si>
  <si>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</si>
  <si>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</si>
  <si>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</si>
  <si>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</si>
  <si>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</si>
  <si>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</si>
  <si>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</si>
  <si>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</si>
  <si>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</si>
  <si>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</si>
  <si>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</si>
  <si>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</si>
  <si>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</si>
  <si>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</si>
  <si>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</si>
  <si>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</si>
  <si>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</si>
  <si>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</si>
  <si>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</si>
  <si>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</si>
  <si>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</si>
  <si>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</si>
  <si>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</si>
  <si>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</si>
  <si>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</si>
  <si>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</si>
  <si>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</si>
  <si>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</si>
  <si>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</si>
  <si>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</si>
  <si>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</si>
  <si>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</si>
  <si>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</si>
  <si>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</si>
  <si>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</si>
  <si>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</si>
  <si>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</si>
  <si>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</si>
  <si>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</si>
  <si>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</si>
  <si>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</si>
  <si>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</si>
  <si>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</si>
  <si>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</si>
  <si>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</si>
  <si>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</si>
  <si>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</si>
  <si>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</si>
  <si>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</si>
  <si>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</si>
  <si>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</si>
  <si>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</si>
  <si>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</si>
  <si>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</si>
  <si>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</si>
  <si>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</si>
  <si>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</si>
  <si>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</si>
  <si>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</si>
  <si>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</si>
  <si>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</si>
  <si>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</si>
  <si>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</si>
  <si>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</si>
  <si>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</si>
  <si>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</si>
  <si>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</si>
  <si>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</si>
  <si>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</si>
  <si>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</si>
  <si>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</si>
  <si>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</si>
  <si>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</si>
  <si>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</si>
  <si>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</si>
  <si>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</si>
  <si>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</si>
  <si>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</si>
  <si>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</si>
  <si>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</si>
  <si>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</si>
  <si>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</si>
  <si>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</si>
  <si>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</si>
  <si>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</si>
  <si>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</si>
  <si>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</si>
  <si>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</si>
  <si>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</si>
  <si>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</si>
  <si>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</si>
  <si>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</si>
  <si>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</si>
  <si>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</si>
  <si>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</si>
  <si>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</si>
  <si>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</si>
  <si>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</si>
  <si>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</si>
  <si>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</si>
  <si>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</si>
  <si>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</si>
  <si>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</si>
  <si>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</si>
  <si>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</si>
  <si>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</si>
  <si>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</si>
  <si>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</si>
  <si>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</si>
  <si>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</si>
  <si>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</si>
  <si>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</si>
  <si>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</si>
  <si>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</si>
  <si>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</si>
  <si>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</si>
  <si>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</si>
  <si>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</si>
  <si>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</si>
  <si>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</si>
  <si>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</si>
  <si>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</si>
  <si>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</si>
  <si>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</si>
  <si>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</si>
  <si>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</si>
  <si>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</si>
  <si>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</si>
  <si>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</si>
  <si>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</si>
  <si>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</si>
  <si>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</si>
  <si>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</si>
  <si>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</si>
  <si>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</si>
  <si>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</si>
  <si>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</si>
  <si>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</si>
  <si>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</si>
  <si>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</si>
  <si>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</si>
  <si>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</si>
  <si>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</si>
  <si>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</si>
  <si>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</si>
  <si>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</si>
  <si>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</si>
  <si>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</si>
  <si>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</si>
  <si>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</si>
  <si>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</si>
  <si>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</si>
  <si>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</si>
  <si>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</si>
  <si>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</si>
  <si>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</si>
  <si>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</si>
  <si>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</si>
  <si>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</si>
  <si>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</si>
  <si>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</si>
  <si>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</si>
  <si>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</si>
  <si>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</si>
  <si>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</si>
  <si>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</si>
  <si>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</si>
  <si>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</si>
  <si>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</si>
  <si>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</si>
  <si>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</si>
  <si>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</si>
  <si>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</si>
  <si>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</si>
  <si>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</si>
  <si>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</si>
  <si>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</si>
  <si>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</si>
  <si>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</si>
  <si>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</si>
  <si>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</si>
  <si>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</si>
  <si>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</si>
  <si>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</si>
  <si>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</si>
  <si>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</si>
  <si>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</si>
  <si>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</si>
  <si>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</si>
  <si>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</si>
  <si>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</si>
  <si>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</si>
  <si>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</si>
  <si>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</si>
  <si>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</si>
  <si>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</si>
  <si>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</si>
  <si>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</si>
  <si>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</si>
  <si>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</si>
  <si>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</si>
  <si>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</si>
  <si>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</si>
  <si>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</si>
  <si>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</si>
  <si>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</si>
  <si>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</si>
  <si>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</si>
  <si>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</si>
  <si>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</si>
  <si>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</si>
  <si>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</si>
  <si>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</si>
  <si>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</si>
  <si>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</si>
  <si>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</si>
  <si>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</si>
  <si>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</si>
  <si>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</si>
  <si>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</si>
  <si>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</si>
  <si>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</si>
  <si>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</si>
  <si>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</si>
  <si>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</si>
  <si>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</si>
  <si>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</si>
  <si>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</si>
  <si>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</si>
  <si>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</si>
  <si>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</si>
  <si>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</si>
  <si>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</si>
  <si>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</si>
  <si>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</si>
  <si>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</si>
  <si>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</si>
  <si>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</si>
  <si>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</si>
  <si>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</si>
  <si>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</si>
  <si>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</si>
  <si>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</si>
  <si>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</si>
  <si>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</si>
  <si>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</si>
  <si>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</si>
  <si>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</si>
  <si>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</si>
  <si>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</si>
  <si>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</si>
  <si>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</si>
  <si>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</si>
  <si>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</si>
  <si>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</si>
  <si>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</si>
  <si>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</si>
  <si>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</si>
  <si>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</si>
  <si>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</si>
  <si>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</si>
  <si>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</si>
  <si>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</si>
  <si>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</si>
  <si>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</si>
  <si>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</si>
  <si>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</si>
  <si>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</si>
  <si>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</si>
  <si>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</si>
  <si>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</si>
  <si>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</si>
  <si>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</si>
  <si>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</si>
  <si>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</si>
  <si>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</si>
  <si>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</si>
  <si>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</si>
  <si>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</si>
  <si>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</si>
  <si>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</si>
  <si>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</si>
  <si>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</si>
  <si>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</si>
  <si>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</si>
  <si>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</si>
  <si>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</si>
  <si>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</si>
  <si>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</si>
  <si>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</si>
  <si>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</si>
  <si>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</si>
  <si>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</si>
  <si>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</si>
  <si>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</si>
  <si>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</si>
  <si>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</si>
  <si>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</si>
  <si>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</si>
  <si>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</si>
  <si>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</si>
  <si>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</si>
  <si>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</si>
  <si>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</si>
  <si>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</si>
  <si>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</si>
  <si>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</si>
  <si>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</si>
  <si>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</si>
  <si>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</si>
  <si>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</si>
  <si>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</si>
  <si>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</si>
  <si>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</si>
  <si>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</si>
  <si>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</si>
  <si>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</si>
  <si>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</si>
  <si>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</si>
  <si>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</si>
  <si>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</si>
  <si>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</si>
  <si>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</si>
  <si>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</si>
  <si>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</si>
  <si>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</si>
  <si>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</si>
  <si>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</si>
  <si>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</si>
  <si>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</si>
  <si>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</si>
  <si>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</si>
  <si>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</si>
  <si>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</si>
  <si>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</si>
  <si>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</si>
  <si>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</si>
  <si>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</si>
  <si>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</si>
  <si>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</si>
  <si>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</si>
  <si>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</si>
  <si>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</si>
  <si>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</si>
  <si>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</si>
  <si>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</si>
  <si>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</si>
  <si>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</si>
  <si>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</si>
  <si>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</si>
  <si>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</si>
  <si>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</si>
  <si>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</si>
  <si>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</si>
  <si>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</si>
  <si>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</si>
  <si>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</si>
  <si>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</si>
  <si>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</si>
  <si>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</si>
  <si>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</si>
  <si>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</si>
  <si>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</si>
  <si>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</si>
  <si>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</si>
  <si>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</si>
  <si>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</si>
  <si>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</si>
  <si>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</si>
  <si>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</si>
  <si>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</si>
  <si>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</si>
  <si>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</si>
  <si>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</si>
  <si>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</si>
  <si>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</si>
  <si>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</si>
  <si>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</si>
  <si>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</si>
  <si>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</si>
  <si>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</si>
  <si>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</si>
  <si>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</si>
  <si>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</si>
  <si>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</si>
  <si>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</si>
  <si>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</si>
  <si>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</si>
  <si>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</si>
  <si>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</si>
  <si>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</si>
  <si>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</si>
  <si>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</si>
  <si>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</si>
  <si>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</si>
  <si>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</si>
  <si>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</si>
  <si>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</si>
  <si>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</si>
  <si>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</si>
  <si>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</si>
  <si>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</si>
  <si>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</si>
  <si>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</si>
  <si>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</si>
  <si>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</si>
  <si>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</si>
  <si>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</si>
  <si>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</si>
  <si>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</si>
  <si>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</si>
  <si>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</si>
  <si>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</si>
  <si>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</si>
  <si>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</si>
  <si>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</si>
  <si>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</si>
  <si>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</si>
  <si>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</si>
  <si>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</si>
  <si>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</si>
  <si>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</si>
  <si>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</si>
  <si>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</si>
  <si>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</si>
  <si>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</si>
  <si>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</si>
  <si>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</si>
  <si>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</si>
  <si>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</si>
  <si>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</si>
  <si>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</si>
  <si>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</si>
  <si>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</si>
  <si>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</si>
  <si>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</si>
  <si>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</si>
  <si>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</si>
  <si>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</si>
  <si>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</si>
  <si>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</si>
  <si>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</si>
  <si>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</si>
  <si>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</si>
  <si>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</si>
  <si>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</si>
  <si>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</si>
  <si>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</si>
  <si>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</si>
  <si>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</si>
  <si>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</si>
  <si>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</si>
  <si>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</si>
  <si>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</si>
  <si>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</si>
  <si>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</si>
  <si>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</si>
  <si>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</si>
  <si>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</si>
  <si>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</si>
  <si>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</si>
  <si>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</si>
  <si>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</si>
  <si>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</si>
  <si>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</si>
  <si>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</si>
  <si>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</si>
  <si>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</si>
  <si>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</si>
  <si>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</si>
  <si>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</si>
  <si>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</si>
  <si>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</si>
  <si>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</si>
  <si>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</si>
  <si>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</si>
  <si>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</si>
  <si>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</si>
  <si>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</si>
  <si>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</si>
  <si>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</si>
  <si>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</si>
  <si>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</si>
  <si>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</si>
  <si>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</si>
  <si>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</si>
  <si>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</si>
  <si>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</si>
  <si>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</si>
  <si>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</si>
  <si>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</si>
  <si>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</si>
  <si>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</si>
  <si>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</si>
  <si>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</si>
  <si>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</si>
  <si>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</si>
  <si>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</si>
  <si>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</si>
  <si>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</si>
  <si>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</si>
  <si>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</si>
  <si>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</si>
  <si>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</si>
  <si>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</si>
  <si>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</si>
  <si>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</si>
  <si>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</si>
  <si>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</si>
  <si>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</si>
  <si>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</si>
  <si>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</si>
  <si>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</si>
  <si>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</si>
  <si>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</si>
  <si>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</si>
  <si>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</si>
  <si>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</si>
  <si>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</si>
  <si>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</si>
  <si>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</si>
  <si>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</si>
  <si>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</si>
  <si>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</si>
  <si>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</si>
  <si>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</si>
  <si>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</si>
  <si>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</si>
  <si>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</si>
  <si>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</si>
  <si>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</si>
  <si>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</si>
  <si>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</si>
  <si>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</si>
  <si>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</si>
  <si>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</si>
  <si>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</si>
  <si>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</si>
  <si>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</si>
  <si>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</si>
  <si>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</si>
  <si>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</si>
  <si>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</si>
  <si>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</si>
  <si>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</si>
  <si>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</si>
  <si>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</si>
  <si>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</si>
  <si>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</si>
  <si>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</si>
  <si>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</si>
  <si>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</si>
  <si>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</si>
  <si>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</si>
  <si>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</si>
  <si>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</si>
  <si>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</si>
  <si>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</si>
  <si>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</si>
  <si>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</si>
  <si>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</si>
  <si>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</si>
  <si>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</si>
  <si>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</si>
  <si>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</si>
  <si>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</si>
  <si>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</si>
  <si>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</si>
  <si>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</si>
  <si>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</si>
  <si>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</si>
  <si>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</si>
  <si>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</si>
  <si>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</si>
  <si>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</si>
  <si>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</si>
  <si>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</si>
  <si>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</si>
  <si>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</si>
  <si>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</si>
  <si>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</si>
  <si>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</si>
  <si>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</si>
  <si>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</si>
  <si>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</si>
  <si>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</si>
  <si>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</si>
  <si>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</si>
  <si>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</si>
  <si>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</si>
  <si>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</si>
  <si>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</si>
  <si>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</si>
  <si>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</si>
  <si>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</si>
  <si>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</si>
  <si>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</si>
  <si>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</si>
  <si>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</si>
  <si>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</si>
  <si>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</si>
  <si>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</si>
  <si>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</si>
  <si>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</si>
  <si>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</si>
  <si>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</si>
  <si>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</si>
  <si>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</si>
  <si>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</si>
  <si>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</si>
  <si>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</si>
  <si>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</si>
  <si>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</si>
  <si>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</si>
  <si>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</si>
  <si>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</si>
  <si>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</si>
  <si>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</si>
  <si>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</si>
  <si>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</si>
  <si>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</si>
  <si>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</si>
  <si>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</si>
  <si>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</si>
  <si>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</si>
  <si>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</si>
  <si>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</si>
  <si>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</si>
  <si>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</si>
  <si>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</si>
  <si>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</si>
  <si>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</si>
  <si>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</si>
  <si>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</si>
  <si>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</si>
  <si>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</si>
  <si>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</si>
  <si>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</si>
  <si>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</si>
  <si>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</si>
  <si>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</si>
  <si>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</si>
  <si>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</si>
  <si>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</si>
  <si>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</si>
  <si>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</si>
  <si>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</si>
  <si>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</si>
  <si>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</si>
  <si>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</si>
  <si>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</si>
  <si>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</si>
  <si>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</si>
  <si>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</si>
  <si>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</si>
  <si>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</si>
  <si>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</si>
  <si>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</si>
  <si>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</si>
  <si>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</si>
  <si>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</si>
  <si>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</si>
  <si>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</si>
  <si>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</si>
  <si>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</si>
  <si>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</si>
  <si>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</si>
  <si>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</si>
  <si>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</si>
  <si>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</si>
  <si>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</si>
  <si>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</si>
  <si>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</si>
  <si>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</si>
  <si>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</si>
  <si>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</si>
  <si>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</si>
  <si>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</si>
  <si>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</si>
  <si>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</si>
  <si>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</si>
  <si>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</si>
  <si>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</si>
  <si>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</si>
  <si>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</si>
  <si>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</si>
  <si>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</si>
  <si>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</si>
  <si>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</si>
  <si>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</si>
  <si>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</si>
  <si>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</si>
  <si>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</si>
  <si>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</si>
  <si>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</si>
  <si>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</si>
  <si>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</si>
  <si>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</si>
  <si>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</si>
  <si>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</si>
  <si>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</si>
  <si>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</si>
  <si>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</si>
  <si>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</si>
  <si>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</si>
  <si>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</si>
  <si>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</si>
  <si>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</si>
  <si>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</si>
  <si>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</si>
  <si>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</si>
  <si>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</si>
  <si>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</si>
  <si>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</si>
  <si>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</si>
  <si>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</si>
  <si>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</si>
  <si>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</si>
  <si>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</si>
  <si>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</si>
  <si>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</si>
  <si>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</si>
  <si>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</si>
  <si>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</si>
  <si>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</si>
  <si>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</si>
  <si>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</si>
  <si>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</si>
  <si>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</si>
  <si>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</si>
  <si>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</si>
  <si>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</si>
  <si>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</si>
  <si>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</si>
  <si>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</si>
  <si>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</si>
  <si>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</si>
  <si>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</si>
  <si>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</si>
  <si>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</si>
  <si>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</si>
  <si>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</si>
  <si>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</si>
  <si>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</si>
  <si>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</si>
  <si>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</si>
  <si>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</si>
  <si>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</si>
  <si>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</si>
  <si>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</si>
  <si>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</si>
  <si>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</si>
  <si>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</si>
  <si>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</si>
  <si>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</si>
  <si>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</si>
  <si>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</si>
  <si>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</si>
  <si>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</si>
  <si>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</si>
  <si>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</si>
  <si>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</si>
  <si>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</si>
  <si>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</si>
  <si>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</si>
  <si>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</si>
  <si>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</si>
  <si>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</si>
  <si>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</si>
  <si>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</si>
  <si>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</si>
  <si>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</si>
  <si>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</si>
  <si>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</si>
  <si>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</si>
  <si>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</si>
  <si>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</si>
  <si>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</si>
  <si>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</si>
  <si>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</si>
  <si>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</si>
  <si>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</si>
  <si>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</si>
  <si>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</si>
  <si>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</si>
  <si>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</si>
  <si>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</si>
  <si>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</si>
  <si>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</si>
  <si>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</si>
  <si>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</si>
  <si>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</si>
  <si>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</si>
  <si>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</si>
  <si>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</si>
  <si>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</si>
  <si>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</si>
  <si>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</si>
  <si>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</si>
  <si>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</si>
  <si>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</si>
  <si>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</si>
  <si>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</si>
  <si>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</si>
  <si>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</si>
  <si>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</si>
  <si>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</si>
  <si>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</si>
  <si>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</si>
  <si>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</si>
  <si>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</si>
  <si>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</si>
  <si>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</si>
  <si>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</si>
  <si>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</si>
  <si>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</si>
  <si>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</si>
  <si>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</si>
  <si>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</si>
  <si>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</si>
  <si>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</si>
  <si>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</si>
  <si>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</si>
  <si>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</si>
  <si>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</si>
  <si>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</si>
  <si>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</si>
  <si>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</si>
  <si>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</si>
  <si>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</si>
  <si>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</si>
  <si>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</si>
  <si>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</si>
  <si>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</si>
  <si>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</si>
  <si>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</si>
  <si>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</si>
  <si>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</si>
  <si>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</si>
  <si>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</si>
  <si>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</si>
  <si>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</si>
  <si>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</si>
  <si>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</si>
  <si>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</si>
  <si>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</si>
  <si>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</si>
  <si>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</si>
  <si>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</si>
  <si>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</si>
  <si>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</si>
  <si>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</si>
  <si>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</si>
  <si>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</si>
  <si>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</si>
  <si>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</si>
  <si>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</si>
  <si>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</si>
  <si>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</si>
  <si>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</si>
  <si>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</si>
  <si>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</si>
  <si>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</si>
  <si>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</si>
  <si>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</si>
  <si>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</si>
  <si>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</si>
  <si>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</si>
  <si>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</si>
  <si>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</si>
  <si>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</si>
  <si>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</si>
  <si>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</si>
  <si>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</si>
  <si>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</si>
  <si>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</si>
  <si>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</si>
  <si>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</si>
  <si>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</si>
  <si>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</si>
  <si>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</si>
  <si>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</si>
  <si>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</si>
  <si>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</si>
  <si>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</si>
  <si>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</si>
  <si>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</si>
  <si>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</si>
  <si>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</si>
  <si>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</si>
  <si>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</si>
  <si>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</si>
  <si>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</si>
  <si>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</si>
  <si>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</si>
  <si>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</si>
  <si>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</si>
  <si>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</si>
  <si>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</si>
  <si>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</si>
  <si>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</si>
  <si>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</si>
  <si>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</si>
  <si>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</si>
  <si>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</si>
  <si>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</si>
  <si>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</si>
  <si>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</si>
  <si>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</si>
  <si>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</si>
  <si>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</si>
  <si>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</si>
  <si>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</si>
  <si>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</si>
  <si>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</si>
  <si>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</si>
  <si>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</si>
  <si>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</si>
  <si>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</si>
  <si>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</si>
  <si>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</si>
  <si>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</si>
  <si>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</si>
  <si>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</si>
  <si>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</si>
  <si>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</si>
  <si>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</si>
  <si>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</si>
  <si>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</si>
  <si>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</si>
  <si>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</si>
  <si>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</si>
  <si>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</si>
  <si>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</si>
  <si>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</si>
  <si>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</si>
  <si>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</si>
  <si>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</si>
  <si>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</si>
  <si>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</si>
  <si>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</si>
  <si>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</si>
  <si>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</si>
  <si>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</si>
  <si>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</si>
  <si>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</si>
  <si>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</si>
  <si>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</si>
  <si>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</si>
  <si>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</si>
  <si>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</si>
  <si>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</si>
  <si>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</si>
  <si>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</si>
  <si>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</si>
  <si>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</si>
  <si>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</si>
  <si>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</si>
  <si>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</si>
  <si>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</si>
  <si>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</si>
  <si>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</si>
  <si>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</si>
  <si>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</si>
  <si>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</si>
  <si>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</si>
  <si>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</si>
  <si>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</si>
  <si>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</si>
  <si>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</si>
  <si>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</si>
  <si>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</si>
  <si>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</si>
  <si>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</si>
  <si>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</si>
  <si>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</si>
  <si>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</si>
  <si>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</si>
  <si>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</si>
  <si>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</si>
  <si>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</si>
  <si>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</si>
  <si>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</si>
  <si>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</si>
  <si>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</si>
  <si>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</si>
  <si>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</si>
  <si>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</si>
  <si>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</si>
  <si>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</si>
  <si>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</si>
  <si>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</si>
  <si>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</si>
  <si>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</si>
  <si>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</si>
  <si>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</si>
  <si>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</si>
  <si>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</si>
  <si>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</si>
  <si>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</si>
  <si>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</si>
  <si>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</si>
  <si>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</si>
  <si>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</si>
  <si>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</si>
  <si>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</si>
  <si>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</si>
  <si>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</si>
  <si>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</si>
  <si>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</si>
  <si>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</si>
  <si>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</si>
  <si>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</si>
  <si>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</si>
  <si>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</si>
  <si>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</si>
  <si>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</si>
  <si>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</si>
  <si>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</si>
  <si>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</si>
  <si>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</si>
  <si>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</si>
  <si>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</si>
  <si>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</si>
  <si>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</si>
  <si>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</si>
  <si>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</si>
  <si>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</si>
  <si>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</si>
  <si>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</si>
  <si>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</si>
  <si>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</si>
  <si>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</si>
  <si>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</si>
  <si>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</si>
  <si>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</si>
  <si>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</si>
  <si>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</si>
  <si>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</si>
  <si>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</si>
  <si>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</si>
  <si>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</si>
  <si>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</si>
  <si>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</si>
  <si>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</si>
  <si>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</si>
  <si>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</si>
  <si>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</si>
  <si>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</si>
  <si>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</si>
  <si>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</si>
  <si>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</si>
  <si>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</si>
  <si>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</si>
  <si>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</si>
  <si>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</si>
  <si>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</si>
  <si>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</si>
  <si>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</si>
  <si>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</si>
  <si>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</si>
  <si>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</si>
  <si>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</si>
  <si>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</si>
  <si>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</si>
  <si>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</si>
  <si>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</si>
  <si>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</si>
  <si>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</si>
  <si>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</si>
  <si>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</si>
  <si>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</si>
  <si>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</si>
  <si>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</si>
  <si>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</si>
  <si>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</si>
  <si>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</si>
  <si>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</si>
  <si>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</si>
  <si>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</si>
  <si>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</si>
  <si>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</si>
  <si>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</si>
  <si>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</si>
  <si>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</si>
  <si>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</si>
  <si>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</si>
  <si>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</si>
  <si>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</si>
  <si>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</si>
  <si>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</si>
  <si>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</si>
  <si>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</si>
  <si>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</si>
  <si>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</si>
  <si>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</si>
  <si>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</si>
  <si>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</si>
  <si>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</si>
  <si>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</si>
  <si>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</si>
  <si>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</si>
  <si>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</si>
  <si>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</si>
  <si>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</si>
  <si>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</si>
  <si>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</si>
  <si>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</si>
  <si>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</si>
  <si>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</si>
  <si>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</si>
  <si>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</si>
  <si>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</si>
  <si>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</si>
  <si>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</si>
  <si>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</si>
  <si>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</si>
  <si>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</si>
  <si>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</si>
  <si>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</si>
  <si>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</si>
  <si>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</si>
  <si>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</si>
  <si>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</si>
  <si>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</si>
  <si>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</si>
  <si>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</si>
  <si>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</si>
  <si>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</si>
  <si>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</si>
  <si>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</si>
  <si>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</si>
  <si>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</si>
  <si>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</si>
  <si>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</si>
  <si>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</si>
  <si>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</si>
  <si>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</si>
  <si>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</si>
  <si>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</si>
  <si>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</si>
  <si>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</si>
  <si>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</si>
  <si>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</si>
  <si>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</si>
  <si>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</si>
  <si>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</si>
  <si>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</si>
  <si>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</si>
  <si>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</si>
  <si>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</si>
  <si>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</si>
  <si>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</si>
  <si>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</si>
  <si>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</si>
  <si>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</si>
  <si>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</si>
  <si>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</si>
  <si>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</si>
  <si>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</si>
  <si>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</si>
  <si>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</si>
  <si>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</si>
  <si>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</si>
  <si>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</si>
  <si>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</si>
  <si>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</si>
  <si>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</si>
  <si>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</si>
  <si>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</si>
  <si>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</si>
  <si>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</si>
  <si>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</si>
  <si>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</si>
  <si>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</si>
  <si>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</si>
  <si>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</si>
  <si>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</si>
  <si>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</si>
  <si>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</si>
  <si>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</si>
  <si>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</si>
  <si>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</si>
  <si>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</si>
  <si>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</si>
  <si>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</si>
  <si>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</si>
  <si>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</si>
  <si>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</si>
  <si>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</si>
  <si>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</si>
  <si>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</si>
  <si>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</si>
  <si>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</si>
  <si>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</si>
  <si>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</si>
  <si>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</si>
  <si>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</si>
  <si>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</si>
  <si>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</si>
  <si>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</si>
  <si>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</si>
  <si>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</si>
  <si>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</si>
  <si>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</si>
  <si>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</si>
  <si>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</si>
  <si>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</si>
  <si>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</si>
  <si>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</si>
  <si>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</si>
  <si>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</si>
  <si>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</si>
  <si>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</si>
  <si>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</si>
  <si>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</si>
  <si>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</si>
  <si>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</si>
  <si>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</si>
  <si>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</si>
  <si>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</si>
  <si>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</si>
  <si>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</si>
  <si>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</si>
  <si>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</si>
  <si>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</si>
  <si>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</si>
  <si>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</si>
  <si>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</si>
  <si>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</si>
  <si>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</si>
  <si>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</si>
  <si>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</si>
  <si>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</si>
  <si>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</si>
  <si>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</si>
  <si>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</si>
  <si>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</si>
  <si>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</si>
  <si>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</si>
  <si>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</si>
  <si>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</si>
  <si>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</si>
  <si>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</si>
  <si>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</si>
  <si>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</si>
  <si>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</si>
  <si>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</si>
  <si>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</si>
  <si>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</si>
  <si>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</si>
  <si>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</si>
  <si>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</si>
  <si>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</si>
  <si>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</si>
  <si>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</si>
  <si>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</si>
  <si>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</si>
  <si>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</si>
  <si>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</si>
  <si>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</si>
  <si>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</si>
  <si>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</si>
  <si>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</si>
  <si>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</si>
  <si>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</si>
  <si>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</si>
  <si>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</si>
  <si>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</si>
  <si>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</si>
  <si>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</si>
  <si>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</si>
  <si>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</si>
  <si>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</si>
  <si>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</si>
  <si>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</si>
  <si>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</si>
  <si>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</si>
  <si>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</si>
  <si>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</si>
  <si>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</si>
  <si>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</si>
  <si>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</si>
  <si>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</si>
  <si>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</si>
  <si>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</si>
  <si>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</si>
  <si>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</si>
  <si>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</si>
  <si>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</si>
  <si>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</si>
  <si>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</si>
  <si>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</si>
  <si>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</si>
  <si>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</si>
  <si>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</si>
  <si>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</si>
  <si>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</si>
  <si>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</si>
  <si>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</si>
  <si>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</si>
  <si>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</si>
  <si>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</si>
  <si>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</si>
  <si>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</si>
  <si>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</si>
  <si>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</si>
  <si>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</si>
  <si>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</si>
  <si>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</si>
  <si>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</si>
  <si>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</si>
  <si>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</si>
  <si>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</si>
  <si>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</si>
  <si>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</si>
  <si>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</si>
  <si>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</si>
  <si>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</si>
  <si>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</si>
  <si>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</si>
  <si>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</si>
  <si>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</si>
  <si>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</si>
  <si>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</si>
  <si>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</si>
  <si>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</si>
  <si>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</si>
  <si>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</si>
  <si>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</si>
  <si>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</si>
  <si>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</si>
  <si>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</si>
  <si>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</si>
  <si>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</si>
  <si>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</si>
  <si>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</si>
  <si>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</si>
  <si>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</si>
  <si>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</si>
  <si>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</si>
  <si>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</si>
  <si>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</si>
  <si>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</si>
  <si>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</si>
  <si>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</si>
  <si>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</si>
  <si>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</si>
  <si>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</si>
  <si>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</si>
  <si>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</si>
  <si>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</si>
  <si>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</si>
  <si>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</si>
  <si>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</si>
  <si>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</si>
  <si>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</si>
  <si>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</si>
  <si>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</si>
  <si>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</si>
  <si>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</si>
  <si>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</si>
  <si>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</si>
  <si>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</si>
  <si>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</si>
  <si>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</si>
  <si>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</si>
  <si>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</si>
  <si>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</si>
  <si>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</si>
  <si>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</si>
  <si>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</si>
  <si>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</si>
  <si>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</si>
  <si>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</si>
  <si>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</si>
  <si>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</si>
  <si>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</si>
  <si>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</si>
  <si>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</si>
  <si>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</si>
  <si>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</si>
  <si>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</si>
  <si>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</si>
  <si>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</si>
  <si>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</si>
  <si>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</si>
  <si>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</si>
  <si>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</si>
  <si>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</si>
  <si>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</si>
  <si>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</si>
  <si>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</si>
  <si>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</si>
  <si>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</si>
  <si>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</si>
  <si>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</si>
  <si>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</si>
  <si>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</si>
  <si>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</si>
  <si>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</si>
  <si>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</si>
  <si>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</si>
  <si>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</si>
  <si>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</si>
  <si>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</si>
  <si>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</si>
  <si>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</si>
  <si>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</si>
  <si>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</si>
  <si>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</si>
  <si>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</si>
  <si>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</si>
  <si>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</si>
  <si>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</si>
  <si>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</si>
  <si>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</si>
  <si>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</si>
  <si>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</si>
  <si>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</si>
  <si>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</si>
  <si>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</si>
  <si>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</si>
  <si>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</si>
  <si>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</si>
  <si>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</si>
  <si>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</si>
  <si>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</si>
  <si>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</si>
  <si>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</si>
  <si>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</si>
  <si>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</si>
  <si>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</si>
  <si>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</si>
  <si>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</si>
  <si>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</si>
  <si>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</si>
  <si>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</si>
  <si>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</si>
  <si>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</si>
  <si>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</si>
  <si>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</si>
  <si>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</si>
  <si>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</si>
  <si>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</si>
  <si>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</si>
  <si>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</si>
  <si>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</si>
  <si>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</si>
  <si>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</si>
  <si>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</si>
  <si>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</si>
  <si>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</si>
  <si>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</si>
  <si>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</si>
  <si>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</si>
  <si>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</si>
  <si>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</si>
  <si>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</si>
  <si>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</si>
  <si>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</si>
  <si>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</si>
  <si>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</si>
  <si>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</si>
  <si>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</si>
  <si>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</si>
  <si>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</si>
  <si>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</si>
  <si>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</si>
  <si>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</si>
  <si>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</si>
  <si>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</si>
  <si>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</si>
  <si>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</si>
  <si>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</si>
  <si>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</si>
  <si>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</si>
  <si>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</si>
  <si>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</si>
  <si>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</si>
  <si>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</si>
  <si>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</si>
  <si>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</si>
  <si>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</si>
  <si>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</si>
  <si>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</si>
  <si>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</si>
  <si>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</si>
  <si>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</si>
  <si>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</si>
  <si>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</si>
  <si>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</si>
  <si>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</si>
  <si>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</si>
  <si>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</si>
  <si>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</si>
  <si>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</si>
  <si>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</si>
  <si>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</si>
  <si>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</si>
  <si>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</si>
  <si>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</si>
  <si>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</si>
  <si>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</si>
  <si>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</si>
  <si>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</si>
  <si>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</si>
  <si>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</si>
  <si>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</si>
  <si>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</si>
  <si>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</si>
  <si>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</si>
  <si>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</si>
  <si>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</si>
  <si>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</si>
  <si>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</si>
  <si>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</si>
  <si>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</si>
  <si>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</si>
  <si>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</si>
  <si>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</si>
  <si>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</si>
  <si>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</si>
  <si>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</si>
  <si>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</si>
  <si>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</si>
  <si>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</si>
  <si>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</si>
  <si>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</si>
  <si>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</si>
  <si>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</si>
  <si>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</si>
  <si>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</si>
  <si>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</si>
  <si>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</si>
  <si>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</si>
  <si>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</si>
  <si>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</si>
  <si>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</si>
  <si>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</si>
  <si>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</si>
  <si>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</si>
  <si>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</si>
  <si>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</si>
  <si>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</si>
  <si>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</si>
  <si>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</si>
  <si>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</si>
  <si>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</si>
  <si>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</si>
  <si>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</si>
  <si>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</si>
  <si>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</si>
  <si>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</si>
  <si>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</si>
  <si>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</si>
  <si>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</si>
  <si>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</si>
  <si>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</si>
  <si>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</si>
  <si>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</si>
  <si>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</si>
  <si>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</si>
  <si>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</si>
  <si>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</si>
  <si>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</si>
  <si>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</si>
  <si>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</si>
  <si>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</si>
  <si>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</si>
  <si>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</si>
  <si>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</si>
  <si>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</si>
  <si>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</si>
  <si>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</si>
  <si>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</si>
  <si>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</si>
  <si>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</si>
  <si>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</si>
  <si>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</si>
  <si>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</si>
  <si>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</si>
  <si>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</si>
  <si>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</si>
  <si>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</si>
  <si>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</si>
  <si>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</si>
  <si>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</si>
  <si>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</si>
  <si>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</si>
  <si>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</si>
  <si>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</si>
  <si>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</si>
  <si>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</si>
  <si>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</si>
  <si>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</si>
  <si>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</si>
  <si>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</si>
  <si>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</si>
  <si>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</si>
  <si>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</si>
  <si>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</si>
  <si>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</si>
  <si>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</si>
  <si>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</si>
  <si>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</si>
  <si>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</si>
  <si>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</si>
  <si>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</si>
  <si>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</si>
  <si>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</si>
  <si>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</si>
  <si>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</si>
  <si>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</si>
  <si>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</si>
  <si>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</si>
  <si>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</si>
  <si>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</si>
  <si>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</si>
  <si>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</si>
  <si>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</si>
  <si>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</si>
  <si>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</si>
  <si>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</si>
  <si>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</si>
  <si>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</si>
  <si>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</si>
  <si>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</si>
  <si>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</si>
  <si>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</si>
  <si>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</si>
  <si>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</si>
  <si>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</si>
  <si>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</si>
  <si>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</si>
  <si>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</si>
  <si>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</si>
  <si>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</si>
  <si>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</si>
  <si>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</si>
  <si>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</si>
  <si>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</si>
  <si>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</si>
  <si>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</si>
  <si>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</si>
  <si>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</si>
  <si>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</si>
  <si>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</si>
  <si>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</si>
  <si>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</si>
  <si>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</si>
  <si>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</si>
  <si>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</si>
  <si>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</si>
  <si>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</si>
  <si>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</si>
  <si>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</si>
  <si>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</si>
  <si>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</si>
  <si>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</si>
  <si>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</si>
  <si>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</si>
  <si>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</si>
  <si>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</si>
  <si>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</si>
  <si>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</si>
  <si>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</si>
  <si>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</si>
  <si>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</si>
  <si>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</si>
  <si>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</si>
  <si>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</si>
  <si>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</si>
  <si>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</si>
  <si>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</si>
  <si>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</si>
  <si>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</si>
  <si>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</si>
  <si>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</si>
  <si>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</si>
  <si>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</si>
  <si>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</si>
  <si>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</si>
  <si>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</si>
  <si>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</si>
  <si>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</si>
  <si>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</si>
  <si>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</si>
  <si>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</si>
  <si>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</si>
  <si>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</si>
  <si>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</si>
  <si>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</si>
  <si>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</si>
  <si>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</si>
  <si>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</si>
  <si>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</si>
  <si>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</si>
  <si>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</si>
  <si>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</si>
  <si>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</si>
  <si>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</si>
  <si>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</si>
  <si>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</si>
  <si>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</si>
  <si>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</si>
  <si>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</si>
  <si>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</si>
  <si>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</si>
  <si>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</si>
  <si>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</si>
  <si>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</si>
  <si>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</si>
  <si>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</si>
  <si>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</si>
  <si>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</si>
  <si>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</si>
  <si>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</si>
  <si>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</si>
  <si>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</si>
  <si>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</si>
  <si>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</si>
  <si>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</si>
  <si>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</si>
  <si>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</si>
  <si>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</si>
  <si>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</si>
  <si>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</si>
  <si>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</si>
  <si>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</si>
  <si>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</si>
  <si>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</si>
  <si>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</si>
  <si>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</si>
  <si>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</si>
  <si>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</si>
  <si>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</si>
  <si>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</si>
  <si>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</si>
  <si>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</si>
  <si>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</si>
  <si>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</si>
  <si>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</si>
  <si>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</si>
  <si>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</si>
  <si>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</si>
  <si>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</si>
  <si>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</si>
  <si>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</si>
  <si>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</si>
  <si>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</si>
  <si>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</si>
  <si>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</si>
  <si>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</si>
  <si>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</si>
  <si>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</si>
  <si>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</si>
  <si>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</si>
  <si>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</si>
  <si>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</si>
  <si>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</si>
  <si>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</si>
  <si>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</si>
  <si>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</si>
  <si>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</si>
  <si>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</si>
  <si>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</si>
  <si>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</si>
  <si>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</si>
  <si>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</si>
  <si>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</si>
  <si>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</si>
  <si>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</si>
  <si>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</si>
  <si>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</si>
  <si>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</si>
  <si>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</si>
  <si>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</si>
  <si>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</si>
  <si>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</si>
  <si>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</si>
  <si>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</si>
  <si>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</si>
  <si>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</si>
  <si>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</si>
  <si>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</si>
  <si>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</si>
  <si>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</si>
  <si>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</si>
  <si>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</si>
  <si>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</si>
  <si>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</si>
  <si>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</si>
  <si>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</si>
  <si>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</si>
  <si>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</si>
  <si>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</si>
  <si>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</si>
  <si>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</si>
  <si>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</si>
  <si>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</si>
  <si>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</si>
  <si>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</si>
  <si>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</si>
  <si>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</si>
  <si>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</si>
  <si>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</si>
  <si>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</si>
  <si>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</si>
  <si>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</si>
  <si>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</si>
  <si>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</si>
  <si>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</si>
  <si>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</si>
  <si>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</si>
  <si>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</si>
  <si>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</si>
  <si>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</si>
  <si>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</si>
  <si>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</si>
  <si>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</si>
  <si>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</si>
  <si>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</si>
  <si>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</si>
  <si>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</si>
  <si>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</si>
  <si>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</si>
  <si>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</si>
  <si>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</si>
  <si>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</si>
  <si>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</si>
  <si>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</si>
  <si>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</si>
  <si>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</si>
  <si>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</si>
  <si>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</si>
  <si>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</si>
  <si>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</si>
  <si>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</si>
  <si>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</si>
  <si>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</si>
  <si>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</si>
  <si>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</si>
  <si>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</si>
  <si>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</si>
  <si>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</si>
  <si>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</si>
  <si>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</si>
  <si>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</si>
  <si>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</si>
  <si>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</si>
  <si>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</si>
  <si>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</si>
  <si>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</si>
  <si>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</si>
  <si>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</si>
  <si>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</si>
  <si>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</si>
  <si>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</si>
  <si>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</si>
  <si>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</si>
  <si>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</si>
  <si>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</si>
  <si>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</si>
  <si>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</si>
  <si>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</si>
  <si>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</si>
  <si>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</si>
  <si>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</si>
  <si>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</si>
  <si>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</si>
  <si>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</si>
  <si>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</si>
  <si>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</si>
  <si>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</si>
  <si>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</si>
  <si>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</si>
  <si>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</si>
  <si>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</si>
  <si>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</si>
  <si>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</si>
  <si>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</si>
  <si>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</si>
  <si>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</si>
  <si>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</si>
  <si>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</si>
  <si>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</si>
  <si>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</si>
  <si>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</si>
  <si>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</si>
  <si>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</si>
  <si>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</si>
  <si>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</si>
  <si>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</si>
  <si>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</si>
  <si>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</si>
  <si>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</si>
  <si>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</si>
  <si>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</si>
  <si>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</si>
  <si>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</si>
  <si>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</si>
  <si>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</si>
  <si>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</si>
  <si>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</si>
  <si>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</si>
  <si>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</si>
  <si>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</si>
  <si>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</si>
  <si>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</si>
  <si>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</si>
  <si>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</si>
  <si>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</si>
  <si>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</si>
  <si>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</si>
  <si>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</si>
  <si>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</si>
  <si>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</si>
  <si>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</si>
  <si>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</si>
  <si>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</si>
  <si>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</si>
  <si>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</si>
  <si>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</si>
  <si>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</si>
  <si>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</si>
  <si>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</si>
  <si>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</si>
  <si>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</si>
  <si>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</si>
  <si>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</si>
  <si>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</si>
  <si>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</si>
  <si>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</si>
  <si>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</si>
  <si>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</si>
  <si>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</si>
  <si>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</si>
  <si>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</si>
  <si>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</si>
  <si>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</si>
  <si>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</si>
  <si>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</si>
  <si>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</si>
  <si>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</si>
  <si>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</si>
  <si>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</si>
  <si>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</si>
  <si>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</si>
  <si>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</si>
  <si>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</si>
  <si>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</si>
  <si>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</si>
  <si>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</si>
  <si>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</si>
  <si>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</si>
  <si>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</si>
  <si>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</si>
  <si>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</si>
  <si>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</si>
  <si>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</si>
  <si>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</si>
  <si>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</si>
  <si>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</si>
  <si>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</si>
  <si>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</si>
  <si>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</si>
  <si>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</si>
  <si>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</si>
  <si>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</si>
  <si>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</si>
  <si>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</si>
  <si>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</si>
  <si>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</si>
  <si>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</si>
  <si>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</si>
  <si>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</si>
  <si>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</si>
  <si>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</si>
  <si>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</si>
  <si>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</si>
  <si>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</si>
  <si>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</si>
  <si>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</si>
  <si>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</si>
  <si>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</si>
  <si>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</si>
  <si>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</si>
  <si>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</si>
  <si>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</si>
  <si>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</si>
  <si>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</si>
  <si>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</si>
  <si>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</si>
  <si>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</si>
  <si>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</si>
  <si>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</si>
  <si>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</si>
  <si>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</si>
  <si>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</si>
  <si>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</si>
  <si>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</si>
  <si>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</si>
  <si>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</si>
  <si>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</si>
  <si>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</si>
  <si>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</si>
  <si>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</si>
  <si>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</si>
  <si>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</si>
  <si>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</si>
  <si>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</si>
  <si>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</si>
  <si>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</si>
  <si>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</si>
  <si>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</si>
  <si>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</si>
  <si>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</si>
  <si>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</si>
  <si>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</si>
  <si>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</si>
  <si>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</si>
  <si>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</si>
  <si>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</si>
  <si>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</si>
  <si>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</si>
  <si>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</si>
  <si>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</si>
  <si>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</si>
  <si>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</si>
  <si>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</si>
  <si>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</si>
  <si>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</si>
  <si>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</si>
  <si>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</si>
  <si>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</si>
  <si>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</si>
  <si>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</si>
  <si>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</si>
  <si>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</si>
  <si>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</si>
  <si>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</si>
  <si>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</si>
  <si>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</si>
  <si>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</si>
  <si>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</si>
  <si>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</si>
  <si>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</si>
  <si>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</si>
  <si>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</si>
  <si>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</si>
  <si>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</si>
  <si>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</si>
  <si>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</si>
  <si>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</si>
  <si>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</si>
  <si>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</si>
  <si>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</si>
  <si>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</si>
  <si>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</si>
  <si>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</si>
  <si>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</si>
  <si>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</si>
  <si>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</si>
  <si>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</si>
  <si>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</si>
  <si>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</si>
  <si>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</si>
  <si>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</si>
  <si>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</si>
  <si>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</si>
  <si>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</si>
  <si>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</si>
  <si>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</si>
  <si>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</si>
  <si>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</si>
  <si>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</si>
  <si>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</si>
  <si>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</si>
  <si>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</si>
  <si>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</si>
  <si>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</si>
  <si>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</si>
  <si>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</si>
  <si>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</si>
  <si>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</si>
  <si>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</si>
  <si>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</si>
  <si>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</si>
  <si>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</si>
  <si>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</si>
  <si>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</si>
  <si>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</si>
  <si>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</si>
  <si>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</si>
  <si>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</si>
  <si>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</si>
  <si>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</si>
  <si>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</si>
  <si>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</si>
  <si>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</si>
  <si>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</si>
  <si>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</si>
  <si>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</si>
  <si>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</si>
  <si>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</si>
  <si>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</si>
  <si>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</si>
  <si>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</si>
  <si>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</si>
  <si>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</si>
  <si>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</si>
  <si>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</si>
  <si>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</si>
  <si>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</si>
  <si>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</si>
  <si>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</si>
  <si>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</si>
  <si>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</si>
  <si>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</si>
  <si>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</si>
  <si>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</si>
  <si>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</si>
  <si>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</si>
  <si>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</si>
  <si>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</si>
  <si>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</si>
  <si>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</si>
  <si>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</si>
  <si>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</si>
  <si>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</si>
  <si>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</si>
  <si>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</si>
  <si>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</si>
  <si>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</si>
  <si>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</si>
  <si>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</si>
  <si>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</si>
  <si>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</si>
  <si>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</si>
  <si>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</si>
  <si>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</si>
  <si>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</si>
  <si>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</si>
  <si>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</si>
  <si>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</si>
  <si>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</si>
  <si>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</si>
  <si>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</si>
  <si>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</si>
  <si>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</si>
  <si>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</si>
  <si>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</si>
  <si>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</si>
  <si>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</si>
  <si>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</si>
  <si>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</si>
  <si>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</si>
  <si>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</si>
  <si>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</si>
  <si>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</si>
  <si>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</si>
  <si>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</si>
  <si>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</si>
  <si>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</si>
  <si>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</si>
  <si>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</si>
  <si>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</si>
  <si>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</si>
  <si>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</si>
  <si>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</si>
  <si>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</si>
  <si>
    <t>《淮安市城市市政公用设施配套费征收管理办法》[淮政发[1998]205号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</si>
</sst>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4"/>
      <color rgb="FF00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75" fillId="0" borderId="0" xfId="0" applyFo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本次估价对象为出让国有建设用地使用权，《国有土地使用证》[]证载土地终止日期为住宅2087年9月25日、商业2057年9月25日车库2066年9月25日。截至估价期日，出让国有建设用地使用权剩余土地使用年限为。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10728</v>
      </c>
    </row>
    <row r="47" spans="1:2">
      <c r="A47" s="2831" t="s">
        <v>2722</v>
      </c>
      <c r="B47" s="2832">
        <f ca="1">'预评函-2'!Q5</f>
        <v>2401</v>
      </c>
    </row>
    <row r="48" spans="1:2">
      <c r="A48" s="2831" t="s">
        <v>2723</v>
      </c>
      <c r="B48" s="2832">
        <f ca="1">'预评函-2'!R5</f>
        <v>77238</v>
      </c>
    </row>
    <row r="49" spans="1:2">
      <c r="A49" s="2831" t="s">
        <v>2739</v>
      </c>
      <c r="B49" s="2832" t="str">
        <f>'预评函-2'!A6</f>
        <v>抵押价格</v>
      </c>
    </row>
    <row r="50" spans="1:2">
      <c r="A50" s="2831" t="s">
        <v>2724</v>
      </c>
      <c r="B50" s="2832">
        <f ca="1">'预评函-2'!R6</f>
        <v>76237</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5" thickBot="1">
      <c r="A54" s="2853" t="s">
        <v>2726</v>
      </c>
      <c r="B54" s="2854">
        <f ca="1">'预评函-2'!R8</f>
        <v>64323</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综上，本次评估估价师知悉的法定优先受偿款为人民币1001万元整。</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77" t="str">
        <f>IF(B10="北京市","北京市",C10)&amp;F10&amp;B16&amp;"国有建设用地使用权"&amp;B9&amp;"预评估"</f>
        <v>出让国有建设用地使用权抵押价格预评估</v>
      </c>
      <c r="C1" s="3278"/>
      <c r="D1" s="3278"/>
      <c r="E1" s="3278"/>
      <c r="F1" s="3278"/>
      <c r="G1" s="3278"/>
      <c r="H1" s="3278"/>
      <c r="I1" s="3279"/>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83" t="s">
        <v>1943</v>
      </c>
      <c r="E8" s="1826" t="s">
        <v>3236</v>
      </c>
      <c r="F8" s="1654"/>
      <c r="G8" s="1642"/>
      <c r="H8" s="1642"/>
      <c r="I8" s="1689"/>
      <c r="J8" s="1676"/>
      <c r="K8" s="1756"/>
      <c r="L8" s="1705"/>
      <c r="M8" s="1705"/>
      <c r="N8" s="1676"/>
      <c r="O8" s="1677"/>
      <c r="P8" s="1676"/>
      <c r="Q8" s="1676"/>
      <c r="R8" s="1676"/>
      <c r="S8" s="1676"/>
      <c r="T8" s="1676"/>
      <c r="U8" s="1676"/>
    </row>
    <row r="9" spans="1:21" ht="15" thickBot="1">
      <c r="A9" s="1655" t="s">
        <v>1942</v>
      </c>
      <c r="B9" s="1656" t="s">
        <v>3236</v>
      </c>
      <c r="C9" s="1657"/>
      <c r="D9" s="3284"/>
      <c r="E9" s="1656" t="s">
        <v>2852</v>
      </c>
      <c r="F9" s="1729"/>
      <c r="G9" s="1724"/>
      <c r="H9" s="1724"/>
      <c r="I9" s="1725"/>
      <c r="J9" s="1676"/>
      <c r="K9" s="1756"/>
      <c r="L9" s="1705"/>
      <c r="M9" s="1705"/>
      <c r="N9" s="1676"/>
      <c r="O9" s="1677"/>
      <c r="P9" s="1676"/>
      <c r="Q9" s="1676"/>
      <c r="R9" s="1676"/>
      <c r="S9" s="1676"/>
      <c r="T9" s="1676"/>
      <c r="U9" s="1676"/>
    </row>
    <row r="10" spans="1:21" ht="15"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80"/>
      <c r="C12" s="3281"/>
      <c r="D12" s="3282"/>
      <c r="E12" s="1681" t="s">
        <v>2060</v>
      </c>
      <c r="F12" s="3298" t="s">
        <v>2887</v>
      </c>
      <c r="G12" s="3299"/>
      <c r="H12" s="3299"/>
      <c r="I12" s="3300"/>
      <c r="J12" s="1676"/>
      <c r="K12" s="1756"/>
      <c r="L12" s="1705"/>
      <c r="M12" s="1705"/>
      <c r="N12" s="1676"/>
      <c r="O12" s="1677"/>
      <c r="P12" s="1676"/>
      <c r="Q12" s="1676"/>
      <c r="R12" s="1676"/>
      <c r="S12" s="1676"/>
      <c r="T12" s="1676"/>
      <c r="U12" s="1676"/>
    </row>
    <row r="13" spans="1:21">
      <c r="A13" s="1669" t="s">
        <v>2058</v>
      </c>
      <c r="B13" s="3280"/>
      <c r="C13" s="3281"/>
      <c r="D13" s="3282"/>
      <c r="E13" s="1681" t="s">
        <v>2060</v>
      </c>
      <c r="F13" s="3298" t="s">
        <v>2888</v>
      </c>
      <c r="G13" s="3299"/>
      <c r="H13" s="3299"/>
      <c r="I13" s="3300"/>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住宅2087年9月25日</v>
      </c>
      <c r="L16" s="1681" t="str">
        <f>IF(OR(K16="",M16=""),"","、")</f>
        <v>、</v>
      </c>
      <c r="M16" s="2418" t="str">
        <f>IF(E17="","",E16&amp;TEXT(E17,"yyyy年m月d日;;"))</f>
        <v>商业2057年9月25日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68570</v>
      </c>
      <c r="E17" s="3224">
        <v>57613</v>
      </c>
      <c r="F17" s="1682"/>
      <c r="G17" s="1682">
        <v>60900</v>
      </c>
      <c r="H17" s="1682"/>
      <c r="I17" s="1682"/>
      <c r="J17" s="1676"/>
      <c r="K17" s="2417" t="str">
        <f>CONCATENATE(K16,L16,M16,N16,O16,P16,Q16,R16,S16,T16,,U16)</f>
        <v>住宅2087年9月25日、商业2057年9月25日车库2066年9月25日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68.33</v>
      </c>
      <c r="E19" s="1667">
        <f>IF(B16="出让",IF(E17="","",ROUNDDOWN(MIN((E17-$D$3)/365,E18),2)),E18)</f>
        <v>38.31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95"/>
      <c r="E20" s="3296"/>
      <c r="F20" s="3296"/>
      <c r="G20" s="3296"/>
      <c r="H20" s="3296"/>
      <c r="I20" s="3297"/>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85" t="s">
        <v>1997</v>
      </c>
      <c r="F21" s="3286"/>
      <c r="G21" s="3286"/>
      <c r="H21" s="3286"/>
      <c r="I21" s="3287"/>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85" t="s">
        <v>2889</v>
      </c>
      <c r="F22" s="3286"/>
      <c r="G22" s="3286"/>
      <c r="H22" s="3286"/>
      <c r="I22" s="3287"/>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88" t="s">
        <v>1965</v>
      </c>
      <c r="C24" s="3289"/>
      <c r="D24" s="3290" t="s">
        <v>1966</v>
      </c>
      <c r="E24" s="3291"/>
      <c r="F24" s="1690" t="s">
        <v>1967</v>
      </c>
      <c r="G24" s="1676"/>
      <c r="H24" s="1676"/>
      <c r="I24" s="1689"/>
      <c r="J24" s="1676"/>
      <c r="K24" s="3276"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7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7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62" t="s">
        <v>2000</v>
      </c>
      <c r="B31" s="1746" t="s">
        <v>2001</v>
      </c>
      <c r="C31" s="3301"/>
      <c r="D31" s="3302"/>
      <c r="E31" s="1676"/>
      <c r="F31" s="1676"/>
      <c r="G31" s="1676"/>
      <c r="H31" s="1676"/>
      <c r="I31" s="1689"/>
      <c r="J31" s="1676"/>
      <c r="K31" s="2420"/>
      <c r="L31" s="1676"/>
      <c r="M31" s="1676"/>
      <c r="N31" s="1676"/>
      <c r="O31" s="1676"/>
      <c r="P31" s="1676"/>
      <c r="Q31" s="1676"/>
      <c r="R31" s="1676"/>
      <c r="S31" s="1676"/>
      <c r="T31" s="1676"/>
      <c r="U31" s="1676"/>
    </row>
    <row r="32" spans="1:21">
      <c r="A32" s="3262"/>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2"/>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3"/>
      <c r="B34" s="1643" t="s">
        <v>2004</v>
      </c>
      <c r="C34" s="3264"/>
      <c r="D34" s="3265"/>
      <c r="E34" s="1676"/>
      <c r="F34" s="1676"/>
      <c r="G34" s="1676"/>
      <c r="H34" s="1676"/>
      <c r="I34" s="1689"/>
      <c r="J34" s="1676"/>
      <c r="K34" s="2420"/>
      <c r="L34" s="1676"/>
      <c r="M34" s="1676"/>
      <c r="N34" s="1676"/>
      <c r="O34" s="1676"/>
      <c r="P34" s="1676"/>
      <c r="Q34" s="1676"/>
      <c r="R34" s="1676"/>
      <c r="S34" s="1676"/>
      <c r="T34" s="1676"/>
      <c r="U34" s="1676"/>
    </row>
    <row r="35" spans="1:21">
      <c r="A35" s="3266" t="s">
        <v>846</v>
      </c>
      <c r="B35" s="1704"/>
      <c r="C35" s="1758" t="str">
        <f>IF(B35="场地平整","——","具体情况：")</f>
        <v>具体情况：</v>
      </c>
      <c r="D35" s="3268"/>
      <c r="E35" s="3269"/>
      <c r="F35" s="3269"/>
      <c r="G35" s="3269"/>
      <c r="H35" s="3269"/>
      <c r="I35" s="3270"/>
      <c r="J35" s="1676"/>
      <c r="K35" s="1757"/>
      <c r="L35" s="1705"/>
      <c r="M35" s="1705"/>
      <c r="N35" s="1676"/>
      <c r="O35" s="1677"/>
      <c r="P35" s="1676"/>
      <c r="Q35" s="1676"/>
      <c r="R35" s="1676"/>
      <c r="S35" s="1676"/>
      <c r="T35" s="1676"/>
      <c r="U35" s="1676"/>
    </row>
    <row r="36" spans="1:21">
      <c r="A36" s="3262"/>
      <c r="B36" s="3271" t="s">
        <v>2053</v>
      </c>
      <c r="C36" s="3272"/>
      <c r="D36" s="1774"/>
      <c r="E36" s="3273"/>
      <c r="F36" s="3273"/>
      <c r="G36" s="1669" t="str">
        <f>IF(B35="场地未平整","估价结果处理","")</f>
        <v/>
      </c>
      <c r="H36" s="3274"/>
      <c r="I36" s="3274"/>
      <c r="J36" s="1676"/>
      <c r="K36" s="1757"/>
      <c r="L36" s="1705"/>
      <c r="M36" s="1705"/>
      <c r="N36" s="1676"/>
      <c r="O36" s="1677"/>
      <c r="P36" s="1676"/>
      <c r="Q36" s="1676"/>
      <c r="R36" s="1676"/>
      <c r="S36" s="1676"/>
      <c r="T36" s="1676"/>
      <c r="U36" s="1676"/>
    </row>
    <row r="37" spans="1:21" ht="28.5">
      <c r="A37" s="3262"/>
      <c r="B37" s="329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62"/>
      <c r="B38" s="3293"/>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63"/>
      <c r="B39" s="329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75" t="s">
        <v>1984</v>
      </c>
      <c r="T40" s="1713" t="str">
        <f>NUMBERSTRING(7-K40,1)&amp;"通"</f>
        <v>七通</v>
      </c>
      <c r="U40" s="1676"/>
    </row>
    <row r="41" spans="1:21">
      <c r="A41" s="1645"/>
      <c r="B41" s="3267" t="s">
        <v>1720</v>
      </c>
      <c r="C41" s="3267"/>
      <c r="D41" s="3267"/>
      <c r="E41" s="326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5"/>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314887.10359999997</v>
      </c>
      <c r="I5" s="27">
        <f t="shared" si="0"/>
        <v>299142.75</v>
      </c>
      <c r="J5" s="27">
        <f t="shared" si="0"/>
        <v>0</v>
      </c>
      <c r="K5" s="27">
        <f t="shared" si="0"/>
        <v>15744.353599999973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6861.9964</v>
      </c>
      <c r="AD5" s="27">
        <f t="shared" si="0"/>
        <v>6861.9964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314887.10359999997</v>
      </c>
      <c r="BB5" s="29">
        <f t="shared" si="1"/>
        <v>299142.75</v>
      </c>
      <c r="BC5" s="29">
        <f t="shared" si="1"/>
        <v>15744.353599999973</v>
      </c>
      <c r="BD5" s="29">
        <f t="shared" si="1"/>
        <v>0</v>
      </c>
      <c r="BE5" s="29">
        <f t="shared" si="1"/>
        <v>0</v>
      </c>
      <c r="BF5" s="29">
        <f t="shared" si="1"/>
        <v>0</v>
      </c>
      <c r="BG5" s="29">
        <f t="shared" si="1"/>
        <v>0</v>
      </c>
      <c r="BH5" s="29">
        <f t="shared" si="1"/>
        <v>0</v>
      </c>
      <c r="BI5" s="29">
        <f t="shared" si="1"/>
        <v>0</v>
      </c>
      <c r="BJ5" s="29">
        <f t="shared" si="1"/>
        <v>0</v>
      </c>
      <c r="BK5" s="29">
        <f t="shared" si="1"/>
        <v>0</v>
      </c>
      <c r="BL5" s="29">
        <f t="shared" si="1"/>
        <v>6861.9964</v>
      </c>
      <c r="BM5" s="29">
        <f t="shared" si="1"/>
        <v>6861.9964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71994.81</v>
      </c>
      <c r="F6" s="27" t="s">
        <v>1</v>
      </c>
      <c r="G6" s="27" t="s">
        <v>2</v>
      </c>
      <c r="H6" s="33">
        <f>SUMIF(I$12:AB$12,"总值",I6:AB6)</f>
        <v>70459.360000000001</v>
      </c>
      <c r="I6" s="27">
        <f t="shared" ref="I6:AB6" si="2">ROUND($A$3*I5/$B$3,2)</f>
        <v>66936.39</v>
      </c>
      <c r="J6" s="27">
        <f t="shared" si="2"/>
        <v>0</v>
      </c>
      <c r="K6" s="27">
        <f t="shared" si="2"/>
        <v>3522.97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1535.45</v>
      </c>
      <c r="AD6" s="27">
        <f t="shared" ref="AD6:AS6" si="3">ROUND($A$3*AD5/$B$3,2)</f>
        <v>1535.45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70459.350000000006</v>
      </c>
      <c r="BB6" s="27">
        <f>ROUND($AY$6*BB5/$AZ$5,2)</f>
        <v>66936.39</v>
      </c>
      <c r="BC6" s="27">
        <f t="shared" ref="BC6:BH6" si="4">ROUND($AY$6*BC5/$AZ$5,2)</f>
        <v>3522.97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1535.45</v>
      </c>
      <c r="BM6" s="27">
        <f t="shared" si="5"/>
        <v>1535.45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314887.10359999997</v>
      </c>
      <c r="I13" s="3215">
        <f>ROUND((321749.1-AD13)*0.95,2)</f>
        <v>299142.75</v>
      </c>
      <c r="J13" s="2968"/>
      <c r="K13" s="2968">
        <f>321749.1-AD13-I13</f>
        <v>15744.353599999973</v>
      </c>
      <c r="L13" s="2968"/>
      <c r="M13" s="2968"/>
      <c r="N13" s="83"/>
      <c r="O13" s="83"/>
      <c r="P13" s="83"/>
      <c r="Q13" s="83"/>
      <c r="R13" s="83"/>
      <c r="S13" s="83"/>
      <c r="T13" s="83"/>
      <c r="U13" s="83"/>
      <c r="V13" s="83"/>
      <c r="W13" s="83"/>
      <c r="X13" s="83"/>
      <c r="Y13" s="83"/>
      <c r="Z13" s="83"/>
      <c r="AA13" s="83"/>
      <c r="AB13" s="83"/>
      <c r="AC13" s="27">
        <f t="shared" ref="AC13:AC20" si="9">SUMIF(AD$12:AS$12,"总值",AD13:AS13)</f>
        <v>6861.9964</v>
      </c>
      <c r="AD13" s="2972">
        <f>400+3500+1000+321749.1*0.004+150+500+25</f>
        <v>6861.9964</v>
      </c>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314887.10359999997</v>
      </c>
      <c r="BB13" s="27">
        <f t="shared" ref="BB13:BB20" si="14">IF($D13="是",I13-J13,0)</f>
        <v>299142.75</v>
      </c>
      <c r="BC13" s="27">
        <f t="shared" ref="BC13:BC20" si="15">IF($D13="是",K13-L13,0)</f>
        <v>15744.353599999973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6861.9964</v>
      </c>
      <c r="BM13" s="27">
        <f t="shared" ref="BM13:BM20" si="25">IF($D13="是",AD13-AE13,0)</f>
        <v>6861.9964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77258</v>
      </c>
    </row>
    <row r="4" spans="1:17">
      <c r="A4">
        <f>ROUND(A3/'数据-汇总表'!F27*10000,0)</f>
        <v>1305</v>
      </c>
      <c r="B4">
        <f>ROUND(B3/'数据-汇总表'!F27*10000,0)</f>
        <v>2541</v>
      </c>
      <c r="C4">
        <f ca="1">ROUND(C3/'数据-汇总表'!F27*10000,0)</f>
        <v>2454</v>
      </c>
      <c r="D4" s="3199">
        <f ca="1">A4/C4</f>
        <v>0.5317848410757946</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3" zoomScale="90" zoomScaleNormal="90" zoomScaleSheetLayoutView="90" workbookViewId="0">
      <selection activeCell="G12" sqref="G1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4" t="s">
        <v>203</v>
      </c>
      <c r="B2" s="3314"/>
      <c r="C2" s="3314"/>
      <c r="D2" s="1958" t="s">
        <v>204</v>
      </c>
      <c r="E2" s="106" t="s">
        <v>205</v>
      </c>
      <c r="F2" s="1967"/>
      <c r="G2" s="1194"/>
      <c r="H2" s="1195"/>
      <c r="I2" s="1196" t="s">
        <v>856</v>
      </c>
      <c r="J2" s="1967"/>
      <c r="K2" s="1967"/>
      <c r="L2" s="1967"/>
    </row>
    <row r="3" spans="1:16" ht="15.75" thickBot="1">
      <c r="A3" s="3315" t="s">
        <v>206</v>
      </c>
      <c r="B3" s="3315"/>
      <c r="C3" s="3315"/>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16"/>
      <c r="B4" s="3317"/>
      <c r="C4" s="3318"/>
      <c r="D4" s="108" t="s">
        <v>204</v>
      </c>
      <c r="E4" s="109" t="s">
        <v>205</v>
      </c>
      <c r="F4" s="1967"/>
      <c r="G4" s="1197"/>
      <c r="H4" s="275" t="s">
        <v>859</v>
      </c>
      <c r="I4" s="1959">
        <f>ROUND(SUMIF('数据-基础表'!I9:AS9,"地上",'数据-基础表'!I5:AS5)/'数据-基础表'!A3,2)</f>
        <v>4.47</v>
      </c>
      <c r="J4" s="1967"/>
      <c r="K4" s="1967"/>
      <c r="L4" s="1967"/>
    </row>
    <row r="5" spans="1:16">
      <c r="A5" s="110" t="s">
        <v>207</v>
      </c>
      <c r="B5" s="3319" t="s">
        <v>230</v>
      </c>
      <c r="C5" s="3319"/>
      <c r="D5" s="111">
        <f>ROUND($D$3*E5/$E$3,2)</f>
        <v>66936.39</v>
      </c>
      <c r="E5" s="112">
        <f>SUMIF('数据-基础表'!$11:$11,"住宅",'数据-基础表'!$5:$5)</f>
        <v>299142.75</v>
      </c>
      <c r="F5" s="1967"/>
      <c r="G5" s="280" t="s">
        <v>860</v>
      </c>
      <c r="H5" s="275" t="s">
        <v>858</v>
      </c>
      <c r="I5" s="1959">
        <f>ROUND(E31/D31,2)</f>
        <v>4.47</v>
      </c>
      <c r="J5" s="1967"/>
      <c r="K5" s="1967"/>
      <c r="L5" s="1967"/>
    </row>
    <row r="6" spans="1:16" ht="15" thickBot="1">
      <c r="A6" s="113"/>
      <c r="B6" s="3319" t="s">
        <v>208</v>
      </c>
      <c r="C6" s="3319"/>
      <c r="D6" s="111">
        <f>ROUND($D$3*E6/$E$3,2)</f>
        <v>5058.41</v>
      </c>
      <c r="E6" s="112">
        <f>E3-E5</f>
        <v>22606.349999999977</v>
      </c>
      <c r="F6" s="1967"/>
      <c r="G6" s="1197"/>
      <c r="H6" s="275" t="s">
        <v>859</v>
      </c>
      <c r="I6" s="1959">
        <f>ROUND(F31/D31,2)</f>
        <v>4.47</v>
      </c>
      <c r="J6" s="1967"/>
      <c r="K6" s="1967"/>
      <c r="L6" s="1967"/>
    </row>
    <row r="7" spans="1:16" ht="15">
      <c r="A7" s="3311"/>
      <c r="B7" s="3312"/>
      <c r="C7" s="3313"/>
      <c r="D7" s="108" t="s">
        <v>204</v>
      </c>
      <c r="E7" s="114" t="s">
        <v>231</v>
      </c>
      <c r="F7" s="1967"/>
      <c r="G7" s="1152" t="s">
        <v>1644</v>
      </c>
      <c r="H7" s="1153"/>
      <c r="I7" s="1829"/>
      <c r="J7" s="1967"/>
      <c r="K7" s="1967"/>
      <c r="L7" s="1967"/>
    </row>
    <row r="8" spans="1:16">
      <c r="A8" s="110" t="s">
        <v>209</v>
      </c>
      <c r="B8" s="115" t="s">
        <v>210</v>
      </c>
      <c r="C8" s="111" t="s">
        <v>211</v>
      </c>
      <c r="D8" s="111">
        <f t="shared" ref="D8:D15" si="0">ROUND($D$3*E8/$E$3,2)</f>
        <v>70459.350000000006</v>
      </c>
      <c r="E8" s="116">
        <f>SUMIF('数据-基础表'!BB10:BK10,"地上",'数据-基础表'!BB5:BK5)</f>
        <v>314887.10359999997</v>
      </c>
      <c r="F8" s="1967"/>
      <c r="G8" s="1969"/>
      <c r="H8" s="1969"/>
      <c r="I8" s="1967"/>
      <c r="J8" s="1967"/>
      <c r="K8" s="1967"/>
      <c r="L8" s="1967"/>
    </row>
    <row r="9" spans="1:16">
      <c r="A9" s="117"/>
      <c r="B9" s="118"/>
      <c r="C9" s="111" t="s">
        <v>212</v>
      </c>
      <c r="D9" s="111">
        <f t="shared" si="0"/>
        <v>0</v>
      </c>
      <c r="E9" s="119"/>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70459.350000000006</v>
      </c>
      <c r="E16" s="120">
        <f>SUM(E8:E15)</f>
        <v>314887.10359999997</v>
      </c>
      <c r="F16" s="1967"/>
      <c r="G16" s="1969"/>
      <c r="H16" s="968" t="s">
        <v>219</v>
      </c>
      <c r="I16" s="969"/>
      <c r="J16" s="1967"/>
      <c r="K16" s="3305" t="s">
        <v>2564</v>
      </c>
      <c r="L16" s="3306"/>
      <c r="M16" s="3306"/>
      <c r="N16" s="3306"/>
      <c r="O16" s="3306"/>
      <c r="P16" s="3307"/>
    </row>
    <row r="17" spans="1:19" ht="15">
      <c r="A17" s="121" t="s">
        <v>216</v>
      </c>
      <c r="B17" s="122" t="s">
        <v>217</v>
      </c>
      <c r="C17" s="2281" t="s">
        <v>2312</v>
      </c>
      <c r="D17" s="108" t="s">
        <v>204</v>
      </c>
      <c r="E17" s="124" t="s">
        <v>205</v>
      </c>
      <c r="F17" s="125"/>
      <c r="G17" s="1360"/>
      <c r="H17" s="970" t="s">
        <v>218</v>
      </c>
      <c r="I17" s="971" t="s">
        <v>2311</v>
      </c>
      <c r="J17" s="1967"/>
      <c r="K17" s="3308" t="s">
        <v>2565</v>
      </c>
      <c r="L17" s="3309"/>
      <c r="M17" s="3310"/>
      <c r="N17" s="3308" t="s">
        <v>2566</v>
      </c>
      <c r="O17" s="3309"/>
      <c r="P17" s="3310"/>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66936.39</v>
      </c>
      <c r="E19" s="134">
        <f t="shared" ref="E19:E26" si="2">SUM(F19:G19)</f>
        <v>299142.75</v>
      </c>
      <c r="F19" s="135">
        <f>'数据-基础表'!I13</f>
        <v>299142.75</v>
      </c>
      <c r="G19" s="1362"/>
      <c r="H19" s="974">
        <f>ROUND($D$3*I19/$E$3,2)</f>
        <v>1535.45</v>
      </c>
      <c r="I19" s="116">
        <f>IF($I$17="自定义",P19,M19)</f>
        <v>6862</v>
      </c>
      <c r="J19" s="1967"/>
      <c r="K19" s="2570">
        <f t="shared" ref="K19:K26" si="3">ROUND(E$28*E19/E$27,2)</f>
        <v>0</v>
      </c>
      <c r="L19" s="275">
        <f t="shared" ref="L19:L26" si="4">ROUND(IF(COUNTIF(C19,"*住宅*")&gt;0,E$29*E19/E$32,0),2)</f>
        <v>6862</v>
      </c>
      <c r="M19" s="2571">
        <f>K19+L19</f>
        <v>6862</v>
      </c>
      <c r="N19" s="2572"/>
      <c r="O19" s="2573"/>
      <c r="P19" s="2574">
        <f>N19+O19</f>
        <v>0</v>
      </c>
      <c r="R19" s="275">
        <f t="shared" ref="R19:S26" si="5">D19+H19</f>
        <v>68471.839999999997</v>
      </c>
      <c r="S19" s="2284">
        <f t="shared" si="5"/>
        <v>306004.75</v>
      </c>
    </row>
    <row r="20" spans="1:19">
      <c r="A20" s="138"/>
      <c r="B20" s="115" t="s">
        <v>226</v>
      </c>
      <c r="C20" s="2975" t="s">
        <v>3124</v>
      </c>
      <c r="D20" s="111">
        <f t="shared" si="1"/>
        <v>3522.97</v>
      </c>
      <c r="E20" s="134">
        <f t="shared" si="2"/>
        <v>15744.353599999973</v>
      </c>
      <c r="F20" s="135">
        <f>'数据-基础表'!K13</f>
        <v>15744.353599999973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3522.97</v>
      </c>
      <c r="S20" s="2284">
        <f t="shared" si="5"/>
        <v>15744.353599999973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70459.360000000001</v>
      </c>
      <c r="E27" s="143">
        <f>IF(SUM(E19:E26)='数据-基础表'!BA5,SUM(E19:E26),IF(F27="地上面积有误","面积有误","地下面积有误"))</f>
        <v>314887.10359999997</v>
      </c>
      <c r="F27" s="134">
        <f>IF(SUM(F19:F26)=E8,SUM(F19:F26),"地上面积有误")</f>
        <v>314887.10359999997</v>
      </c>
      <c r="G27" s="112">
        <f>SUM(G19:G26)</f>
        <v>0</v>
      </c>
      <c r="H27" s="975">
        <f>SUM(H19:H26)</f>
        <v>1535.45</v>
      </c>
      <c r="I27" s="976">
        <f>SUM(I19:I26)</f>
        <v>6862</v>
      </c>
      <c r="J27" s="1967"/>
      <c r="K27" s="2579">
        <f>SUM(K19:K26)</f>
        <v>0</v>
      </c>
      <c r="L27" s="2580">
        <f>SUM(L19:L26)</f>
        <v>6862</v>
      </c>
      <c r="M27" s="2581">
        <f>SUM(M19:M26)</f>
        <v>6862</v>
      </c>
      <c r="N27" s="2579">
        <f t="shared" ref="N27:O27" si="10">SUM(N19:N26)</f>
        <v>0</v>
      </c>
      <c r="O27" s="2580">
        <f t="shared" si="10"/>
        <v>0</v>
      </c>
      <c r="P27" s="2582">
        <f>SUM(P19:P26)</f>
        <v>0</v>
      </c>
      <c r="R27" s="2288" t="str">
        <f>IF(SUM(R19:R26)=$D$3,SUM(R19:R26),SUM(R19:R26)&amp;"误差"&amp;ROUND(SUM(R19:R26)-$D$3,2))</f>
        <v>71994.81误差0.01</v>
      </c>
      <c r="S27" s="275" t="str">
        <f>IF(SUM(S19:S26)=$E$3,SUM(S19:S26),SUM(S19:S26)&amp;"误差"&amp;ROUND(SUM(S19:S26)-E3,2))</f>
        <v>321749.1036误差0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1535.45</v>
      </c>
      <c r="E29" s="134">
        <f>SUM(F29:G29)</f>
        <v>6861.9964</v>
      </c>
      <c r="F29" s="144">
        <f>'数据-基础表'!BM5+'数据-基础表'!BO5</f>
        <v>6861.9964</v>
      </c>
      <c r="G29" s="146">
        <f>'数据-基础表'!BN5+'数据-基础表'!BP5</f>
        <v>0</v>
      </c>
      <c r="H29" s="1967"/>
      <c r="I29" s="1967"/>
      <c r="J29" s="1967"/>
      <c r="K29" s="1967"/>
      <c r="L29" s="1967"/>
    </row>
    <row r="30" spans="1:19">
      <c r="A30" s="138"/>
      <c r="B30" s="111"/>
      <c r="C30" s="147" t="s">
        <v>215</v>
      </c>
      <c r="D30" s="134">
        <f>SUM(D28:D29)</f>
        <v>1535.45</v>
      </c>
      <c r="E30" s="134">
        <f>SUM(E28:E29)</f>
        <v>6861.9964</v>
      </c>
      <c r="F30" s="134">
        <f>SUM(F28:F29)</f>
        <v>6861.9964</v>
      </c>
      <c r="G30" s="112">
        <f>SUM(G28:G29)</f>
        <v>0</v>
      </c>
      <c r="H30" s="1967"/>
      <c r="I30" s="1967"/>
      <c r="J30" s="1967"/>
      <c r="K30" s="1967"/>
      <c r="L30" s="1967"/>
    </row>
    <row r="31" spans="1:19" ht="32.25" customHeight="1" thickBot="1">
      <c r="A31" s="1364"/>
      <c r="B31" s="1365" t="s">
        <v>229</v>
      </c>
      <c r="C31" s="2313" t="s">
        <v>2321</v>
      </c>
      <c r="D31" s="1366">
        <f>D27+D30</f>
        <v>71994.81</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299142.75</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V27" sqref="V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68570</v>
      </c>
      <c r="F6" s="174">
        <f>SUMIF(项目基本情况!D$15:I$15,C6,项目基本情况!D$19:I$19)</f>
        <v>68.33</v>
      </c>
      <c r="G6" s="175">
        <f>IF(ISERROR(ROUND(POWER(1+H6,D6-F6)*(POWER(1+H6,F6)-1)/(POWER(1+H6,D6)-1),3)),0,ROUND(POWER(1+H6,D6-F6)*(POWER(1+H6,F6)-1)/(POWER(1+H6,D6)-1),3))</f>
        <v>0.996</v>
      </c>
      <c r="H6" s="2976">
        <v>4.4999999999999998E-2</v>
      </c>
      <c r="I6" s="2976">
        <v>0.05</v>
      </c>
      <c r="J6" s="176">
        <v>8.5000000000000006E-2</v>
      </c>
      <c r="K6" s="179">
        <f>SUMIF('数据-汇总表'!C$19:C$33,'数据-取费表'!A6,'数据-汇总表'!E$19:E$33)</f>
        <v>299142.75</v>
      </c>
      <c r="L6" s="2977">
        <v>2500</v>
      </c>
      <c r="M6" s="177">
        <f t="shared" ref="M6:M14" si="0">ROUND(K6*L6/10000,0)</f>
        <v>74786</v>
      </c>
      <c r="N6" s="2978">
        <v>0</v>
      </c>
      <c r="O6" s="177">
        <f>IF($N$5="成新度","——",ROUND(M6*N6,0))</f>
        <v>0</v>
      </c>
      <c r="P6" s="178">
        <f>IF($N$5="成新度","——",M6-O6)</f>
        <v>74786</v>
      </c>
      <c r="Q6" s="2979">
        <v>0.25</v>
      </c>
      <c r="R6" s="179">
        <f>SUMIF('数据-汇总表'!C$19:C$33,A6,'数据-汇总表'!R$19:R$33)</f>
        <v>68471.839999999997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0.95099999999999996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57613</v>
      </c>
      <c r="F7" s="174">
        <f>SUMIF(项目基本情况!D$15:I$15,C7,项目基本情况!D$19:I$19)</f>
        <v>38.31</v>
      </c>
      <c r="G7" s="175">
        <f t="shared" ref="G7:G11" si="2">IF(ISERROR(ROUND(POWER(1+H7,D7-F7)*(POWER(1+H7,F7)-1)/(POWER(1+H7,D7)-1),3)),0,ROUND(POWER(1+H7,D7-F7)*(POWER(1+H7,F7)-1)/(POWER(1+H7,D7)-1),3))</f>
        <v>0.98599999999999999</v>
      </c>
      <c r="H7" s="2976">
        <v>0.05</v>
      </c>
      <c r="I7" s="2976">
        <v>5.5E-2</v>
      </c>
      <c r="J7" s="176">
        <v>8.5000000000000006E-2</v>
      </c>
      <c r="K7" s="179">
        <f>SUMIF('数据-汇总表'!C$19:C$33,'数据-取费表'!A7,'数据-汇总表'!E$19:E$33)</f>
        <v>15744.353599999973</v>
      </c>
      <c r="L7" s="2977">
        <v>2500</v>
      </c>
      <c r="M7" s="177">
        <f t="shared" si="0"/>
        <v>3936</v>
      </c>
      <c r="N7" s="2978">
        <v>0</v>
      </c>
      <c r="O7" s="177">
        <f t="shared" ref="O7:O14" si="3">IF($N$5="成新度","——",ROUND(M7*N7,0))</f>
        <v>0</v>
      </c>
      <c r="P7" s="178">
        <f t="shared" ref="P7:P14" si="4">IF($N$5="成新度","——",M7-O7)</f>
        <v>3936</v>
      </c>
      <c r="Q7" s="2979">
        <v>0.3</v>
      </c>
      <c r="R7" s="179">
        <f>SUMIF('数据-汇总表'!C$19:C$33,A7,'数据-汇总表'!R$19:R$33)</f>
        <v>3522.97</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35.31</v>
      </c>
      <c r="AF7" s="141"/>
      <c r="AG7" s="1209">
        <f t="shared" ref="AG7:AG13" si="7">IF(AF7="",0,AE7-AF7)</f>
        <v>0</v>
      </c>
      <c r="AH7" s="141"/>
      <c r="AI7" s="187">
        <v>365</v>
      </c>
      <c r="AJ7" s="188"/>
      <c r="AK7" s="189">
        <v>0.02</v>
      </c>
      <c r="AL7" s="190">
        <v>2E-3</v>
      </c>
      <c r="AM7" s="2990">
        <v>0.02</v>
      </c>
      <c r="AN7" s="2354" t="s">
        <v>3136</v>
      </c>
      <c r="AO7" s="1983"/>
      <c r="AP7" s="1200">
        <f t="shared" ref="AP7:AP13" si="8">ROUND(1-1/(1+H7)^F7,3)</f>
        <v>0.84599999999999997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v>1</v>
      </c>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v>2500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6861.9964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321749.09999999998</v>
      </c>
      <c r="L16" s="206">
        <f>ROUND(M16*10000/SUM(K6:K14),0)</f>
        <v>2500</v>
      </c>
      <c r="M16" s="206">
        <f>SUM(M6:M14)</f>
        <v>78722</v>
      </c>
      <c r="N16" s="207">
        <f>ROUND(SUMPRODUCT(M6:M14,N6:N14)/M16,3)</f>
        <v>0</v>
      </c>
      <c r="O16" s="206">
        <f>SUM(O6:O14)</f>
        <v>0</v>
      </c>
      <c r="P16" s="206">
        <f>SUM(P6:P14)</f>
        <v>78722</v>
      </c>
      <c r="Q16" s="208">
        <f>ROUND(SUMPRODUCT(Q6:Q13,K6:K13)/SUMPRODUCT((Q6:Q13&gt;0)*(K6:K13)),2)</f>
        <v>0.25</v>
      </c>
      <c r="R16" s="2294">
        <f>SUM(R6:R13)</f>
        <v>71994.81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0.94599999999999995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D32" sqref="D32"/>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0" t="s">
        <v>1662</v>
      </c>
      <c r="B1" s="3321"/>
      <c r="C1" s="3321"/>
      <c r="D1" s="3321"/>
      <c r="E1" s="3321"/>
      <c r="F1" s="3321"/>
      <c r="G1" s="3321"/>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228"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77238</v>
      </c>
      <c r="C5" s="2995">
        <f ca="1">ROUND(B5*10000/$B$1,0)</f>
        <v>2401</v>
      </c>
      <c r="D5" s="2995">
        <f ca="1">ROUND(B5*10000/$B$2,0)</f>
        <v>10728</v>
      </c>
      <c r="E5" s="2996"/>
      <c r="F5" s="2996"/>
    </row>
    <row r="6" spans="1:9" ht="16.5">
      <c r="A6" s="2995" t="s">
        <v>2850</v>
      </c>
      <c r="B6" s="2995">
        <f ca="1">SUM(G14:G23)</f>
        <v>76237</v>
      </c>
      <c r="C6" s="2995">
        <f t="shared" ref="C6:C8" ca="1" si="0">ROUND(B6*10000/$B$1,0)</f>
        <v>2369</v>
      </c>
      <c r="D6" s="2995">
        <f t="shared" ref="D6:D8" ca="1" si="1">ROUND(B6*10000/$B$2,0)</f>
        <v>10589</v>
      </c>
      <c r="E6" s="2996"/>
      <c r="F6" s="2996"/>
    </row>
    <row r="7" spans="1:9" ht="16.5">
      <c r="A7" s="2995" t="s">
        <v>2851</v>
      </c>
      <c r="B7" s="2995">
        <f>SUM(H14:H23)</f>
        <v>0</v>
      </c>
      <c r="C7" s="2995">
        <f t="shared" si="0"/>
        <v>0</v>
      </c>
      <c r="D7" s="2995">
        <f t="shared" si="1"/>
        <v>0</v>
      </c>
      <c r="E7" s="2996"/>
      <c r="F7" s="2996"/>
    </row>
    <row r="8" spans="1:9" ht="16.5">
      <c r="A8" s="2995" t="s">
        <v>2852</v>
      </c>
      <c r="B8" s="2995">
        <f ca="1">SUM(I14:I23)</f>
        <v>64323</v>
      </c>
      <c r="C8" s="2995">
        <f t="shared" ca="1" si="0"/>
        <v>1999</v>
      </c>
      <c r="D8" s="2995">
        <f t="shared" ca="1" si="1"/>
        <v>8934</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77238</v>
      </c>
      <c r="E14" s="2999">
        <f ca="1">ROUND(D14*10000/B14,0)</f>
        <v>2401</v>
      </c>
      <c r="F14" s="2999">
        <f ca="1">ROUND(D14*10000/C14,0)</f>
        <v>10728</v>
      </c>
      <c r="G14" s="2999">
        <f ca="1">结果表!C44</f>
        <v>76237</v>
      </c>
      <c r="H14" s="2999" t="str">
        <f>结果表!C45</f>
        <v>——</v>
      </c>
      <c r="I14" s="2999">
        <f ca="1">结果表!C46</f>
        <v>64323</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M58" zoomScaleNormal="100" zoomScaleSheetLayoutView="100" zoomScalePageLayoutView="80" workbookViewId="0">
      <selection activeCell="C44" sqref="C4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58" t="str">
        <f>项目基本情况!K2</f>
        <v>出让国有建设用地使用权</v>
      </c>
      <c r="B2" s="3359"/>
      <c r="C2" s="3360"/>
      <c r="D2" s="3360"/>
      <c r="E2" s="3360"/>
      <c r="F2" s="3360"/>
      <c r="G2" s="3359"/>
      <c r="H2" s="3359"/>
      <c r="I2" s="3361"/>
      <c r="J2" s="2013"/>
      <c r="K2" s="2012"/>
      <c r="L2" s="2012"/>
      <c r="M2" s="2012"/>
      <c r="N2" s="2012"/>
      <c r="O2" s="2012"/>
      <c r="P2" s="2012"/>
      <c r="Q2" s="2012"/>
      <c r="R2" s="2012"/>
      <c r="S2" s="2012"/>
      <c r="T2" s="2012"/>
      <c r="U2" s="2012"/>
      <c r="V2" s="2012"/>
    </row>
    <row r="3" spans="1:22" ht="14.25">
      <c r="A3" s="3351" t="s">
        <v>298</v>
      </c>
      <c r="B3" s="3352"/>
      <c r="C3" s="3352"/>
      <c r="D3" s="3352"/>
      <c r="E3" s="3352"/>
      <c r="F3" s="3352"/>
      <c r="G3" s="3352"/>
      <c r="H3" s="3352"/>
      <c r="I3" s="3352"/>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23" t="s">
        <v>301</v>
      </c>
      <c r="F4" s="3324"/>
      <c r="G4" s="3324"/>
      <c r="H4" s="3324"/>
      <c r="I4" s="335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2" t="s">
        <v>302</v>
      </c>
      <c r="B5" s="3348">
        <v>25</v>
      </c>
      <c r="C5" s="3346"/>
      <c r="D5" s="3350"/>
      <c r="E5" s="261" t="s">
        <v>303</v>
      </c>
      <c r="F5" s="262"/>
      <c r="G5" s="262"/>
      <c r="H5" s="262"/>
      <c r="I5" s="263"/>
      <c r="J5" s="2013"/>
      <c r="K5" s="2012"/>
      <c r="L5" s="2012"/>
      <c r="M5" s="2012"/>
      <c r="N5" s="2012"/>
      <c r="O5" s="2012"/>
      <c r="P5" s="2012"/>
      <c r="Q5" s="2012"/>
      <c r="R5" s="2012"/>
      <c r="S5" s="2012"/>
      <c r="T5" s="2012"/>
      <c r="U5" s="2012"/>
      <c r="V5" s="2012"/>
    </row>
    <row r="6" spans="1:22" ht="14.25">
      <c r="A6" s="3322"/>
      <c r="B6" s="3348"/>
      <c r="C6" s="3349"/>
      <c r="D6" s="3350"/>
      <c r="E6" s="261" t="s">
        <v>304</v>
      </c>
      <c r="F6" s="262"/>
      <c r="G6" s="262"/>
      <c r="H6" s="262"/>
      <c r="I6" s="263"/>
      <c r="J6" s="2013"/>
      <c r="K6" s="2012"/>
      <c r="L6" s="2012"/>
      <c r="M6" s="2012"/>
      <c r="N6" s="2012"/>
      <c r="O6" s="2012"/>
      <c r="P6" s="2012"/>
      <c r="Q6" s="2012"/>
      <c r="R6" s="2012"/>
      <c r="S6" s="2012"/>
      <c r="T6" s="2012"/>
      <c r="U6" s="2012"/>
      <c r="V6" s="2012"/>
    </row>
    <row r="7" spans="1:22" ht="14.25">
      <c r="A7" s="3322"/>
      <c r="B7" s="3348"/>
      <c r="C7" s="3347"/>
      <c r="D7" s="3350"/>
      <c r="E7" s="261" t="s">
        <v>305</v>
      </c>
      <c r="F7" s="262"/>
      <c r="G7" s="262"/>
      <c r="H7" s="262"/>
      <c r="I7" s="263"/>
      <c r="J7" s="2013"/>
      <c r="K7" s="2012"/>
      <c r="L7" s="2012"/>
      <c r="M7" s="2012"/>
      <c r="N7" s="2012"/>
      <c r="O7" s="2012"/>
      <c r="P7" s="2012"/>
      <c r="Q7" s="2012"/>
      <c r="R7" s="2012"/>
      <c r="S7" s="2012"/>
      <c r="T7" s="2012"/>
      <c r="U7" s="2012"/>
      <c r="V7" s="2012"/>
    </row>
    <row r="8" spans="1:22" ht="14.25">
      <c r="A8" s="3322" t="s">
        <v>306</v>
      </c>
      <c r="B8" s="3348">
        <v>15</v>
      </c>
      <c r="C8" s="3346"/>
      <c r="D8" s="3350"/>
      <c r="E8" s="261" t="s">
        <v>307</v>
      </c>
      <c r="F8" s="262"/>
      <c r="G8" s="262"/>
      <c r="H8" s="262"/>
      <c r="I8" s="263"/>
      <c r="J8" s="2013"/>
      <c r="K8" s="2012"/>
      <c r="L8" s="2012"/>
      <c r="M8" s="2012"/>
      <c r="N8" s="2012"/>
      <c r="O8" s="2012"/>
      <c r="P8" s="2012"/>
      <c r="Q8" s="2012"/>
      <c r="R8" s="2012"/>
      <c r="S8" s="2012"/>
      <c r="T8" s="2012"/>
      <c r="U8" s="2012"/>
      <c r="V8" s="2012"/>
    </row>
    <row r="9" spans="1:22" ht="14.25">
      <c r="A9" s="3322"/>
      <c r="B9" s="3348"/>
      <c r="C9" s="3347"/>
      <c r="D9" s="3350"/>
      <c r="E9" s="261" t="s">
        <v>308</v>
      </c>
      <c r="F9" s="262"/>
      <c r="G9" s="262"/>
      <c r="H9" s="262"/>
      <c r="I9" s="263"/>
      <c r="J9" s="2013"/>
      <c r="K9" s="2012"/>
      <c r="L9" s="2012"/>
      <c r="M9" s="2012"/>
      <c r="N9" s="2012"/>
      <c r="O9" s="2012"/>
      <c r="P9" s="2012"/>
      <c r="Q9" s="2012"/>
      <c r="R9" s="2012"/>
      <c r="S9" s="2012"/>
      <c r="T9" s="2012"/>
      <c r="U9" s="2012"/>
      <c r="V9" s="2012"/>
    </row>
    <row r="10" spans="1:22" ht="14.25">
      <c r="A10" s="3322" t="s">
        <v>309</v>
      </c>
      <c r="B10" s="3348">
        <v>15</v>
      </c>
      <c r="C10" s="3346"/>
      <c r="D10" s="3350"/>
      <c r="E10" s="261" t="s">
        <v>310</v>
      </c>
      <c r="F10" s="262"/>
      <c r="G10" s="262"/>
      <c r="H10" s="262"/>
      <c r="I10" s="263"/>
      <c r="J10" s="2013"/>
      <c r="K10" s="2012"/>
      <c r="L10" s="2012"/>
      <c r="M10" s="2012"/>
      <c r="N10" s="2012"/>
      <c r="O10" s="2012"/>
      <c r="P10" s="2012"/>
      <c r="Q10" s="2012"/>
      <c r="R10" s="2012"/>
      <c r="S10" s="2012"/>
      <c r="T10" s="2012"/>
      <c r="U10" s="2012"/>
      <c r="V10" s="2012"/>
    </row>
    <row r="11" spans="1:22" ht="14.25">
      <c r="A11" s="3322"/>
      <c r="B11" s="3348"/>
      <c r="C11" s="3347"/>
      <c r="D11" s="3350"/>
      <c r="E11" s="261" t="s">
        <v>311</v>
      </c>
      <c r="F11" s="262"/>
      <c r="G11" s="262"/>
      <c r="H11" s="262"/>
      <c r="I11" s="263"/>
      <c r="J11" s="2013"/>
      <c r="K11" s="2012"/>
      <c r="L11" s="2012"/>
      <c r="M11" s="2012"/>
      <c r="N11" s="2012"/>
      <c r="O11" s="2012"/>
      <c r="P11" s="2012"/>
      <c r="Q11" s="2012"/>
      <c r="R11" s="2012"/>
      <c r="S11" s="2012"/>
      <c r="T11" s="2012"/>
      <c r="U11" s="2012"/>
      <c r="V11" s="2012"/>
    </row>
    <row r="12" spans="1:22" ht="14.25">
      <c r="A12" s="3322" t="s">
        <v>312</v>
      </c>
      <c r="B12" s="3348">
        <v>15</v>
      </c>
      <c r="C12" s="3346"/>
      <c r="D12" s="3350"/>
      <c r="E12" s="261" t="s">
        <v>313</v>
      </c>
      <c r="F12" s="262"/>
      <c r="G12" s="262"/>
      <c r="H12" s="262"/>
      <c r="I12" s="263"/>
      <c r="J12" s="2013"/>
      <c r="K12" s="2012"/>
      <c r="L12" s="2012"/>
      <c r="M12" s="2012"/>
      <c r="N12" s="2012"/>
      <c r="O12" s="2012"/>
      <c r="P12" s="2012"/>
      <c r="Q12" s="2012"/>
      <c r="R12" s="2012"/>
      <c r="S12" s="2012"/>
      <c r="T12" s="2012"/>
      <c r="U12" s="2012"/>
      <c r="V12" s="2012"/>
    </row>
    <row r="13" spans="1:22" ht="14.25">
      <c r="A13" s="3322"/>
      <c r="B13" s="3348"/>
      <c r="C13" s="3347"/>
      <c r="D13" s="3350"/>
      <c r="E13" s="261" t="s">
        <v>314</v>
      </c>
      <c r="F13" s="262"/>
      <c r="G13" s="262"/>
      <c r="H13" s="262"/>
      <c r="I13" s="263"/>
      <c r="J13" s="2013"/>
      <c r="K13" s="2012"/>
      <c r="L13" s="2012"/>
      <c r="M13" s="2012"/>
      <c r="N13" s="2012"/>
      <c r="O13" s="2012"/>
      <c r="P13" s="2012"/>
      <c r="Q13" s="2012"/>
      <c r="R13" s="2012"/>
      <c r="S13" s="2012"/>
      <c r="T13" s="2012"/>
      <c r="U13" s="2012"/>
      <c r="V13" s="2012"/>
    </row>
    <row r="14" spans="1:22" ht="14.25">
      <c r="A14" s="3322" t="s">
        <v>315</v>
      </c>
      <c r="B14" s="3348">
        <v>30</v>
      </c>
      <c r="C14" s="3346">
        <v>5</v>
      </c>
      <c r="D14" s="3350">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22"/>
      <c r="B15" s="3348"/>
      <c r="C15" s="3349"/>
      <c r="D15" s="3350"/>
      <c r="E15" s="261" t="s">
        <v>317</v>
      </c>
      <c r="F15" s="262"/>
      <c r="G15" s="262"/>
      <c r="H15" s="262"/>
      <c r="I15" s="263"/>
      <c r="J15" s="2013"/>
      <c r="K15" s="2012"/>
      <c r="L15" s="2012"/>
      <c r="M15" s="2012"/>
      <c r="N15" s="2012"/>
      <c r="O15" s="2012"/>
      <c r="P15" s="2012"/>
      <c r="Q15" s="2012"/>
      <c r="R15" s="2012"/>
      <c r="S15" s="2012"/>
      <c r="T15" s="2012"/>
      <c r="U15" s="2012"/>
      <c r="V15" s="2012"/>
    </row>
    <row r="16" spans="1:22" ht="14.25">
      <c r="A16" s="3322"/>
      <c r="B16" s="3348"/>
      <c r="C16" s="3347"/>
      <c r="D16" s="3350"/>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74849</v>
      </c>
      <c r="D19" s="271">
        <f ca="1">SUMIF(INDIRECT("'"&amp;D4&amp;"'"&amp;"!A:A"),结果表!B19,INDIRECT("'"&amp;D4&amp;"'"&amp;"!B:B"))</f>
        <v>79667</v>
      </c>
      <c r="E19" s="268" t="s">
        <v>323</v>
      </c>
      <c r="F19" s="269" t="s">
        <v>322</v>
      </c>
      <c r="G19" s="272">
        <f ca="1">ROUND(C19*$C$18+D19*$D$18,0)</f>
        <v>77258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2326</v>
      </c>
      <c r="D20" s="277">
        <f ca="1">SUMIF(INDIRECT("'"&amp;D4&amp;"'"&amp;"!A:A"),结果表!B20,INDIRECT("'"&amp;D4&amp;"'"&amp;"!B:B"))</f>
        <v>2476</v>
      </c>
      <c r="E20" s="274"/>
      <c r="F20" s="275" t="s">
        <v>325</v>
      </c>
      <c r="G20" s="278">
        <f ca="1">ROUND(C20*$C$18+D20*$D$18,0)</f>
        <v>2401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10396</v>
      </c>
      <c r="D21" s="151">
        <f ca="1">SUMIF(INDIRECT("'"&amp;D4&amp;"'"&amp;"!A:A"),结果表!B21,INDIRECT("'"&amp;D4&amp;"'"&amp;"!B:B"))</f>
        <v>11066</v>
      </c>
      <c r="E21" s="274"/>
      <c r="F21" s="280" t="s">
        <v>327</v>
      </c>
      <c r="G21" s="282">
        <f ca="1">ROUND(C21*$C$18+D21*$D$18,0)</f>
        <v>10731</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6.4369597456211736E-2</v>
      </c>
      <c r="E22" s="284"/>
      <c r="F22" s="285"/>
      <c r="G22" s="286">
        <f ca="1">ROUND(G19/('数据-汇总表'!D3/666.67),0)</f>
        <v>715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8" t="s">
        <v>330</v>
      </c>
      <c r="B24" s="269" t="s">
        <v>322</v>
      </c>
      <c r="C24" s="288">
        <f>IF(B30=0,0,D30)</f>
        <v>20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29"/>
      <c r="B25" s="1315" t="s">
        <v>3214</v>
      </c>
      <c r="C25" s="290">
        <f>IF(B30=0,0,C30)</f>
        <v>0</v>
      </c>
      <c r="D25" s="291"/>
      <c r="E25" s="311"/>
      <c r="F25" s="311"/>
      <c r="G25" s="311"/>
      <c r="H25" s="311"/>
      <c r="I25" s="311"/>
      <c r="J25" s="2012"/>
      <c r="K25" s="1249" t="str">
        <f ca="1">项目基本情况!B16&amp;"国有建设用地使用权价格："&amp;O38&amp;"万元"</f>
        <v>出让国有建设用地使用权价格：77238万元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大写金额：人民币柒亿柒仟贰佰叁拾捌万元整</v>
      </c>
      <c r="L26" s="1246"/>
      <c r="M26" s="1246"/>
      <c r="N26" s="1246"/>
      <c r="O26" s="1245"/>
      <c r="P26" s="2012"/>
      <c r="Q26" s="2012"/>
      <c r="R26" s="2012"/>
      <c r="S26" s="2012"/>
      <c r="T26" s="2012"/>
      <c r="U26" s="2012"/>
      <c r="V26" s="2012"/>
      <c r="W26" s="292"/>
      <c r="X26" s="292"/>
      <c r="Y26" s="292"/>
      <c r="Z26" s="292"/>
    </row>
    <row r="27" spans="1:26" ht="18">
      <c r="A27" s="293">
        <v>1</v>
      </c>
      <c r="B27" s="294">
        <f>'数据-基础表'!A3</f>
        <v>71994.8</v>
      </c>
      <c r="C27" s="294"/>
      <c r="D27" s="295">
        <v>20</v>
      </c>
      <c r="E27" s="311"/>
      <c r="F27" s="311"/>
      <c r="G27" s="311"/>
      <c r="H27" s="311"/>
      <c r="I27" s="311"/>
      <c r="J27" s="2012"/>
      <c r="K27" s="1252" t="str">
        <f ca="1">"单位面积地价："&amp;M38&amp;"元/平方米"</f>
        <v>单位面积地价：10728元/平方米</v>
      </c>
      <c r="L27" s="1246"/>
      <c r="M27" s="1246"/>
      <c r="N27" s="1246"/>
      <c r="O27" s="1245"/>
      <c r="P27" s="2012"/>
      <c r="Q27" s="2012"/>
      <c r="R27" s="2012"/>
      <c r="S27" s="2012"/>
      <c r="T27" s="2012"/>
      <c r="U27" s="2012"/>
      <c r="V27" s="2012"/>
    </row>
    <row r="28" spans="1:26" ht="18.75" customHeight="1">
      <c r="A28" s="293">
        <v>2</v>
      </c>
      <c r="B28" s="294"/>
      <c r="C28" s="294"/>
      <c r="D28" s="295"/>
      <c r="E28" s="311"/>
      <c r="F28" s="311"/>
      <c r="G28" s="311"/>
      <c r="H28" s="311"/>
      <c r="I28" s="311"/>
      <c r="J28" s="2012"/>
      <c r="K28" s="1252" t="str">
        <f ca="1">"楼面地价："&amp;N38&amp;"元/平方米"</f>
        <v>楼面地价：2401元/平方米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抵押价格：76237万元</v>
      </c>
      <c r="L29" s="1246"/>
      <c r="M29" s="1246"/>
      <c r="N29" s="1246"/>
      <c r="O29" s="1245"/>
      <c r="P29" s="2012"/>
      <c r="V29" s="2012"/>
    </row>
    <row r="30" spans="1:26" ht="18.75" thickBot="1">
      <c r="A30" s="3079" t="s">
        <v>335</v>
      </c>
      <c r="B30" s="309">
        <f>B27</f>
        <v>71994.8</v>
      </c>
      <c r="C30" s="309">
        <f>C27</f>
        <v>0</v>
      </c>
      <c r="D30" s="310">
        <f>ROUND((D27+D28),0)</f>
        <v>20</v>
      </c>
      <c r="E30" s="3080" t="s">
        <v>2958</v>
      </c>
      <c r="F30" s="311"/>
      <c r="G30" s="311"/>
      <c r="H30" s="311"/>
      <c r="I30" s="311"/>
      <c r="J30" s="2012"/>
      <c r="K30" s="1252" t="str">
        <f ca="1">IF(K29="——","——","大写金额：人民币"&amp;NUMBERSTRING(INT(O39*10000),2)&amp;"元整")</f>
        <v>大写金额：人民币柒亿陆仟贰佰叁拾柒万元整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6" t="s">
        <v>1687</v>
      </c>
      <c r="C32" s="1377">
        <f ca="1">G19-C24</f>
        <v>77238</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79" t="s">
        <v>1689</v>
      </c>
      <c r="C33" s="264">
        <f ca="1">ROUND(C32*10000/'数据-汇总表'!E3,0)</f>
        <v>2401</v>
      </c>
      <c r="D33" s="1380" t="s">
        <v>1690</v>
      </c>
      <c r="E33" s="3328" t="s">
        <v>337</v>
      </c>
      <c r="F33" s="296" t="s">
        <v>338</v>
      </c>
      <c r="G33" s="297"/>
      <c r="H33" s="980"/>
      <c r="I33" s="1253"/>
      <c r="J33" s="2012"/>
      <c r="K33" s="1252" t="str">
        <f ca="1">IF(项目基本情况!E9="——","——","抵押净值："&amp;C46&amp;"万元")</f>
        <v>抵押净值：64323万元</v>
      </c>
      <c r="L33" s="1246"/>
      <c r="M33" s="1246"/>
      <c r="N33" s="1246"/>
      <c r="O33" s="1245"/>
      <c r="P33" s="2012"/>
      <c r="V33" s="2012"/>
    </row>
    <row r="34" spans="1:26" s="1248" customFormat="1" ht="18.75" thickBot="1">
      <c r="A34" s="300"/>
      <c r="B34" s="1381" t="s">
        <v>1691</v>
      </c>
      <c r="C34" s="264">
        <f ca="1">ROUND(C32*10000/'数据-汇总表'!D3,0)</f>
        <v>10728</v>
      </c>
      <c r="D34" s="1382" t="s">
        <v>1690</v>
      </c>
      <c r="E34" s="3369"/>
      <c r="F34" s="127" t="s">
        <v>340</v>
      </c>
      <c r="G34" s="299"/>
      <c r="H34" s="105"/>
      <c r="I34" s="311"/>
      <c r="J34" s="2012"/>
      <c r="K34" s="1255" t="str">
        <f ca="1">IF(K33="——","——","大写金额：人民币"&amp;NUMBERSTRING(INT(O41*10000),2)&amp;"元整")</f>
        <v>大写金额：人民币陆亿肆仟叁佰贰拾叁万元整</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715</v>
      </c>
      <c r="D35" s="1385" t="s">
        <v>1692</v>
      </c>
      <c r="E35" s="3370"/>
      <c r="F35" s="301" t="s">
        <v>341</v>
      </c>
      <c r="G35" s="982">
        <v>1001</v>
      </c>
      <c r="H35" s="981" t="s">
        <v>342</v>
      </c>
      <c r="I35" s="311"/>
      <c r="J35" s="2012"/>
      <c r="K35" s="3343" t="s">
        <v>349</v>
      </c>
      <c r="L35" s="3343" t="s">
        <v>350</v>
      </c>
      <c r="M35" s="1258" t="s">
        <v>351</v>
      </c>
      <c r="N35" s="3343" t="s">
        <v>352</v>
      </c>
      <c r="O35" s="3343" t="s">
        <v>353</v>
      </c>
      <c r="P35" s="2012"/>
      <c r="V35" s="2012"/>
    </row>
    <row r="36" spans="1:26" ht="16.5" customHeight="1">
      <c r="A36" s="303" t="s">
        <v>343</v>
      </c>
      <c r="B36" s="304" t="s">
        <v>332</v>
      </c>
      <c r="C36" s="305" t="s">
        <v>344</v>
      </c>
      <c r="D36" s="305" t="s">
        <v>345</v>
      </c>
      <c r="E36" s="306" t="s">
        <v>346</v>
      </c>
      <c r="F36" s="311"/>
      <c r="G36" s="311"/>
      <c r="H36" s="311"/>
      <c r="I36" s="311"/>
      <c r="J36" s="2014"/>
      <c r="K36" s="3344"/>
      <c r="L36" s="3344"/>
      <c r="M36" s="1260" t="s">
        <v>354</v>
      </c>
      <c r="N36" s="3344"/>
      <c r="O36" s="3344"/>
      <c r="P36" s="2012"/>
      <c r="V36" s="2012"/>
    </row>
    <row r="37" spans="1:26" ht="16.5" customHeight="1" thickBot="1">
      <c r="A37" s="1254" t="s">
        <v>347</v>
      </c>
      <c r="B37" s="307"/>
      <c r="C37" s="294"/>
      <c r="D37" s="294"/>
      <c r="E37" s="295"/>
      <c r="F37" s="311"/>
      <c r="G37" s="311"/>
      <c r="H37" s="311"/>
      <c r="I37" s="311"/>
      <c r="J37" s="2014"/>
      <c r="K37" s="3345"/>
      <c r="L37" s="3345"/>
      <c r="M37" s="1261"/>
      <c r="N37" s="3345"/>
      <c r="O37" s="3345"/>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10728</v>
      </c>
      <c r="N38" s="1263">
        <f ca="1">C33</f>
        <v>2401</v>
      </c>
      <c r="O38" s="1264">
        <f ca="1">C32</f>
        <v>77238</v>
      </c>
      <c r="P38" s="2012"/>
      <c r="V38" s="2012"/>
    </row>
    <row r="39" spans="1:26" ht="16.5" customHeight="1" thickBot="1">
      <c r="A39" s="1259"/>
      <c r="B39" s="308"/>
      <c r="C39" s="309"/>
      <c r="D39" s="309"/>
      <c r="E39" s="310"/>
      <c r="F39" s="311"/>
      <c r="G39" s="311"/>
      <c r="H39" s="311"/>
      <c r="I39" s="311"/>
      <c r="J39" s="2014"/>
      <c r="K39" s="3388" t="str">
        <f>MID(A44,3,LEN(A44)-2)</f>
        <v>抵押价格</v>
      </c>
      <c r="L39" s="3389"/>
      <c r="M39" s="3389"/>
      <c r="N39" s="3390"/>
      <c r="O39" s="1387">
        <f ca="1">C44</f>
        <v>76237</v>
      </c>
      <c r="P39" s="2012"/>
      <c r="V39" s="2012"/>
    </row>
    <row r="40" spans="1:26" ht="19.5" thickBot="1">
      <c r="A40" s="104" t="s">
        <v>872</v>
      </c>
      <c r="B40" s="311"/>
      <c r="C40" s="311"/>
      <c r="D40" s="311"/>
      <c r="E40" s="311"/>
      <c r="F40" s="311"/>
      <c r="G40" s="311"/>
      <c r="H40" s="311"/>
      <c r="I40" s="311"/>
      <c r="J40" s="2014"/>
      <c r="K40" s="3388" t="str">
        <f t="shared" ref="K40:K41" si="0">MID(A45,3,LEN(A45)-2)</f>
        <v/>
      </c>
      <c r="L40" s="3389"/>
      <c r="M40" s="3389"/>
      <c r="N40" s="3390"/>
      <c r="O40" s="1387" t="str">
        <f>C45</f>
        <v>——</v>
      </c>
      <c r="P40" s="2012"/>
      <c r="V40" s="2012"/>
    </row>
    <row r="41" spans="1:26" ht="16.5" thickBot="1">
      <c r="A41" s="312" t="s">
        <v>355</v>
      </c>
      <c r="B41" s="313"/>
      <c r="C41" s="314" t="s">
        <v>356</v>
      </c>
      <c r="D41" s="315" t="s">
        <v>357</v>
      </c>
      <c r="E41" s="315" t="s">
        <v>358</v>
      </c>
      <c r="F41" s="316" t="s">
        <v>359</v>
      </c>
      <c r="G41" s="311"/>
      <c r="H41" s="311"/>
      <c r="I41" s="311"/>
      <c r="J41" s="2014"/>
      <c r="K41" s="3388" t="str">
        <f t="shared" si="0"/>
        <v>抵押净值</v>
      </c>
      <c r="L41" s="3389"/>
      <c r="M41" s="3389"/>
      <c r="N41" s="3390"/>
      <c r="O41" s="1387">
        <f ca="1">C46</f>
        <v>64323</v>
      </c>
      <c r="P41" s="2012"/>
      <c r="V41" s="2012"/>
    </row>
    <row r="42" spans="1:26" ht="29.25">
      <c r="A42" s="3330" t="s">
        <v>2066</v>
      </c>
      <c r="B42" s="3331"/>
      <c r="C42" s="264">
        <f ca="1">C32</f>
        <v>77238</v>
      </c>
      <c r="D42" s="317">
        <f ca="1">C33</f>
        <v>2401</v>
      </c>
      <c r="E42" s="317">
        <f ca="1">C34</f>
        <v>10728</v>
      </c>
      <c r="F42" s="318">
        <f ca="1">C35</f>
        <v>715</v>
      </c>
      <c r="G42" s="311"/>
      <c r="H42" s="311"/>
      <c r="I42" s="319"/>
      <c r="J42" s="2014"/>
      <c r="K42" s="1265" t="s">
        <v>360</v>
      </c>
      <c r="L42" s="2031" t="s">
        <v>361</v>
      </c>
      <c r="M42" s="1266" t="s">
        <v>362</v>
      </c>
      <c r="N42" s="2032" t="s">
        <v>363</v>
      </c>
      <c r="O42" s="2033" t="s">
        <v>364</v>
      </c>
      <c r="P42" s="2012"/>
      <c r="V42" s="2012"/>
    </row>
    <row r="43" spans="1:26" ht="30">
      <c r="A43" s="3341" t="s">
        <v>2728</v>
      </c>
      <c r="B43" s="3342"/>
      <c r="C43" s="264">
        <f>IF(H33="正常操作",G33+G34+G35,G34+G35)</f>
        <v>1001</v>
      </c>
      <c r="D43" s="317" t="s">
        <v>43</v>
      </c>
      <c r="E43" s="317" t="s">
        <v>44</v>
      </c>
      <c r="F43" s="318" t="s">
        <v>44</v>
      </c>
      <c r="G43" s="2820" t="s">
        <v>951</v>
      </c>
      <c r="H43" s="311"/>
      <c r="I43" s="319"/>
      <c r="J43" s="2014"/>
      <c r="K43" s="1267" t="str">
        <f>C4</f>
        <v>比较法-住宅、综合</v>
      </c>
      <c r="L43" s="1268">
        <f ca="1">IF(L42="估价结果/万元",C19,C20)</f>
        <v>74849</v>
      </c>
      <c r="M43" s="1269">
        <f>C18</f>
        <v>0.5</v>
      </c>
      <c r="N43" s="1270">
        <f ca="1">IF(N42="测算结果/万元",G19,G20)</f>
        <v>77258</v>
      </c>
      <c r="O43" s="1271">
        <f ca="1">IF(O42="最终结果/万元",C32,C33)</f>
        <v>77238</v>
      </c>
      <c r="P43" s="2012"/>
      <c r="V43" s="2012"/>
    </row>
    <row r="44" spans="1:26" ht="30.75" thickBot="1">
      <c r="A44" s="3330" t="str">
        <f>IF(OR(项目基本情况!E8="抵押价格",项目基本情况!E8="已注销及未注销"),"3.抵押价格","——")</f>
        <v>3.抵押价格</v>
      </c>
      <c r="B44" s="3331"/>
      <c r="C44" s="264">
        <f ca="1">IF(A44="——","——",C42-C43)</f>
        <v>76237</v>
      </c>
      <c r="D44" s="317">
        <f ca="1">ROUND(C44*10000/'数据-汇总表'!E3,0)</f>
        <v>2369</v>
      </c>
      <c r="E44" s="317">
        <f ca="1">ROUND(C44*10000/'数据-汇总表'!D3,0)</f>
        <v>10589</v>
      </c>
      <c r="F44" s="318">
        <f ca="1">ROUND(C44/('数据-汇总表'!D3/666.67),0)</f>
        <v>706</v>
      </c>
      <c r="G44" s="311"/>
      <c r="H44" s="311"/>
      <c r="I44" s="319"/>
      <c r="J44" s="2014"/>
      <c r="K44" s="1272" t="str">
        <f>D4</f>
        <v>剩余法-待开发</v>
      </c>
      <c r="L44" s="1273">
        <f ca="1">IF(L42="估价结果/万元",D19,D20)</f>
        <v>79667</v>
      </c>
      <c r="M44" s="1274">
        <f>D18</f>
        <v>0.5</v>
      </c>
      <c r="N44" s="1275"/>
      <c r="O44" s="1276"/>
      <c r="P44" s="2012"/>
      <c r="V44" s="2012"/>
    </row>
    <row r="45" spans="1:26" ht="15">
      <c r="A45" s="3336" t="str">
        <f>IF(项目基本情况!E8="已注销及未注销","4.抵押担保权已注销时的抵押价格",IF(项目基本情况!E8="已注销","3.抵押担保权已注销时的抵押价格","——"))</f>
        <v>——</v>
      </c>
      <c r="B45" s="333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32" t="str">
        <f>IF(项目基本情况!E9="抵押净值",IF(A45="——","4.抵押净值","5.抵押净值"),"——")</f>
        <v>4.抵押净值</v>
      </c>
      <c r="B46" s="3333"/>
      <c r="C46" s="320">
        <f ca="1">IF(A46="——","——",O79)</f>
        <v>64323</v>
      </c>
      <c r="D46" s="317">
        <f ca="1">ROUND(C46*10000/'数据-汇总表'!E3,0)</f>
        <v>1999</v>
      </c>
      <c r="E46" s="317">
        <f ca="1">ROUND(C46*10000/'数据-汇总表'!D3,0)</f>
        <v>8934</v>
      </c>
      <c r="F46" s="318">
        <f ca="1">ROUND(C46/('数据-汇总表'!D3/666.67),0)</f>
        <v>596</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本次评估估价师知悉的法定优先受偿款为人民币1001万元整。</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7" t="s">
        <v>373</v>
      </c>
      <c r="B63" s="3378"/>
      <c r="C63" s="3379"/>
      <c r="D63" s="341">
        <f ca="1">ROUND(C42*F63,0)</f>
        <v>77238</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38" t="s">
        <v>377</v>
      </c>
      <c r="B64" s="3339"/>
      <c r="C64" s="3339"/>
      <c r="D64" s="3339"/>
      <c r="E64" s="3339"/>
      <c r="F64" s="3339"/>
      <c r="G64" s="3340"/>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34" t="s">
        <v>385</v>
      </c>
      <c r="B66" s="3335"/>
      <c r="C66" s="3335"/>
      <c r="D66" s="261">
        <f ca="1">IF(H66="情况1",0,IF(H66="情况2",D70,IF(H66="情况3",D71,IF(H66="情况4",D72))))</f>
        <v>4119</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92" t="s">
        <v>384</v>
      </c>
      <c r="M66" s="3393"/>
      <c r="N66" s="2421"/>
      <c r="O66" s="2422"/>
      <c r="P66" s="2423"/>
      <c r="Q66" s="2012"/>
      <c r="R66" s="2012"/>
      <c r="S66" s="2012"/>
      <c r="T66" s="2012"/>
      <c r="U66" s="2012"/>
      <c r="V66" s="2012"/>
    </row>
    <row r="67" spans="1:22" ht="25.5" customHeight="1">
      <c r="A67" s="352" t="s">
        <v>389</v>
      </c>
      <c r="B67" s="3325" t="s">
        <v>390</v>
      </c>
      <c r="C67" s="3325"/>
      <c r="D67" s="353">
        <v>0</v>
      </c>
      <c r="E67" s="41" t="s">
        <v>391</v>
      </c>
      <c r="F67" s="62" t="s">
        <v>21</v>
      </c>
      <c r="G67" s="3380"/>
      <c r="H67" s="311"/>
      <c r="I67" s="1286"/>
      <c r="J67" s="2019"/>
      <c r="K67" s="1960">
        <v>2</v>
      </c>
      <c r="L67" s="3391" t="s">
        <v>388</v>
      </c>
      <c r="M67" s="3391"/>
      <c r="N67" s="1319">
        <f>'数据-取费表'!B2</f>
        <v>43628</v>
      </c>
      <c r="O67" s="1319"/>
      <c r="P67" s="1319"/>
      <c r="Q67" s="2012"/>
      <c r="R67" s="2012"/>
      <c r="S67" s="2012"/>
      <c r="T67" s="2012"/>
      <c r="U67" s="2012"/>
      <c r="V67" s="2012"/>
    </row>
    <row r="68" spans="1:22" ht="25.5" customHeight="1">
      <c r="A68" s="354"/>
      <c r="B68" s="3325" t="s">
        <v>393</v>
      </c>
      <c r="C68" s="3325"/>
      <c r="D68" s="355"/>
      <c r="E68" s="77"/>
      <c r="F68" s="356"/>
      <c r="G68" s="3381"/>
      <c r="H68" s="311"/>
      <c r="I68" s="1286"/>
      <c r="J68" s="2019"/>
      <c r="K68" s="1960">
        <v>3</v>
      </c>
      <c r="L68" s="3391" t="s">
        <v>392</v>
      </c>
      <c r="M68" s="3391"/>
      <c r="N68" s="1287">
        <f ca="1">C42</f>
        <v>77238</v>
      </c>
      <c r="O68" s="1287"/>
      <c r="P68" s="1287"/>
      <c r="Q68" s="2012"/>
      <c r="R68" s="2012"/>
      <c r="S68" s="2012"/>
      <c r="T68" s="2012"/>
      <c r="U68" s="2012"/>
      <c r="V68" s="2012"/>
    </row>
    <row r="69" spans="1:22" ht="12" customHeight="1">
      <c r="A69" s="357"/>
      <c r="B69" s="3325" t="s">
        <v>394</v>
      </c>
      <c r="C69" s="3325"/>
      <c r="D69" s="358"/>
      <c r="E69" s="73"/>
      <c r="F69" s="356"/>
      <c r="G69" s="3382"/>
      <c r="H69" s="311"/>
      <c r="I69" s="1286"/>
      <c r="J69" s="2019"/>
      <c r="K69" s="1288">
        <v>4</v>
      </c>
      <c r="L69" s="3396" t="s">
        <v>2881</v>
      </c>
      <c r="M69" s="3397"/>
      <c r="N69" s="1289">
        <f ca="1">C44</f>
        <v>76237</v>
      </c>
      <c r="O69" s="1289"/>
      <c r="P69" s="1289"/>
      <c r="Q69" s="2012"/>
      <c r="R69" s="2012"/>
      <c r="S69" s="2012"/>
      <c r="T69" s="2012"/>
      <c r="U69" s="2012"/>
      <c r="V69" s="2012"/>
    </row>
    <row r="70" spans="1:22" ht="24" customHeight="1">
      <c r="A70" s="359" t="s">
        <v>395</v>
      </c>
      <c r="B70" s="3325" t="s">
        <v>396</v>
      </c>
      <c r="C70" s="3325"/>
      <c r="D70" s="358">
        <f ca="1">ROUND(D63*'数据-取费表'!B41/(1+'数据-取费表'!C42),0)</f>
        <v>4119</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26" t="s">
        <v>404</v>
      </c>
      <c r="C71" s="3327"/>
      <c r="D71" s="358">
        <f ca="1">ROUND(D63*'数据-取费表'!B41/(1+'数据-取费表'!C42),0)</f>
        <v>4119</v>
      </c>
      <c r="E71" s="17" t="s">
        <v>397</v>
      </c>
      <c r="F71" s="360">
        <f>'数据-取费表'!B41</f>
        <v>5.6000000000000001E-2</v>
      </c>
      <c r="G71" s="361"/>
      <c r="H71" s="311"/>
      <c r="I71" s="1286"/>
      <c r="J71" s="2019"/>
      <c r="K71" s="3011" t="s">
        <v>398</v>
      </c>
      <c r="L71" s="3398" t="s">
        <v>399</v>
      </c>
      <c r="M71" s="3398"/>
      <c r="N71" s="3011" t="s">
        <v>400</v>
      </c>
      <c r="O71" s="3011" t="s">
        <v>401</v>
      </c>
      <c r="P71" s="3011" t="s">
        <v>402</v>
      </c>
      <c r="Q71" s="2012"/>
      <c r="R71" s="2012"/>
      <c r="S71" s="2012"/>
      <c r="T71" s="2012"/>
      <c r="U71" s="2012"/>
      <c r="V71" s="2012"/>
    </row>
    <row r="72" spans="1:22" ht="12" customHeight="1">
      <c r="A72" s="359" t="s">
        <v>406</v>
      </c>
      <c r="B72" s="3326" t="s">
        <v>407</v>
      </c>
      <c r="C72" s="3327"/>
      <c r="D72" s="358">
        <f ca="1">C86</f>
        <v>4007</v>
      </c>
      <c r="E72" s="73" t="s">
        <v>408</v>
      </c>
      <c r="F72" s="360">
        <f>'数据-取费表'!B41</f>
        <v>5.6000000000000001E-2</v>
      </c>
      <c r="G72" s="361"/>
      <c r="H72" s="1292"/>
      <c r="I72" s="1286"/>
      <c r="J72" s="2019"/>
      <c r="K72" s="1960">
        <v>1</v>
      </c>
      <c r="L72" s="3373" t="s">
        <v>405</v>
      </c>
      <c r="M72" s="3373"/>
      <c r="N72" s="1290">
        <f ca="1">D66</f>
        <v>4119</v>
      </c>
      <c r="O72" s="1843" t="str">
        <f>E66</f>
        <v>销售额×税（费）率</v>
      </c>
      <c r="P72" s="1291">
        <f>F66</f>
        <v>5.6000000000000001E-2</v>
      </c>
      <c r="Q72" s="2012"/>
      <c r="R72" s="2012"/>
      <c r="S72" s="2012"/>
      <c r="T72" s="2012"/>
      <c r="U72" s="2012"/>
      <c r="V72" s="2012"/>
    </row>
    <row r="73" spans="1:22" ht="24" customHeight="1">
      <c r="A73" s="3367" t="s">
        <v>410</v>
      </c>
      <c r="B73" s="3335"/>
      <c r="C73" s="3335"/>
      <c r="D73" s="362">
        <f ca="1">IF(H73="个人住宅",0,ROUND(D63*I73,0))</f>
        <v>39</v>
      </c>
      <c r="E73" s="17" t="s">
        <v>411</v>
      </c>
      <c r="F73" s="360">
        <f>IF(H73="正常",I73,"免征")</f>
        <v>5.0000000000000001E-4</v>
      </c>
      <c r="G73" s="361"/>
      <c r="H73" s="191" t="s">
        <v>2993</v>
      </c>
      <c r="I73" s="360">
        <f>'数据-取费表'!B49</f>
        <v>5.0000000000000001E-4</v>
      </c>
      <c r="J73" s="2019"/>
      <c r="K73" s="1960">
        <v>2</v>
      </c>
      <c r="L73" s="3373" t="s">
        <v>409</v>
      </c>
      <c r="M73" s="3373"/>
      <c r="N73" s="1290">
        <f t="shared" ref="N73:P74" ca="1" si="1">D73</f>
        <v>39</v>
      </c>
      <c r="O73" s="1843" t="str">
        <f t="shared" si="1"/>
        <v>销售额×税（费）率</v>
      </c>
      <c r="P73" s="1291">
        <f t="shared" si="1"/>
        <v>5.0000000000000001E-4</v>
      </c>
      <c r="Q73" s="2012"/>
      <c r="R73" s="2012"/>
      <c r="S73" s="2012"/>
      <c r="T73" s="2012"/>
      <c r="U73" s="2012"/>
      <c r="V73" s="2012"/>
    </row>
    <row r="74" spans="1:22" ht="24.75">
      <c r="A74" s="3367" t="s">
        <v>414</v>
      </c>
      <c r="B74" s="3335"/>
      <c r="C74" s="3335"/>
      <c r="D74" s="362">
        <f ca="1">IF(H74="个人住宅",D75,D76)</f>
        <v>7756</v>
      </c>
      <c r="E74" s="17" t="s">
        <v>415</v>
      </c>
      <c r="F74" s="360" t="str">
        <f>IF(H74="正常",F76,"免征")</f>
        <v>——</v>
      </c>
      <c r="G74" s="983" t="s">
        <v>416</v>
      </c>
      <c r="H74" s="363" t="s">
        <v>412</v>
      </c>
      <c r="I74" s="42"/>
      <c r="J74" s="2019"/>
      <c r="K74" s="1960">
        <v>3</v>
      </c>
      <c r="L74" s="3373" t="s">
        <v>413</v>
      </c>
      <c r="M74" s="3373"/>
      <c r="N74" s="1290">
        <f t="shared" ca="1" si="1"/>
        <v>7756</v>
      </c>
      <c r="O74" s="1843" t="str">
        <f t="shared" si="1"/>
        <v>增值额×税（费）率</v>
      </c>
      <c r="P74" s="1293" t="str">
        <f t="shared" si="1"/>
        <v>——</v>
      </c>
      <c r="Q74" s="2012"/>
      <c r="R74" s="2012"/>
      <c r="S74" s="2012"/>
      <c r="T74" s="2012"/>
      <c r="U74" s="2012"/>
      <c r="V74" s="2012"/>
    </row>
    <row r="75" spans="1:22" ht="12.75">
      <c r="A75" s="359" t="s">
        <v>417</v>
      </c>
      <c r="B75" s="3323" t="s">
        <v>418</v>
      </c>
      <c r="C75" s="3353"/>
      <c r="D75" s="364">
        <v>0</v>
      </c>
      <c r="E75" s="41" t="s">
        <v>419</v>
      </c>
      <c r="F75" s="365"/>
      <c r="G75" s="361"/>
      <c r="H75" s="42"/>
      <c r="I75" s="42"/>
      <c r="J75" s="2019"/>
      <c r="K75" s="3004" t="str">
        <f>IF(H77="非个人房产","",4)</f>
        <v/>
      </c>
      <c r="L75" s="3373" t="str">
        <f>IF(H77="非个人房产","——","个人所得税")</f>
        <v>——</v>
      </c>
      <c r="M75" s="3373"/>
      <c r="N75" s="1294" t="str">
        <f>D77</f>
        <v>——</v>
      </c>
      <c r="O75" s="1856" t="str">
        <f>E77</f>
        <v>——</v>
      </c>
      <c r="P75" s="1295" t="str">
        <f>F77</f>
        <v>——</v>
      </c>
      <c r="Q75" s="2012"/>
      <c r="R75" s="2012"/>
      <c r="S75" s="2012"/>
      <c r="T75" s="2012"/>
      <c r="U75" s="2012"/>
      <c r="V75" s="2012"/>
    </row>
    <row r="76" spans="1:22" ht="24.75">
      <c r="A76" s="359" t="s">
        <v>395</v>
      </c>
      <c r="B76" s="3323" t="s">
        <v>421</v>
      </c>
      <c r="C76" s="3324"/>
      <c r="D76" s="362">
        <f ca="1">IF(H76="转让取得",C99,C115)</f>
        <v>7756</v>
      </c>
      <c r="E76" s="17" t="s">
        <v>422</v>
      </c>
      <c r="F76" s="53" t="s">
        <v>21</v>
      </c>
      <c r="G76" s="361"/>
      <c r="H76" s="363" t="s">
        <v>423</v>
      </c>
      <c r="I76" s="42"/>
      <c r="J76" s="2019"/>
      <c r="K76" s="3004" t="str">
        <f>IF(项目基本情况!K6="上海银行",IF(K75="",4,K75+1),"")</f>
        <v/>
      </c>
      <c r="L76" s="3384" t="str">
        <f>IF(项目基本情况!K6="上海银行","其他处置费用","")</f>
        <v/>
      </c>
      <c r="M76" s="3385"/>
      <c r="N76" s="1290" t="str">
        <f>IF(项目基本情况!K6="上海银行",N89,"")</f>
        <v/>
      </c>
      <c r="O76" s="3386" t="str">
        <f>IF(项目基本情况!K6="上海银行","包含处置中涉及的律师、诉讼、拍卖、评估等费用","")</f>
        <v/>
      </c>
      <c r="P76" s="3387"/>
      <c r="Q76" s="2012"/>
      <c r="R76" s="2012"/>
      <c r="S76" s="2012"/>
      <c r="T76" s="2012"/>
      <c r="U76" s="2012"/>
      <c r="V76" s="2012"/>
    </row>
    <row r="77" spans="1:22" ht="24.75" thickBot="1">
      <c r="A77" s="3375" t="s">
        <v>425</v>
      </c>
      <c r="B77" s="3376"/>
      <c r="C77" s="3376"/>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74">
        <f>IF(AND(K75="",K76=""),4,IF(项目基本情况!K6="上海银行",K76+1,K75+1))</f>
        <v>4</v>
      </c>
      <c r="L77" s="3373" t="s">
        <v>2882</v>
      </c>
      <c r="M77" s="3010" t="s">
        <v>420</v>
      </c>
      <c r="N77" s="1296"/>
      <c r="O77" s="1297">
        <f ca="1">SUMIF(N72:N76,"&lt;9e307")</f>
        <v>11914</v>
      </c>
      <c r="P77" s="1298"/>
      <c r="Q77" s="3008">
        <f ca="1">O77/N69</f>
        <v>0.15627582407492424</v>
      </c>
      <c r="R77" s="2012"/>
      <c r="S77" s="2012"/>
      <c r="T77" s="2012"/>
      <c r="U77" s="2012"/>
      <c r="V77" s="2012"/>
    </row>
    <row r="78" spans="1:22" ht="12" customHeight="1">
      <c r="A78" s="1299"/>
      <c r="B78" s="311"/>
      <c r="C78" s="311"/>
      <c r="D78" s="311"/>
      <c r="E78" s="42"/>
      <c r="F78" s="42"/>
      <c r="G78" s="42"/>
      <c r="H78" s="1003"/>
      <c r="I78" s="311"/>
      <c r="J78" s="2019"/>
      <c r="K78" s="3374"/>
      <c r="L78" s="3373"/>
      <c r="M78" s="3010" t="s">
        <v>424</v>
      </c>
      <c r="N78" s="1296"/>
      <c r="O78" s="1297" t="str">
        <f ca="1">NUMBERSTRING(INT(O77*10000),2)&amp;"元整"</f>
        <v>壹亿壹仟玖佰壹拾肆万元整</v>
      </c>
      <c r="P78" s="1298"/>
      <c r="Q78" s="2012"/>
      <c r="R78" s="2012"/>
      <c r="S78" s="2012"/>
      <c r="T78" s="2012"/>
      <c r="U78" s="2012"/>
      <c r="V78" s="2012"/>
    </row>
    <row r="79" spans="1:22" ht="13.5" thickBot="1">
      <c r="A79" s="3368" t="s">
        <v>426</v>
      </c>
      <c r="B79" s="3368"/>
      <c r="C79" s="3368"/>
      <c r="D79" s="3368"/>
      <c r="E79" s="3368"/>
      <c r="F79" s="42"/>
      <c r="G79" s="42"/>
      <c r="H79" s="1003"/>
      <c r="I79" s="311"/>
      <c r="J79" s="2019"/>
      <c r="K79" s="3394">
        <f>K77+1</f>
        <v>5</v>
      </c>
      <c r="L79" s="3373" t="s">
        <v>2883</v>
      </c>
      <c r="M79" s="3010" t="s">
        <v>420</v>
      </c>
      <c r="N79" s="1296"/>
      <c r="O79" s="1297">
        <f ca="1">N69-O77</f>
        <v>64323</v>
      </c>
      <c r="P79" s="1298"/>
      <c r="Q79" s="2012"/>
      <c r="R79" s="2012"/>
      <c r="S79" s="2012"/>
      <c r="T79" s="2012"/>
      <c r="U79" s="2012"/>
      <c r="V79" s="2012"/>
    </row>
    <row r="80" spans="1:22" ht="25.5">
      <c r="A80" s="3363" t="s">
        <v>427</v>
      </c>
      <c r="B80" s="3364"/>
      <c r="C80" s="994"/>
      <c r="D80" s="994" t="s">
        <v>428</v>
      </c>
      <c r="E80" s="370" t="s">
        <v>429</v>
      </c>
      <c r="F80" s="42"/>
      <c r="G80" s="42"/>
      <c r="H80" s="1003"/>
      <c r="I80" s="311"/>
      <c r="J80" s="2012"/>
      <c r="K80" s="3395"/>
      <c r="L80" s="3373"/>
      <c r="M80" s="3010" t="s">
        <v>424</v>
      </c>
      <c r="N80" s="1296"/>
      <c r="O80" s="1297" t="str">
        <f ca="1">NUMBERSTRING(INT(O79*10000),2)&amp;"元整"</f>
        <v>陆亿肆仟叁佰贰拾叁万元整</v>
      </c>
      <c r="P80" s="1298"/>
      <c r="Q80" s="2012"/>
      <c r="R80" s="2012"/>
      <c r="S80" s="2012"/>
      <c r="T80" s="2012"/>
      <c r="U80" s="2012"/>
      <c r="V80" s="2012"/>
    </row>
    <row r="81" spans="1:26" ht="13.5" thickBot="1">
      <c r="A81" s="381" t="s">
        <v>1822</v>
      </c>
      <c r="B81" s="371" t="s">
        <v>430</v>
      </c>
      <c r="C81" s="372">
        <f ca="1">ROUND((C82+C83)/(1+'数据-取费表'!C42),0)</f>
        <v>73560</v>
      </c>
      <c r="D81" s="373"/>
      <c r="E81" s="374"/>
      <c r="F81" s="42"/>
      <c r="G81" s="42"/>
      <c r="H81" s="1003"/>
      <c r="I81" s="311"/>
      <c r="J81" s="2012"/>
      <c r="K81" s="3004">
        <f>K79+1</f>
        <v>6</v>
      </c>
      <c r="L81" s="3371" t="s">
        <v>2884</v>
      </c>
      <c r="M81" s="3372"/>
      <c r="N81" s="1300"/>
      <c r="O81" s="1301">
        <f ca="1">ROUND(O79*10000/'数据-汇总表'!E3,0)</f>
        <v>1999</v>
      </c>
      <c r="P81" s="1302"/>
      <c r="Q81" s="2012"/>
      <c r="R81" s="2012"/>
      <c r="S81" s="2012"/>
      <c r="T81" s="2012"/>
      <c r="U81" s="2012"/>
      <c r="V81" s="2012"/>
    </row>
    <row r="82" spans="1:26" ht="13.5" thickTop="1">
      <c r="A82" s="375" t="s">
        <v>1823</v>
      </c>
      <c r="B82" s="376" t="s">
        <v>431</v>
      </c>
      <c r="C82" s="377">
        <f ca="1">D63</f>
        <v>77238</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83" t="s">
        <v>2872</v>
      </c>
      <c r="L83" s="3016" t="s">
        <v>2873</v>
      </c>
      <c r="M83" s="3006">
        <f ca="1">IF(N69&gt;10000,N69*0.5%,IF(AND(N69&gt;1000,N69&lt;=10000),N69*1%,IF(AND(N69&gt;100,N69&lt;=1000),N69*3%,IF(AND(N69&gt;10,N69&lt;=100),N69*5%,N69*8%))))</f>
        <v>381.185</v>
      </c>
      <c r="N83" s="53">
        <f ca="1">ROUND(M83,1)</f>
        <v>381.2</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83"/>
      <c r="L84" s="3016" t="s">
        <v>2874</v>
      </c>
      <c r="M84" s="3006">
        <f ca="1">IF(N69&gt;2000,N69*0.5%,IF(AND(N69&gt;1000,N69&lt;=2000),N69*0.6%,IF(AND(N69&gt;500,N69&lt;=1000),N69*0.7%,IF(AND(N69&gt;200,N69&lt;=500),N69*0.8%,IF(AND(N69&gt;100,N69&lt;=200),N69*0.9%,IF(AND(N69&gt;50,N69&lt;=100),N69*1%,IF(AND(N69&gt;20,N69&lt;=50),N69*1.5%,IF(AND(N69&gt;10,N69&lt;=20),N69*2%,IF(AND(N69&gt;1,N69&lt;=10),N69*2.5%)))))))))</f>
        <v>381.185</v>
      </c>
      <c r="N84" s="53">
        <f t="shared" ref="N84:N85" ca="1" si="2">ROUND(M84,1)</f>
        <v>381.2</v>
      </c>
      <c r="O84" s="2012" t="s">
        <v>2875</v>
      </c>
      <c r="P84" s="2012"/>
      <c r="Q84" s="2012"/>
      <c r="R84" s="2012"/>
      <c r="S84" s="2012"/>
      <c r="T84" s="2012"/>
      <c r="U84" s="2012"/>
      <c r="V84" s="2012"/>
    </row>
    <row r="85" spans="1:26" ht="12.75">
      <c r="A85" s="381" t="s">
        <v>1826</v>
      </c>
      <c r="B85" s="382" t="s">
        <v>434</v>
      </c>
      <c r="C85" s="385">
        <f ca="1">C81-C84</f>
        <v>71560</v>
      </c>
      <c r="D85" s="378" t="s">
        <v>19</v>
      </c>
      <c r="E85" s="379"/>
      <c r="F85" s="42"/>
      <c r="G85" s="42"/>
      <c r="H85" s="1003"/>
      <c r="I85" s="311"/>
      <c r="J85" s="2012"/>
      <c r="K85" s="3383"/>
      <c r="L85" s="3016" t="s">
        <v>2876</v>
      </c>
      <c r="M85" s="3006">
        <f ca="1">IF(N69&gt;1000,N69*0.1%,IF(AND(N69&gt;500,N69&lt;=1000),N69*0.5%,IF(AND(N69&gt;50,N69&lt;=500),N69*1%,IF(AND(N69&gt;1,N69&lt;=50),N69*1.5%))))</f>
        <v>76.236999999999995</v>
      </c>
      <c r="N85" s="53">
        <f t="shared" ca="1" si="2"/>
        <v>76.2</v>
      </c>
      <c r="O85" s="2012" t="s">
        <v>2875</v>
      </c>
      <c r="P85" s="2012"/>
      <c r="Q85" s="2012"/>
      <c r="R85" s="2012"/>
      <c r="S85" s="2012"/>
      <c r="T85" s="2012"/>
      <c r="U85" s="2012"/>
      <c r="V85" s="2012"/>
    </row>
    <row r="86" spans="1:26" ht="13.5" thickBot="1">
      <c r="A86" s="386" t="s">
        <v>1827</v>
      </c>
      <c r="B86" s="387" t="s">
        <v>435</v>
      </c>
      <c r="C86" s="388">
        <f ca="1">IF(C85&lt;=0,0,ROUND(C85*D86,0))</f>
        <v>4007</v>
      </c>
      <c r="D86" s="389">
        <f>'数据-取费表'!B41</f>
        <v>5.6000000000000001E-2</v>
      </c>
      <c r="E86" s="390"/>
      <c r="F86" s="42"/>
      <c r="G86" s="42"/>
      <c r="H86" s="1003"/>
      <c r="I86" s="311"/>
      <c r="J86" s="2012"/>
      <c r="K86" s="3383"/>
      <c r="L86" s="3016" t="s">
        <v>2877</v>
      </c>
      <c r="M86" s="3006">
        <f ca="1">N69*0.5%</f>
        <v>381.185</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83"/>
      <c r="L87" s="3016" t="s">
        <v>2879</v>
      </c>
      <c r="M87" s="3006">
        <f ca="1">IF(N69&gt;=10000,(8.25+(N69-10000)*0.01%),IF(AND(N69&gt;=8000,N69&lt;10000),(7.85+(N69-8000)*0.02%),IF(AND(N69&gt;=5000,N69&lt;8000),(6.65+(N69-5000)*0.04%),IF(AND(N69&gt;=2000,N69&lt;5000),(4.25+(PN69-2000)*0.08%),IF(AND(N69&gt;=1000,N69&lt;2000),(2.75+(N69-1000)*0.15%),IF(AND(N69&gt;=100,N69&lt;1000),(0.5+(N69-100)*0.25%),IF(AND(N69&gt;0,N69&lt;100),N69*0.5%)))))))</f>
        <v>14.873699999999999</v>
      </c>
      <c r="N87" s="53">
        <f ca="1">ROUND(M87*0.9,1)</f>
        <v>13.4</v>
      </c>
      <c r="O87" s="3009"/>
      <c r="P87" s="311"/>
      <c r="Q87" s="2012"/>
      <c r="R87" s="2012"/>
      <c r="S87" s="2012"/>
      <c r="T87" s="2012"/>
      <c r="U87" s="2012"/>
      <c r="V87" s="2012"/>
      <c r="W87" s="292"/>
      <c r="X87" s="292"/>
      <c r="Y87" s="292"/>
      <c r="Z87" s="292"/>
    </row>
    <row r="88" spans="1:26" s="1308" customFormat="1" ht="15" thickBot="1">
      <c r="A88" s="3365" t="s">
        <v>436</v>
      </c>
      <c r="B88" s="3366"/>
      <c r="C88" s="3366"/>
      <c r="D88" s="3366"/>
      <c r="E88" s="3366"/>
      <c r="F88" s="3366"/>
      <c r="G88" s="3366"/>
      <c r="H88" s="3366"/>
      <c r="I88" s="1309"/>
      <c r="J88" s="2020"/>
      <c r="K88" s="3383"/>
      <c r="L88" s="3016" t="s">
        <v>2880</v>
      </c>
      <c r="M88" s="3006">
        <f ca="1">IF(N69&gt;10000,N69*0.5%,IF(AND(N69&gt;5000,N69&lt;=10000),N69*1%,IF(AND(N69&gt;1000,N69&lt;=5000),N69*2%,IF(AND(N69&gt;200,N69&lt;=1000),N69*3%,N69*5%))))</f>
        <v>381.185</v>
      </c>
      <c r="N88" s="53">
        <f ca="1">ROUND(M88,1)</f>
        <v>381.2</v>
      </c>
      <c r="O88" s="3009"/>
      <c r="P88" s="11"/>
      <c r="Q88" s="2017"/>
      <c r="R88" s="2017"/>
      <c r="S88" s="2017"/>
      <c r="T88" s="2017"/>
      <c r="U88" s="2017"/>
      <c r="V88" s="2017"/>
      <c r="W88" s="2021"/>
      <c r="X88" s="2021"/>
      <c r="Y88" s="2021"/>
      <c r="Z88" s="2021"/>
    </row>
    <row r="89" spans="1:26" s="1308" customFormat="1" ht="14.25">
      <c r="A89" s="3363" t="s">
        <v>427</v>
      </c>
      <c r="B89" s="3364"/>
      <c r="C89" s="994"/>
      <c r="D89" s="994" t="s">
        <v>428</v>
      </c>
      <c r="E89" s="391" t="s">
        <v>437</v>
      </c>
      <c r="F89" s="392"/>
      <c r="G89" s="392"/>
      <c r="H89" s="393"/>
      <c r="I89" s="1310"/>
      <c r="J89" s="2022"/>
      <c r="K89" s="3383"/>
      <c r="L89" s="3016" t="s">
        <v>27</v>
      </c>
      <c r="M89" s="3007"/>
      <c r="N89" s="53">
        <f ca="1">ROUND(SUM(N83:N88),0)</f>
        <v>1234</v>
      </c>
      <c r="O89" s="3017">
        <f ca="1">N89/N69</f>
        <v>1.6186366200139041E-2</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73560</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3002</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26" t="s">
        <v>446</v>
      </c>
      <c r="F94" s="3325"/>
      <c r="G94" s="3325"/>
      <c r="H94" s="336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441</v>
      </c>
      <c r="D96" s="406">
        <f>'数据-取费表'!B43</f>
        <v>6.000000000000001E-3</v>
      </c>
      <c r="E96" s="3354" t="s">
        <v>2427</v>
      </c>
      <c r="F96" s="3355"/>
      <c r="G96" s="3355"/>
      <c r="H96" s="3356"/>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70558</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23.503664223850766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41284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5" t="s">
        <v>453</v>
      </c>
      <c r="B101" s="3366"/>
      <c r="C101" s="3366"/>
      <c r="D101" s="3366"/>
      <c r="E101" s="3366"/>
      <c r="F101" s="3366"/>
      <c r="G101" s="3366"/>
      <c r="H101" s="336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63" t="s">
        <v>427</v>
      </c>
      <c r="B102" s="3364"/>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73560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48152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57" t="s">
        <v>461</v>
      </c>
      <c r="F109" s="3355"/>
      <c r="G109" s="3355"/>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57" t="s">
        <v>463</v>
      </c>
      <c r="F110" s="3355"/>
      <c r="G110" s="3355"/>
      <c r="H110" s="3356"/>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441</v>
      </c>
      <c r="D111" s="406">
        <f>'数据-取费表'!B43</f>
        <v>6.000000000000001E-3</v>
      </c>
      <c r="E111" s="3354" t="s">
        <v>2427</v>
      </c>
      <c r="F111" s="3355"/>
      <c r="G111" s="3355"/>
      <c r="H111" s="3356"/>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57" t="s">
        <v>2452</v>
      </c>
      <c r="F112" s="3355"/>
      <c r="G112" s="3355"/>
      <c r="H112" s="3356"/>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25408</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0.52766240239242401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7756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9" sqref="C3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79667</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2476</v>
      </c>
      <c r="C3" s="2088"/>
      <c r="D3" s="2088"/>
      <c r="E3" s="2088"/>
      <c r="F3" s="2088"/>
      <c r="G3" s="2088"/>
      <c r="H3" s="2088"/>
      <c r="I3" s="2088"/>
      <c r="J3" s="2088"/>
      <c r="K3" s="2088"/>
    </row>
    <row r="4" spans="1:31" s="2025" customFormat="1" ht="18" customHeight="1">
      <c r="A4" s="426" t="s">
        <v>467</v>
      </c>
      <c r="B4" s="427">
        <f ca="1">ROUND(B2*10000/IF(B1="",'数据-汇总表'!D3,INDIRECT("'数据-取费表'!R"&amp;$K$1)),0)</f>
        <v>11066</v>
      </c>
      <c r="C4" s="428"/>
      <c r="D4" s="422"/>
      <c r="E4" s="422"/>
      <c r="F4" s="422"/>
      <c r="G4" s="422"/>
      <c r="H4" s="422"/>
      <c r="I4" s="422"/>
      <c r="J4" s="422"/>
      <c r="K4" s="422"/>
    </row>
    <row r="5" spans="1:31" s="2025" customFormat="1" ht="18" customHeight="1" thickBot="1">
      <c r="A5" s="429"/>
      <c r="B5" s="430">
        <f ca="1">ROUND(B2/(IF(B1="",'数据-汇总表'!D3,INDIRECT("'数据-取费表'!R"&amp;$K$1))/666.67),0)</f>
        <v>738</v>
      </c>
      <c r="C5" s="431" t="s">
        <v>468</v>
      </c>
      <c r="D5" s="422"/>
      <c r="E5" s="422"/>
      <c r="F5" s="422"/>
      <c r="G5" s="422"/>
      <c r="H5" s="422"/>
      <c r="I5" s="422"/>
      <c r="J5" s="422"/>
      <c r="K5" s="422"/>
    </row>
    <row r="6" spans="1:31" s="2095" customFormat="1" ht="16.5" customHeight="1">
      <c r="A6" s="2782" t="s">
        <v>1841</v>
      </c>
      <c r="B6" s="2783"/>
      <c r="C6" s="2784">
        <f ca="1">SUM(C10:K10)</f>
        <v>263875</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8454</v>
      </c>
      <c r="D8" s="2788">
        <f ca="1">不动产收益法!B3</f>
        <v>6974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299142.75</v>
      </c>
      <c r="D9" s="441">
        <f>SUMIF('数据-汇总表'!$C19:$C33,'剩余法-待开发'!D7,'数据-汇总表'!$E19:$E33)</f>
        <v>15744.353599999973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252895</v>
      </c>
      <c r="D10" s="2980">
        <f ca="1">不动产收益法!B2</f>
        <v>10980</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78722</v>
      </c>
      <c r="D13" s="2798"/>
      <c r="E13" s="2799"/>
      <c r="F13" s="2800"/>
      <c r="G13" s="2766"/>
      <c r="H13" s="2767"/>
      <c r="I13" s="2767"/>
      <c r="J13" s="2767"/>
      <c r="K13" s="2768"/>
    </row>
    <row r="14" spans="1:31" s="2100" customFormat="1" ht="13.5" customHeight="1">
      <c r="A14" s="2796" t="s">
        <v>1848</v>
      </c>
      <c r="B14" s="2797" t="s">
        <v>479</v>
      </c>
      <c r="C14" s="53">
        <f ca="1">ROUND(C13*F14,0)</f>
        <v>3149</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3739</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1181</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91617</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3141</v>
      </c>
      <c r="D21" s="2798">
        <f ca="1">IF(B1="",'数据-汇总表'!E5,IF(INDIRECT("'数据-取费表'!c"&amp;$K$1)="住宅",INDIRECT("'数据-取费表'!k"&amp;$K$1),0))</f>
        <v>299142.75</v>
      </c>
      <c r="E21" s="53">
        <f>'数据-取费表'!B27</f>
        <v>105</v>
      </c>
      <c r="F21" s="2801"/>
      <c r="G21" s="26"/>
      <c r="H21" s="51"/>
      <c r="I21" s="51"/>
      <c r="J21" s="51"/>
      <c r="K21" s="2773"/>
    </row>
    <row r="22" spans="1:14" s="2100" customFormat="1" ht="13.5" customHeight="1">
      <c r="A22" s="2796" t="s">
        <v>1856</v>
      </c>
      <c r="B22" s="2797" t="s">
        <v>491</v>
      </c>
      <c r="C22" s="53">
        <f ca="1">ROUND(D22*E22/10000,0)</f>
        <v>237</v>
      </c>
      <c r="D22" s="2798">
        <f ca="1">IF(B1="",'数据-汇总表'!E6,IF(INDIRECT("'数据-取费表'!c"&amp;$K$1)="住宅",INDIRECT("'数据-取费表'!s"&amp;$K$1),INDIRECT("'数据-取费表'!k"&amp;$K$1)+INDIRECT("'数据-取费表'!s"&amp;$K$1)))</f>
        <v>22606.349999999977</v>
      </c>
      <c r="E22" s="53">
        <f>'数据-取费表'!B28</f>
        <v>105</v>
      </c>
      <c r="F22" s="2801"/>
      <c r="G22" s="26"/>
      <c r="H22" s="51"/>
      <c r="I22" s="51"/>
      <c r="J22" s="51"/>
      <c r="K22" s="2773"/>
    </row>
    <row r="23" spans="1:14" s="2100" customFormat="1" ht="13.5" customHeight="1">
      <c r="A23" s="2804" t="s">
        <v>1857</v>
      </c>
      <c r="B23" s="2986" t="s">
        <v>2832</v>
      </c>
      <c r="C23" s="2806">
        <f ca="1">ROUND((C18+C19+C20)*F23,0)</f>
        <v>1900</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5278</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7366</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7366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14073</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123612</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123612</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25543</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25543</v>
      </c>
      <c r="D35" s="1613"/>
      <c r="E35" s="2818"/>
      <c r="F35" s="1614"/>
      <c r="G35" s="2776"/>
      <c r="H35" s="2777"/>
      <c r="I35" s="2777"/>
      <c r="J35" s="2777"/>
      <c r="K35" s="2778"/>
    </row>
    <row r="36" spans="1:11" s="2069" customFormat="1" ht="13.5" customHeight="1" thickBot="1">
      <c r="A36" s="284" t="s">
        <v>1843</v>
      </c>
      <c r="B36" s="2780"/>
      <c r="C36" s="2819">
        <f ca="1">ROUND((C6-C30-C33)/(1+D30+D33),0)</f>
        <v>79667</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4" t="str">
        <f>项目基本情况!B1</f>
        <v>出让国有建设用地使用权抵押价格预评估</v>
      </c>
      <c r="C37" s="3234"/>
      <c r="D37" s="3234"/>
      <c r="E37" s="3234"/>
      <c r="F37" s="3234"/>
      <c r="G37" s="3234"/>
      <c r="H37" s="3234"/>
      <c r="I37" s="3234"/>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78722</v>
      </c>
      <c r="D13" s="451"/>
      <c r="E13" s="365"/>
      <c r="F13" s="452"/>
      <c r="G13" s="444"/>
      <c r="H13" s="447"/>
      <c r="I13" s="447"/>
      <c r="J13" s="447"/>
      <c r="K13" s="448"/>
    </row>
    <row r="14" spans="1:41" s="2100" customFormat="1" ht="13.5" customHeight="1">
      <c r="A14" s="1617" t="s">
        <v>1848</v>
      </c>
      <c r="B14" s="449" t="s">
        <v>479</v>
      </c>
      <c r="C14" s="53">
        <f ca="1">ROUND(C13*F14,0)</f>
        <v>3149</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3739</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1181</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91617</v>
      </c>
      <c r="D18" s="461"/>
      <c r="E18" s="462"/>
      <c r="F18" s="462"/>
      <c r="G18" s="1321" t="s">
        <v>2431</v>
      </c>
      <c r="H18" s="447"/>
      <c r="I18" s="447"/>
      <c r="J18" s="447"/>
      <c r="K18" s="448"/>
    </row>
    <row r="19" spans="1:14" s="2103" customFormat="1" ht="13.5" customHeight="1">
      <c r="A19" s="1618" t="s">
        <v>1853</v>
      </c>
      <c r="B19" s="459" t="s">
        <v>492</v>
      </c>
      <c r="C19" s="460">
        <f ca="1">ROUND(C18*F19,0)</f>
        <v>1832</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6737</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6737</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23362</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23362</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134248</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74849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2326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10396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693</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08" t="s">
        <v>521</v>
      </c>
      <c r="D6" s="3409"/>
      <c r="E6" s="3408" t="s">
        <v>522</v>
      </c>
      <c r="F6" s="3409"/>
      <c r="G6" s="3408" t="s">
        <v>523</v>
      </c>
      <c r="H6" s="3409"/>
      <c r="I6" s="3408" t="s">
        <v>524</v>
      </c>
      <c r="J6" s="3409"/>
      <c r="K6" s="514" t="s">
        <v>525</v>
      </c>
      <c r="L6" s="2117"/>
      <c r="M6" s="2116"/>
      <c r="N6" s="2116"/>
      <c r="O6" s="2118"/>
      <c r="P6" s="3410" t="s">
        <v>526</v>
      </c>
      <c r="Q6" s="3411"/>
      <c r="R6" s="3416" t="s">
        <v>522</v>
      </c>
      <c r="S6" s="3417"/>
      <c r="T6" s="3416" t="s">
        <v>523</v>
      </c>
      <c r="U6" s="3417"/>
      <c r="V6" s="3403" t="s">
        <v>524</v>
      </c>
      <c r="W6" s="3403"/>
      <c r="X6" s="1552"/>
      <c r="Y6" s="3416" t="s">
        <v>526</v>
      </c>
      <c r="Z6" s="3417"/>
      <c r="AA6" s="3405" t="s">
        <v>522</v>
      </c>
      <c r="AB6" s="3406" t="s">
        <v>523</v>
      </c>
      <c r="AC6" s="3405" t="s">
        <v>524</v>
      </c>
    </row>
    <row r="7" spans="1:30" ht="20.25">
      <c r="A7" s="515"/>
      <c r="B7" s="516"/>
      <c r="C7" s="3424" t="s">
        <v>2919</v>
      </c>
      <c r="D7" s="3425"/>
      <c r="E7" s="3424" t="str">
        <f>土地案例!A13</f>
        <v>天津路西侧、延安东路南侧</v>
      </c>
      <c r="F7" s="3425"/>
      <c r="G7" s="3424" t="str">
        <f>土地案例!A20</f>
        <v>乐善路西侧、来鹤路北侧</v>
      </c>
      <c r="H7" s="3425"/>
      <c r="I7" s="3424" t="str">
        <f>土地案例!A28</f>
        <v>石桥路东侧、延安东路南侧</v>
      </c>
      <c r="J7" s="3425"/>
      <c r="K7" s="514"/>
      <c r="L7" s="2117"/>
      <c r="M7" s="2116"/>
      <c r="N7" s="2116"/>
      <c r="O7" s="2118"/>
      <c r="P7" s="3412"/>
      <c r="Q7" s="3413"/>
      <c r="R7" s="3418"/>
      <c r="S7" s="3419"/>
      <c r="T7" s="3418"/>
      <c r="U7" s="3419"/>
      <c r="V7" s="3403"/>
      <c r="W7" s="3403"/>
      <c r="X7" s="1552"/>
      <c r="Y7" s="3418"/>
      <c r="Z7" s="3419"/>
      <c r="AA7" s="3406"/>
      <c r="AB7" s="3406"/>
      <c r="AC7" s="3406"/>
    </row>
    <row r="8" spans="1:30" ht="21" thickBot="1">
      <c r="A8" s="515"/>
      <c r="B8" s="516"/>
      <c r="C8" s="3426" t="s">
        <v>2923</v>
      </c>
      <c r="D8" s="3427"/>
      <c r="E8" s="3426" t="s">
        <v>2923</v>
      </c>
      <c r="F8" s="3427"/>
      <c r="G8" s="3422" t="s">
        <v>2923</v>
      </c>
      <c r="H8" s="3423"/>
      <c r="I8" s="3422" t="s">
        <v>2923</v>
      </c>
      <c r="J8" s="3423"/>
      <c r="K8" s="514" t="s">
        <v>527</v>
      </c>
      <c r="L8" s="2117"/>
      <c r="M8" s="2116"/>
      <c r="N8" s="2116"/>
      <c r="O8" s="2118"/>
      <c r="P8" s="3414"/>
      <c r="Q8" s="3415"/>
      <c r="R8" s="3418"/>
      <c r="S8" s="3419"/>
      <c r="T8" s="3420"/>
      <c r="U8" s="3421"/>
      <c r="V8" s="3403"/>
      <c r="W8" s="3403"/>
      <c r="X8" s="1552"/>
      <c r="Y8" s="3420"/>
      <c r="Z8" s="3421"/>
      <c r="AA8" s="3407"/>
      <c r="AB8" s="3407"/>
      <c r="AC8" s="3407"/>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33" t="s">
        <v>529</v>
      </c>
      <c r="Q9" s="3435"/>
      <c r="R9" s="1553" t="s">
        <v>8</v>
      </c>
      <c r="S9" s="1554">
        <f t="shared" ref="S9:S17" si="0">F9</f>
        <v>99.6</v>
      </c>
      <c r="T9" s="1553" t="s">
        <v>8</v>
      </c>
      <c r="U9" s="1554">
        <f t="shared" ref="U9:U17" si="1">H9</f>
        <v>99.2</v>
      </c>
      <c r="V9" s="1553" t="s">
        <v>8</v>
      </c>
      <c r="W9" s="1554">
        <f t="shared" ref="W9:W17" si="2">J9</f>
        <v>99.2</v>
      </c>
      <c r="X9" s="1555"/>
      <c r="Y9" s="3433" t="s">
        <v>529</v>
      </c>
      <c r="Z9" s="3434"/>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33" t="s">
        <v>532</v>
      </c>
      <c r="Q10" s="3434"/>
      <c r="R10" s="1553" t="s">
        <v>8</v>
      </c>
      <c r="S10" s="1554">
        <f t="shared" si="0"/>
        <v>100</v>
      </c>
      <c r="T10" s="1553" t="s">
        <v>8</v>
      </c>
      <c r="U10" s="1554">
        <f t="shared" si="1"/>
        <v>100</v>
      </c>
      <c r="V10" s="1553" t="s">
        <v>8</v>
      </c>
      <c r="W10" s="1554">
        <f t="shared" si="2"/>
        <v>100</v>
      </c>
      <c r="X10" s="1555"/>
      <c r="Y10" s="3433" t="s">
        <v>532</v>
      </c>
      <c r="Z10" s="3434"/>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02" t="s">
        <v>534</v>
      </c>
      <c r="Q11" s="1147" t="str">
        <f t="shared" ref="Q11:Q17" si="6">B11</f>
        <v>用途</v>
      </c>
      <c r="R11" s="1553" t="s">
        <v>8</v>
      </c>
      <c r="S11" s="1554">
        <f t="shared" si="0"/>
        <v>98</v>
      </c>
      <c r="T11" s="1553" t="s">
        <v>8</v>
      </c>
      <c r="U11" s="1554">
        <f t="shared" si="1"/>
        <v>98</v>
      </c>
      <c r="V11" s="1553" t="s">
        <v>8</v>
      </c>
      <c r="W11" s="1554">
        <f t="shared" si="2"/>
        <v>98</v>
      </c>
      <c r="X11" s="1555"/>
      <c r="Y11" s="3348"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02"/>
      <c r="Q12" s="1147" t="str">
        <f t="shared" si="6"/>
        <v>土地使用年限（年）</v>
      </c>
      <c r="R12" s="1553" t="s">
        <v>8</v>
      </c>
      <c r="S12" s="1554">
        <f t="shared" si="0"/>
        <v>100</v>
      </c>
      <c r="T12" s="1553" t="s">
        <v>8</v>
      </c>
      <c r="U12" s="1554">
        <f t="shared" si="1"/>
        <v>100</v>
      </c>
      <c r="V12" s="1553" t="s">
        <v>8</v>
      </c>
      <c r="W12" s="1554">
        <f t="shared" si="2"/>
        <v>100</v>
      </c>
      <c r="X12" s="1555"/>
      <c r="Y12" s="3348"/>
      <c r="Z12" s="1146" t="str">
        <f t="shared" si="7"/>
        <v>土地使用年限（年）</v>
      </c>
      <c r="AA12" s="1556">
        <f t="shared" si="3"/>
        <v>1</v>
      </c>
      <c r="AB12" s="1556">
        <f t="shared" si="4"/>
        <v>1</v>
      </c>
      <c r="AC12" s="1556">
        <f t="shared" si="5"/>
        <v>1</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02"/>
      <c r="Q13" s="1147" t="str">
        <f t="shared" si="6"/>
        <v>容积率</v>
      </c>
      <c r="R13" s="1553" t="s">
        <v>8</v>
      </c>
      <c r="S13" s="1554">
        <f t="shared" si="0"/>
        <v>110</v>
      </c>
      <c r="T13" s="1553" t="s">
        <v>8</v>
      </c>
      <c r="U13" s="1554">
        <f t="shared" si="1"/>
        <v>110</v>
      </c>
      <c r="V13" s="1553" t="s">
        <v>8</v>
      </c>
      <c r="W13" s="1554">
        <f t="shared" si="2"/>
        <v>105</v>
      </c>
      <c r="X13" s="1555"/>
      <c r="Y13" s="3348"/>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02"/>
      <c r="Q14" s="1147" t="str">
        <f t="shared" si="6"/>
        <v>配建</v>
      </c>
      <c r="R14" s="1553" t="s">
        <v>8</v>
      </c>
      <c r="S14" s="1554">
        <f t="shared" si="0"/>
        <v>100</v>
      </c>
      <c r="T14" s="1553" t="s">
        <v>8</v>
      </c>
      <c r="U14" s="1554">
        <f t="shared" si="1"/>
        <v>100</v>
      </c>
      <c r="V14" s="1553" t="s">
        <v>8</v>
      </c>
      <c r="W14" s="1554">
        <f t="shared" si="2"/>
        <v>100</v>
      </c>
      <c r="X14" s="1555"/>
      <c r="Y14" s="3348"/>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2"/>
      <c r="Q15" s="1147">
        <f t="shared" si="6"/>
        <v>111</v>
      </c>
      <c r="R15" s="1553" t="s">
        <v>8</v>
      </c>
      <c r="S15" s="1554">
        <f t="shared" si="0"/>
        <v>100</v>
      </c>
      <c r="T15" s="1553" t="s">
        <v>8</v>
      </c>
      <c r="U15" s="1554">
        <f t="shared" si="1"/>
        <v>100</v>
      </c>
      <c r="V15" s="1553" t="s">
        <v>8</v>
      </c>
      <c r="W15" s="1554">
        <f t="shared" si="2"/>
        <v>100</v>
      </c>
      <c r="X15" s="1555"/>
      <c r="Y15" s="3348"/>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2"/>
      <c r="Q16" s="1147">
        <f t="shared" si="6"/>
        <v>111</v>
      </c>
      <c r="R16" s="1553" t="s">
        <v>8</v>
      </c>
      <c r="S16" s="1554">
        <f t="shared" si="0"/>
        <v>100</v>
      </c>
      <c r="T16" s="1553" t="s">
        <v>8</v>
      </c>
      <c r="U16" s="1554">
        <f t="shared" si="1"/>
        <v>100</v>
      </c>
      <c r="V16" s="1553" t="s">
        <v>8</v>
      </c>
      <c r="W16" s="1554">
        <f t="shared" si="2"/>
        <v>100</v>
      </c>
      <c r="X16" s="1555"/>
      <c r="Y16" s="3348"/>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36" t="s">
        <v>539</v>
      </c>
      <c r="Q17" s="1557" t="str">
        <f t="shared" si="6"/>
        <v>居住社区成熟度</v>
      </c>
      <c r="R17" s="1558" t="s">
        <v>8</v>
      </c>
      <c r="S17" s="1559">
        <f t="shared" si="0"/>
        <v>97</v>
      </c>
      <c r="T17" s="1558" t="s">
        <v>8</v>
      </c>
      <c r="U17" s="1559">
        <f t="shared" si="1"/>
        <v>100</v>
      </c>
      <c r="V17" s="1558" t="s">
        <v>8</v>
      </c>
      <c r="W17" s="1559">
        <f t="shared" si="2"/>
        <v>100</v>
      </c>
      <c r="X17" s="1552"/>
      <c r="Y17" s="3436"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37"/>
      <c r="Q18" s="1557"/>
      <c r="R18" s="1558"/>
      <c r="S18" s="1559"/>
      <c r="T18" s="1558"/>
      <c r="U18" s="1559"/>
      <c r="V18" s="1558"/>
      <c r="W18" s="1559"/>
      <c r="X18" s="1552"/>
      <c r="Y18" s="3437"/>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37"/>
      <c r="Q19" s="1557" t="str">
        <f>B19</f>
        <v>商业繁华度</v>
      </c>
      <c r="R19" s="1558" t="s">
        <v>8</v>
      </c>
      <c r="S19" s="1559">
        <f>F19</f>
        <v>98</v>
      </c>
      <c r="T19" s="1558" t="s">
        <v>8</v>
      </c>
      <c r="U19" s="1559">
        <f>H19</f>
        <v>102</v>
      </c>
      <c r="V19" s="1558" t="s">
        <v>8</v>
      </c>
      <c r="W19" s="1559">
        <f>J19</f>
        <v>100</v>
      </c>
      <c r="X19" s="1552"/>
      <c r="Y19" s="3437"/>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37"/>
      <c r="Q20" s="1557"/>
      <c r="R20" s="1558"/>
      <c r="S20" s="1559"/>
      <c r="T20" s="1558"/>
      <c r="U20" s="1559"/>
      <c r="V20" s="1558"/>
      <c r="W20" s="1559"/>
      <c r="X20" s="1552"/>
      <c r="Y20" s="3437"/>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37"/>
      <c r="Q21" s="1557" t="str">
        <f>B21</f>
        <v>办公集聚程度</v>
      </c>
      <c r="R21" s="1558" t="s">
        <v>8</v>
      </c>
      <c r="S21" s="1559">
        <f>F21</f>
        <v>100</v>
      </c>
      <c r="T21" s="1558" t="s">
        <v>8</v>
      </c>
      <c r="U21" s="1559">
        <f>H21</f>
        <v>100</v>
      </c>
      <c r="V21" s="1558" t="s">
        <v>8</v>
      </c>
      <c r="W21" s="1559">
        <f>J21</f>
        <v>100</v>
      </c>
      <c r="X21" s="1552"/>
      <c r="Y21" s="3437"/>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37"/>
      <c r="Q22" s="1557"/>
      <c r="R22" s="1558"/>
      <c r="S22" s="1559"/>
      <c r="T22" s="1558"/>
      <c r="U22" s="1559"/>
      <c r="V22" s="1558"/>
      <c r="W22" s="1559"/>
      <c r="X22" s="1552"/>
      <c r="Y22" s="3437"/>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37"/>
      <c r="Q23" s="1557" t="str">
        <f>B23</f>
        <v>交通便捷度</v>
      </c>
      <c r="R23" s="1558" t="s">
        <v>8</v>
      </c>
      <c r="S23" s="1559">
        <f>F23</f>
        <v>97</v>
      </c>
      <c r="T23" s="1558" t="s">
        <v>8</v>
      </c>
      <c r="U23" s="1559">
        <f>H23</f>
        <v>100</v>
      </c>
      <c r="V23" s="1558" t="s">
        <v>8</v>
      </c>
      <c r="W23" s="1559">
        <f>J23</f>
        <v>100</v>
      </c>
      <c r="X23" s="1552"/>
      <c r="Y23" s="3437"/>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37"/>
      <c r="Q24" s="1557"/>
      <c r="R24" s="1558"/>
      <c r="S24" s="1559"/>
      <c r="T24" s="1558"/>
      <c r="U24" s="1559"/>
      <c r="V24" s="1558"/>
      <c r="W24" s="1559"/>
      <c r="X24" s="1552"/>
      <c r="Y24" s="3437"/>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37"/>
      <c r="Q25" s="1557" t="str">
        <f t="shared" ref="Q25:Q39" si="8">B25</f>
        <v>区域土地利用方向</v>
      </c>
      <c r="R25" s="1558" t="s">
        <v>8</v>
      </c>
      <c r="S25" s="1559">
        <f>F25</f>
        <v>100</v>
      </c>
      <c r="T25" s="1558" t="s">
        <v>8</v>
      </c>
      <c r="U25" s="1559">
        <f>H25</f>
        <v>100</v>
      </c>
      <c r="V25" s="1558" t="s">
        <v>8</v>
      </c>
      <c r="W25" s="1559">
        <f>J25</f>
        <v>100</v>
      </c>
      <c r="X25" s="1552"/>
      <c r="Y25" s="3437"/>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37"/>
      <c r="Q26" s="1557"/>
      <c r="R26" s="1558"/>
      <c r="S26" s="1559"/>
      <c r="T26" s="1558"/>
      <c r="U26" s="1559"/>
      <c r="V26" s="1558"/>
      <c r="W26" s="1559"/>
      <c r="X26" s="1552"/>
      <c r="Y26" s="3437"/>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37"/>
      <c r="Q27" s="1557" t="str">
        <f t="shared" si="8"/>
        <v>自然及人文环境状况</v>
      </c>
      <c r="R27" s="1558" t="s">
        <v>8</v>
      </c>
      <c r="S27" s="1559">
        <f>F27</f>
        <v>98</v>
      </c>
      <c r="T27" s="1558" t="s">
        <v>8</v>
      </c>
      <c r="U27" s="1559">
        <f>H27</f>
        <v>102</v>
      </c>
      <c r="V27" s="1558" t="s">
        <v>8</v>
      </c>
      <c r="W27" s="1559">
        <f>J27</f>
        <v>100</v>
      </c>
      <c r="X27" s="1552"/>
      <c r="Y27" s="3437"/>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37"/>
      <c r="Q28" s="1557"/>
      <c r="R28" s="1558"/>
      <c r="S28" s="1559"/>
      <c r="T28" s="1558"/>
      <c r="U28" s="1559"/>
      <c r="V28" s="1558"/>
      <c r="W28" s="1559"/>
      <c r="X28" s="1552"/>
      <c r="Y28" s="3437"/>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37"/>
      <c r="Q29" s="1147" t="str">
        <f t="shared" si="8"/>
        <v>公共配套设施</v>
      </c>
      <c r="R29" s="1553" t="s">
        <v>8</v>
      </c>
      <c r="S29" s="1554">
        <f>F29</f>
        <v>98</v>
      </c>
      <c r="T29" s="1553" t="s">
        <v>8</v>
      </c>
      <c r="U29" s="1554">
        <f>H29</f>
        <v>102</v>
      </c>
      <c r="V29" s="1553" t="s">
        <v>8</v>
      </c>
      <c r="W29" s="1554">
        <f>J29</f>
        <v>100</v>
      </c>
      <c r="X29" s="1555"/>
      <c r="Y29" s="3437"/>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37"/>
      <c r="Q30" s="1147"/>
      <c r="R30" s="1553"/>
      <c r="S30" s="1554"/>
      <c r="T30" s="1553"/>
      <c r="U30" s="1554"/>
      <c r="V30" s="1553"/>
      <c r="W30" s="1554"/>
      <c r="X30" s="1555"/>
      <c r="Y30" s="3437"/>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37"/>
      <c r="Q31" s="2541" t="str">
        <f t="shared" ref="Q31" si="9">B31</f>
        <v>基础设施水平</v>
      </c>
      <c r="R31" s="1553" t="s">
        <v>8</v>
      </c>
      <c r="S31" s="1554">
        <f>F31</f>
        <v>100</v>
      </c>
      <c r="T31" s="1553" t="s">
        <v>8</v>
      </c>
      <c r="U31" s="1554">
        <f>H31</f>
        <v>100</v>
      </c>
      <c r="V31" s="1553" t="s">
        <v>8</v>
      </c>
      <c r="W31" s="1554">
        <f>J31</f>
        <v>100</v>
      </c>
      <c r="X31" s="1555"/>
      <c r="Y31" s="3437"/>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37"/>
      <c r="Q32" s="2541"/>
      <c r="R32" s="1553"/>
      <c r="S32" s="1554"/>
      <c r="T32" s="1553"/>
      <c r="U32" s="1554"/>
      <c r="V32" s="1553"/>
      <c r="W32" s="1554"/>
      <c r="X32" s="1555"/>
      <c r="Y32" s="3437"/>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3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7"/>
      <c r="Z33" s="1560" t="str">
        <f t="shared" ref="Z33:Z47" si="13">Q33</f>
        <v>临街状况</v>
      </c>
      <c r="AA33" s="1561">
        <f t="shared" si="3"/>
        <v>1</v>
      </c>
      <c r="AB33" s="1561">
        <f t="shared" si="4"/>
        <v>1</v>
      </c>
      <c r="AC33" s="1561">
        <f t="shared" si="5"/>
        <v>1</v>
      </c>
    </row>
    <row r="34" spans="1:29" ht="27">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37"/>
      <c r="Q34" s="1557" t="str">
        <f t="shared" si="8"/>
        <v>毗邻道路的类型与等级</v>
      </c>
      <c r="R34" s="1558" t="s">
        <v>8</v>
      </c>
      <c r="S34" s="1559">
        <f t="shared" si="10"/>
        <v>102</v>
      </c>
      <c r="T34" s="1558" t="s">
        <v>8</v>
      </c>
      <c r="U34" s="1559">
        <f t="shared" si="11"/>
        <v>102</v>
      </c>
      <c r="V34" s="1558" t="s">
        <v>8</v>
      </c>
      <c r="W34" s="1559">
        <f t="shared" si="12"/>
        <v>102</v>
      </c>
      <c r="X34" s="1552"/>
      <c r="Y34" s="3437"/>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37"/>
      <c r="Q35" s="1557"/>
      <c r="R35" s="1558"/>
      <c r="S35" s="1559"/>
      <c r="T35" s="1558"/>
      <c r="U35" s="1559"/>
      <c r="V35" s="1558"/>
      <c r="W35" s="1559"/>
      <c r="X35" s="1552"/>
      <c r="Y35" s="3437"/>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37"/>
      <c r="Q36" s="1557" t="str">
        <f t="shared" si="8"/>
        <v>土地级别</v>
      </c>
      <c r="R36" s="1558" t="s">
        <v>8</v>
      </c>
      <c r="S36" s="1559">
        <f t="shared" si="10"/>
        <v>100</v>
      </c>
      <c r="T36" s="1558" t="s">
        <v>8</v>
      </c>
      <c r="U36" s="1559">
        <f t="shared" si="11"/>
        <v>100</v>
      </c>
      <c r="V36" s="1558" t="s">
        <v>8</v>
      </c>
      <c r="W36" s="1559">
        <f t="shared" si="12"/>
        <v>100</v>
      </c>
      <c r="X36" s="1552"/>
      <c r="Y36" s="3437"/>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37"/>
      <c r="Q37" s="1557">
        <f t="shared" si="8"/>
        <v>111</v>
      </c>
      <c r="R37" s="1558" t="s">
        <v>8</v>
      </c>
      <c r="S37" s="1559">
        <f t="shared" si="10"/>
        <v>100</v>
      </c>
      <c r="T37" s="1558" t="s">
        <v>8</v>
      </c>
      <c r="U37" s="1559">
        <f t="shared" si="11"/>
        <v>100</v>
      </c>
      <c r="V37" s="1558" t="s">
        <v>8</v>
      </c>
      <c r="W37" s="1559">
        <f t="shared" si="12"/>
        <v>100</v>
      </c>
      <c r="X37" s="1552"/>
      <c r="Y37" s="3437"/>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38" t="s">
        <v>549</v>
      </c>
      <c r="Q38" s="1557">
        <f t="shared" si="8"/>
        <v>111</v>
      </c>
      <c r="R38" s="1558" t="s">
        <v>8</v>
      </c>
      <c r="S38" s="1559">
        <f t="shared" si="10"/>
        <v>100</v>
      </c>
      <c r="T38" s="1558" t="s">
        <v>8</v>
      </c>
      <c r="U38" s="1559">
        <f t="shared" si="11"/>
        <v>100</v>
      </c>
      <c r="V38" s="1558" t="s">
        <v>8</v>
      </c>
      <c r="W38" s="1559">
        <f t="shared" si="12"/>
        <v>100</v>
      </c>
      <c r="X38" s="1552"/>
      <c r="Y38" s="3439"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39"/>
      <c r="Q39" s="1557">
        <f t="shared" si="8"/>
        <v>111</v>
      </c>
      <c r="R39" s="1562" t="s">
        <v>8</v>
      </c>
      <c r="S39" s="1563">
        <f t="shared" si="10"/>
        <v>100</v>
      </c>
      <c r="T39" s="1562" t="s">
        <v>8</v>
      </c>
      <c r="U39" s="1563">
        <f t="shared" si="11"/>
        <v>100</v>
      </c>
      <c r="V39" s="1562" t="s">
        <v>8</v>
      </c>
      <c r="W39" s="1563">
        <f t="shared" si="12"/>
        <v>100</v>
      </c>
      <c r="X39" s="1564"/>
      <c r="Y39" s="3439"/>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39"/>
      <c r="Q40" s="1557" t="str">
        <f>B40</f>
        <v>宗地面积</v>
      </c>
      <c r="R40" s="1558" t="s">
        <v>8</v>
      </c>
      <c r="S40" s="1559">
        <f t="shared" si="10"/>
        <v>106</v>
      </c>
      <c r="T40" s="1558" t="s">
        <v>8</v>
      </c>
      <c r="U40" s="1559">
        <f t="shared" si="11"/>
        <v>100</v>
      </c>
      <c r="V40" s="1558" t="s">
        <v>8</v>
      </c>
      <c r="W40" s="1559">
        <f t="shared" si="12"/>
        <v>91</v>
      </c>
      <c r="X40" s="1552"/>
      <c r="Y40" s="3439"/>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39"/>
      <c r="Q41" s="1557" t="str">
        <f t="shared" ref="Q41:Q47" si="14">B41</f>
        <v>宗地形状</v>
      </c>
      <c r="R41" s="1558" t="s">
        <v>8</v>
      </c>
      <c r="S41" s="1559">
        <f t="shared" si="10"/>
        <v>100</v>
      </c>
      <c r="T41" s="1558" t="s">
        <v>8</v>
      </c>
      <c r="U41" s="1559">
        <f t="shared" si="11"/>
        <v>100</v>
      </c>
      <c r="V41" s="1558" t="s">
        <v>8</v>
      </c>
      <c r="W41" s="1559">
        <f t="shared" si="12"/>
        <v>100</v>
      </c>
      <c r="X41" s="1552"/>
      <c r="Y41" s="3439"/>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39"/>
      <c r="Q42" s="1557" t="str">
        <f t="shared" si="14"/>
        <v>临街宽度及深度</v>
      </c>
      <c r="R42" s="1558" t="s">
        <v>8</v>
      </c>
      <c r="S42" s="1559">
        <f t="shared" si="10"/>
        <v>100</v>
      </c>
      <c r="T42" s="1558" t="s">
        <v>8</v>
      </c>
      <c r="U42" s="1559">
        <f t="shared" si="11"/>
        <v>100</v>
      </c>
      <c r="V42" s="1558" t="s">
        <v>8</v>
      </c>
      <c r="W42" s="1559">
        <f t="shared" si="12"/>
        <v>100</v>
      </c>
      <c r="X42" s="1552"/>
      <c r="Y42" s="3439"/>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39"/>
      <c r="Q43" s="1557" t="str">
        <f t="shared" si="14"/>
        <v>宗地开发程度</v>
      </c>
      <c r="R43" s="1553" t="s">
        <v>8</v>
      </c>
      <c r="S43" s="1554">
        <f t="shared" si="10"/>
        <v>97</v>
      </c>
      <c r="T43" s="1553" t="s">
        <v>8</v>
      </c>
      <c r="U43" s="1554">
        <f t="shared" si="11"/>
        <v>97</v>
      </c>
      <c r="V43" s="1553" t="s">
        <v>8</v>
      </c>
      <c r="W43" s="1554">
        <f t="shared" si="12"/>
        <v>97</v>
      </c>
      <c r="X43" s="1555"/>
      <c r="Y43" s="3439"/>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39" t="s">
        <v>549</v>
      </c>
      <c r="Q44" s="1557" t="str">
        <f t="shared" si="14"/>
        <v>工程地质条件</v>
      </c>
      <c r="R44" s="1558" t="s">
        <v>8</v>
      </c>
      <c r="S44" s="1559">
        <f t="shared" si="10"/>
        <v>100</v>
      </c>
      <c r="T44" s="1558" t="s">
        <v>8</v>
      </c>
      <c r="U44" s="1559">
        <f t="shared" si="11"/>
        <v>100</v>
      </c>
      <c r="V44" s="1558" t="s">
        <v>8</v>
      </c>
      <c r="W44" s="1559">
        <f t="shared" si="12"/>
        <v>100</v>
      </c>
      <c r="X44" s="1552"/>
      <c r="Y44" s="3439"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39"/>
      <c r="Q45" s="1557">
        <f t="shared" si="14"/>
        <v>111</v>
      </c>
      <c r="R45" s="1558" t="s">
        <v>8</v>
      </c>
      <c r="S45" s="1559">
        <f t="shared" si="10"/>
        <v>100</v>
      </c>
      <c r="T45" s="1558" t="s">
        <v>8</v>
      </c>
      <c r="U45" s="1559">
        <f t="shared" si="11"/>
        <v>100</v>
      </c>
      <c r="V45" s="1558" t="s">
        <v>8</v>
      </c>
      <c r="W45" s="1559">
        <f t="shared" si="12"/>
        <v>100</v>
      </c>
      <c r="X45" s="1552"/>
      <c r="Y45" s="3439"/>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39"/>
      <c r="Q46" s="1557">
        <f t="shared" si="14"/>
        <v>111</v>
      </c>
      <c r="R46" s="1558" t="s">
        <v>8</v>
      </c>
      <c r="S46" s="1559">
        <f t="shared" si="10"/>
        <v>100</v>
      </c>
      <c r="T46" s="1558" t="s">
        <v>8</v>
      </c>
      <c r="U46" s="1559">
        <f t="shared" si="11"/>
        <v>100</v>
      </c>
      <c r="V46" s="1558" t="s">
        <v>8</v>
      </c>
      <c r="W46" s="1559">
        <f t="shared" si="12"/>
        <v>100</v>
      </c>
      <c r="X46" s="1552"/>
      <c r="Y46" s="3439"/>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39"/>
      <c r="Q47" s="1557">
        <f t="shared" si="14"/>
        <v>111</v>
      </c>
      <c r="R47" s="1562" t="s">
        <v>8</v>
      </c>
      <c r="S47" s="1563">
        <f t="shared" si="10"/>
        <v>100</v>
      </c>
      <c r="T47" s="1562" t="s">
        <v>8</v>
      </c>
      <c r="U47" s="1563">
        <f t="shared" si="11"/>
        <v>100</v>
      </c>
      <c r="V47" s="1562" t="s">
        <v>8</v>
      </c>
      <c r="W47" s="1563">
        <f t="shared" si="12"/>
        <v>100</v>
      </c>
      <c r="X47" s="1564"/>
      <c r="Y47" s="3439"/>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02" t="str">
        <f>A48</f>
        <v>成交单价</v>
      </c>
      <c r="Q48" s="3402"/>
      <c r="R48" s="3403">
        <f>E48</f>
        <v>2524</v>
      </c>
      <c r="S48" s="3403"/>
      <c r="T48" s="3403">
        <f>G48</f>
        <v>2377</v>
      </c>
      <c r="U48" s="3403"/>
      <c r="V48" s="3403">
        <f>I48</f>
        <v>2282</v>
      </c>
      <c r="W48" s="3403"/>
      <c r="X48" s="1544"/>
      <c r="Y48" s="1566"/>
      <c r="Z48" s="1544"/>
      <c r="AA48" s="1544"/>
      <c r="AB48" s="1544"/>
      <c r="AC48" s="1544"/>
    </row>
    <row r="49" spans="1:29" ht="21" thickBot="1">
      <c r="A49" s="615" t="s">
        <v>2691</v>
      </c>
      <c r="B49" s="616"/>
      <c r="C49" s="617">
        <f>R50</f>
        <v>2377</v>
      </c>
      <c r="D49" s="618"/>
      <c r="E49" s="617">
        <f>R49</f>
        <v>2531</v>
      </c>
      <c r="F49" s="619"/>
      <c r="G49" s="620">
        <f>T49</f>
        <v>2117</v>
      </c>
      <c r="H49" s="618"/>
      <c r="I49" s="617">
        <f>V49</f>
        <v>2483</v>
      </c>
      <c r="J49" s="618"/>
      <c r="K49" s="1335"/>
      <c r="L49" s="2128"/>
      <c r="M49" s="2116"/>
      <c r="N49" s="2116"/>
      <c r="O49" s="2129"/>
      <c r="P49" s="3402" t="str">
        <f>A49</f>
        <v>比较价格（元/平方米）</v>
      </c>
      <c r="Q49" s="3402"/>
      <c r="R49" s="3404">
        <f>ROUND(PRODUCT(R48,AA9:AA47),0)</f>
        <v>2531</v>
      </c>
      <c r="S49" s="3404"/>
      <c r="T49" s="3404">
        <f>ROUND(PRODUCT(T48,AB9:AB47),0)</f>
        <v>2117</v>
      </c>
      <c r="U49" s="3404"/>
      <c r="V49" s="3404">
        <f>ROUND(PRODUCT(V48,AC9:AC47),0)</f>
        <v>2483</v>
      </c>
      <c r="W49" s="3404"/>
      <c r="X49" s="1544"/>
      <c r="Y49" s="1544"/>
      <c r="Z49" s="1544"/>
      <c r="AA49" s="1544"/>
      <c r="AB49" s="1544"/>
      <c r="AC49" s="1544"/>
    </row>
    <row r="50" spans="1:29" ht="21" thickBot="1">
      <c r="A50" s="621" t="s">
        <v>2925</v>
      </c>
      <c r="B50" s="622"/>
      <c r="C50" s="623">
        <f>R50</f>
        <v>2377</v>
      </c>
      <c r="D50" s="623"/>
      <c r="E50" s="623"/>
      <c r="F50" s="623"/>
      <c r="G50" s="623"/>
      <c r="H50" s="623"/>
      <c r="I50" s="623"/>
      <c r="J50" s="623"/>
      <c r="K50" s="1336"/>
      <c r="L50" s="2128"/>
      <c r="M50" s="2116"/>
      <c r="N50" s="2116"/>
      <c r="O50" s="2129"/>
      <c r="P50" s="3399" t="str">
        <f>A50</f>
        <v>估价对象XX用房的比较价格（楼面单价，元/平方米）</v>
      </c>
      <c r="Q50" s="3400"/>
      <c r="R50" s="3401">
        <f>ROUND(AVERAGE(R49:V49),0)</f>
        <v>2377</v>
      </c>
      <c r="S50" s="3401"/>
      <c r="T50" s="3401"/>
      <c r="U50" s="3401"/>
      <c r="V50" s="3401"/>
      <c r="W50" s="340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2.7733755942946914E-3</v>
      </c>
      <c r="F53" s="627" t="str">
        <f>IF(OR(E53&gt;=0.3,E53&lt;=-0.3),"超过30%","")</f>
        <v/>
      </c>
      <c r="G53" s="626">
        <f>IF(G48&lt;G49,G49/G48-1,G48/G49-1)</f>
        <v>0.12281530467642887</v>
      </c>
      <c r="H53" s="627" t="str">
        <f>IF(OR(G53&gt;=0.3,G53&lt;=-0.3),"超过30%","")</f>
        <v/>
      </c>
      <c r="I53" s="626">
        <f>IF(I48&lt;I49,I49/I48-1,I48/I49-1)</f>
        <v>8.8080631025416301E-2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0.19555975436939055</v>
      </c>
      <c r="F54" s="627" t="str">
        <f>IF(OR(E54&gt;=0.2,E54&lt;=-0.2),"超过20%","")</f>
        <v/>
      </c>
      <c r="G54" s="626">
        <f>IF(G49&lt;I49,I49/G49-1,G49/I49-1)</f>
        <v>0.17288615965989607</v>
      </c>
      <c r="H54" s="627" t="str">
        <f>IF(OR(G54&gt;=0.2,G54&lt;=-0.2),"超过20%","")</f>
        <v/>
      </c>
      <c r="I54" s="626">
        <f>IF(I49&lt;E49,E49/I49-1,I49/E49-1)</f>
        <v>1.9331453886427763E-2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428" t="s">
        <v>2280</v>
      </c>
      <c r="H57" s="3429"/>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2377</v>
      </c>
      <c r="C58" s="635">
        <v>1</v>
      </c>
      <c r="D58" s="2212">
        <v>1</v>
      </c>
      <c r="E58" s="635">
        <f>'数据-汇总表'!E8+'数据-汇总表'!E9</f>
        <v>314887.10359999997</v>
      </c>
      <c r="F58" s="636">
        <f t="shared" ref="F58:F67" si="15">ROUND(B58*E58/10000,0)</f>
        <v>74849</v>
      </c>
      <c r="G58" s="3430"/>
      <c r="H58" s="343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32"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3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3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3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314887.10359999997</v>
      </c>
      <c r="F68" s="644">
        <f>IF(B48="楼面地价",SUM(F58:F67),ROUND(C50*E68/10000,0))</f>
        <v>74849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08" t="s">
        <v>521</v>
      </c>
      <c r="D6" s="3409"/>
      <c r="E6" s="3442" t="s">
        <v>522</v>
      </c>
      <c r="F6" s="3443"/>
      <c r="G6" s="3408" t="s">
        <v>523</v>
      </c>
      <c r="H6" s="3409"/>
      <c r="I6" s="3408" t="s">
        <v>524</v>
      </c>
      <c r="J6" s="3409"/>
      <c r="K6" s="514" t="s">
        <v>525</v>
      </c>
      <c r="L6" s="2117"/>
      <c r="M6" s="2118"/>
      <c r="N6" s="2118"/>
      <c r="O6" s="2118"/>
      <c r="P6" s="3410" t="s">
        <v>526</v>
      </c>
      <c r="Q6" s="3411"/>
      <c r="R6" s="3416" t="s">
        <v>522</v>
      </c>
      <c r="S6" s="3417"/>
      <c r="T6" s="3416" t="s">
        <v>523</v>
      </c>
      <c r="U6" s="3417"/>
      <c r="V6" s="3403" t="s">
        <v>524</v>
      </c>
      <c r="W6" s="3403"/>
      <c r="X6" s="1552"/>
      <c r="Y6" s="3416" t="s">
        <v>526</v>
      </c>
      <c r="Z6" s="3417"/>
      <c r="AA6" s="3405" t="s">
        <v>522</v>
      </c>
      <c r="AB6" s="3406" t="s">
        <v>523</v>
      </c>
      <c r="AC6" s="3405" t="s">
        <v>524</v>
      </c>
    </row>
    <row r="7" spans="1:29" ht="15">
      <c r="A7" s="515"/>
      <c r="B7" s="516"/>
      <c r="C7" s="3424" t="s">
        <v>2919</v>
      </c>
      <c r="D7" s="3425"/>
      <c r="E7" s="3444" t="s">
        <v>2920</v>
      </c>
      <c r="F7" s="3445"/>
      <c r="G7" s="3424" t="s">
        <v>2921</v>
      </c>
      <c r="H7" s="3425"/>
      <c r="I7" s="3424" t="s">
        <v>2922</v>
      </c>
      <c r="J7" s="3425"/>
      <c r="K7" s="514"/>
      <c r="L7" s="2117"/>
      <c r="M7" s="2118"/>
      <c r="N7" s="2118"/>
      <c r="O7" s="2118"/>
      <c r="P7" s="3412"/>
      <c r="Q7" s="3413"/>
      <c r="R7" s="3418"/>
      <c r="S7" s="3419"/>
      <c r="T7" s="3418"/>
      <c r="U7" s="3419"/>
      <c r="V7" s="3403"/>
      <c r="W7" s="3403"/>
      <c r="X7" s="1552"/>
      <c r="Y7" s="3418"/>
      <c r="Z7" s="3419"/>
      <c r="AA7" s="3406"/>
      <c r="AB7" s="3406"/>
      <c r="AC7" s="3406"/>
    </row>
    <row r="8" spans="1:29" ht="15.75" thickBot="1">
      <c r="A8" s="517"/>
      <c r="B8" s="518"/>
      <c r="C8" s="3422" t="s">
        <v>2923</v>
      </c>
      <c r="D8" s="3423"/>
      <c r="E8" s="3440" t="s">
        <v>2923</v>
      </c>
      <c r="F8" s="3441"/>
      <c r="G8" s="3422" t="s">
        <v>2923</v>
      </c>
      <c r="H8" s="3423"/>
      <c r="I8" s="3422" t="s">
        <v>2923</v>
      </c>
      <c r="J8" s="3423"/>
      <c r="K8" s="514" t="s">
        <v>527</v>
      </c>
      <c r="L8" s="2117"/>
      <c r="M8" s="2118"/>
      <c r="N8" s="2118"/>
      <c r="O8" s="2118"/>
      <c r="P8" s="3414"/>
      <c r="Q8" s="3415"/>
      <c r="R8" s="3418"/>
      <c r="S8" s="3419"/>
      <c r="T8" s="3420"/>
      <c r="U8" s="3421"/>
      <c r="V8" s="3403"/>
      <c r="W8" s="3403"/>
      <c r="X8" s="1552"/>
      <c r="Y8" s="3420"/>
      <c r="Z8" s="3421"/>
      <c r="AA8" s="3407"/>
      <c r="AB8" s="3407"/>
      <c r="AC8" s="3407"/>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33" t="s">
        <v>529</v>
      </c>
      <c r="Q9" s="3435"/>
      <c r="R9" s="1553" t="s">
        <v>8</v>
      </c>
      <c r="S9" s="1554">
        <f t="shared" ref="S9:S17" si="0">F9</f>
        <v>0</v>
      </c>
      <c r="T9" s="1553" t="s">
        <v>8</v>
      </c>
      <c r="U9" s="1554">
        <f t="shared" ref="U9:U17" si="1">H9</f>
        <v>0</v>
      </c>
      <c r="V9" s="1553" t="s">
        <v>8</v>
      </c>
      <c r="W9" s="1554">
        <f t="shared" ref="W9:W17" si="2">J9</f>
        <v>0</v>
      </c>
      <c r="X9" s="1555"/>
      <c r="Y9" s="3433" t="s">
        <v>529</v>
      </c>
      <c r="Z9" s="3434"/>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33" t="s">
        <v>532</v>
      </c>
      <c r="Q10" s="3434"/>
      <c r="R10" s="1553" t="s">
        <v>8</v>
      </c>
      <c r="S10" s="1554">
        <f t="shared" si="0"/>
        <v>0</v>
      </c>
      <c r="T10" s="1553" t="s">
        <v>8</v>
      </c>
      <c r="U10" s="1554">
        <f t="shared" si="1"/>
        <v>0</v>
      </c>
      <c r="V10" s="1553" t="s">
        <v>8</v>
      </c>
      <c r="W10" s="1554">
        <f t="shared" si="2"/>
        <v>0</v>
      </c>
      <c r="X10" s="1555"/>
      <c r="Y10" s="3433" t="s">
        <v>532</v>
      </c>
      <c r="Z10" s="3434"/>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2" t="s">
        <v>534</v>
      </c>
      <c r="Q11" s="1147" t="str">
        <f t="shared" ref="Q11:Q17" si="6">B11</f>
        <v>用途</v>
      </c>
      <c r="R11" s="1553" t="s">
        <v>8</v>
      </c>
      <c r="S11" s="1554">
        <f t="shared" si="0"/>
        <v>100</v>
      </c>
      <c r="T11" s="1553" t="s">
        <v>8</v>
      </c>
      <c r="U11" s="1554">
        <f t="shared" si="1"/>
        <v>100</v>
      </c>
      <c r="V11" s="1553" t="s">
        <v>8</v>
      </c>
      <c r="W11" s="1554">
        <f t="shared" si="2"/>
        <v>100</v>
      </c>
      <c r="X11" s="1555"/>
      <c r="Y11" s="3348"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02"/>
      <c r="Q12" s="1147" t="str">
        <f t="shared" si="6"/>
        <v>土地使用年限（年）</v>
      </c>
      <c r="R12" s="1553" t="s">
        <v>8</v>
      </c>
      <c r="S12" s="1554">
        <f t="shared" si="0"/>
        <v>100</v>
      </c>
      <c r="T12" s="1553" t="s">
        <v>8</v>
      </c>
      <c r="U12" s="1554">
        <f t="shared" si="1"/>
        <v>100</v>
      </c>
      <c r="V12" s="1553" t="s">
        <v>8</v>
      </c>
      <c r="W12" s="1554">
        <f t="shared" si="2"/>
        <v>100</v>
      </c>
      <c r="X12" s="1555"/>
      <c r="Y12" s="3348"/>
      <c r="Z12" s="1146" t="str">
        <f t="shared" si="7"/>
        <v>土地使用年限（年）</v>
      </c>
      <c r="AA12" s="1556">
        <f t="shared" si="3"/>
        <v>1</v>
      </c>
      <c r="AB12" s="1556">
        <f t="shared" si="4"/>
        <v>1</v>
      </c>
      <c r="AC12" s="1556">
        <f t="shared" si="5"/>
        <v>1</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2"/>
      <c r="Q13" s="1147" t="str">
        <f t="shared" si="6"/>
        <v>容积率</v>
      </c>
      <c r="R13" s="1553" t="s">
        <v>8</v>
      </c>
      <c r="S13" s="1554" t="e">
        <f t="shared" si="0"/>
        <v>#N/A</v>
      </c>
      <c r="T13" s="1553" t="s">
        <v>8</v>
      </c>
      <c r="U13" s="1554" t="e">
        <f t="shared" si="1"/>
        <v>#N/A</v>
      </c>
      <c r="V13" s="1553" t="s">
        <v>8</v>
      </c>
      <c r="W13" s="1554" t="e">
        <f t="shared" si="2"/>
        <v>#N/A</v>
      </c>
      <c r="X13" s="1555"/>
      <c r="Y13" s="3348"/>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2"/>
      <c r="Q14" s="1147">
        <f t="shared" si="6"/>
        <v>111</v>
      </c>
      <c r="R14" s="1553" t="s">
        <v>8</v>
      </c>
      <c r="S14" s="1554">
        <f t="shared" si="0"/>
        <v>100</v>
      </c>
      <c r="T14" s="1553" t="s">
        <v>8</v>
      </c>
      <c r="U14" s="1554">
        <f t="shared" si="1"/>
        <v>100</v>
      </c>
      <c r="V14" s="1553" t="s">
        <v>8</v>
      </c>
      <c r="W14" s="1554">
        <f t="shared" si="2"/>
        <v>100</v>
      </c>
      <c r="X14" s="1555"/>
      <c r="Y14" s="3348"/>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2"/>
      <c r="Q15" s="1147">
        <f t="shared" si="6"/>
        <v>111</v>
      </c>
      <c r="R15" s="1553" t="s">
        <v>8</v>
      </c>
      <c r="S15" s="1554">
        <f t="shared" si="0"/>
        <v>100</v>
      </c>
      <c r="T15" s="1553" t="s">
        <v>8</v>
      </c>
      <c r="U15" s="1554">
        <f t="shared" si="1"/>
        <v>100</v>
      </c>
      <c r="V15" s="1553" t="s">
        <v>8</v>
      </c>
      <c r="W15" s="1554">
        <f t="shared" si="2"/>
        <v>100</v>
      </c>
      <c r="X15" s="1555"/>
      <c r="Y15" s="3348"/>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2"/>
      <c r="Q16" s="1147">
        <f t="shared" si="6"/>
        <v>111</v>
      </c>
      <c r="R16" s="1553" t="s">
        <v>8</v>
      </c>
      <c r="S16" s="1554">
        <f t="shared" si="0"/>
        <v>100</v>
      </c>
      <c r="T16" s="1553" t="s">
        <v>8</v>
      </c>
      <c r="U16" s="1554">
        <f t="shared" si="1"/>
        <v>100</v>
      </c>
      <c r="V16" s="1553" t="s">
        <v>8</v>
      </c>
      <c r="W16" s="1554">
        <f t="shared" si="2"/>
        <v>100</v>
      </c>
      <c r="X16" s="1555"/>
      <c r="Y16" s="3348"/>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36" t="s">
        <v>539</v>
      </c>
      <c r="Q17" s="1557" t="str">
        <f t="shared" si="6"/>
        <v>产业集聚程度</v>
      </c>
      <c r="R17" s="1558" t="s">
        <v>8</v>
      </c>
      <c r="S17" s="1559">
        <f t="shared" si="0"/>
        <v>100</v>
      </c>
      <c r="T17" s="1558" t="s">
        <v>8</v>
      </c>
      <c r="U17" s="1559">
        <f t="shared" si="1"/>
        <v>100</v>
      </c>
      <c r="V17" s="1558" t="s">
        <v>8</v>
      </c>
      <c r="W17" s="1559">
        <f t="shared" si="2"/>
        <v>100</v>
      </c>
      <c r="X17" s="1552"/>
      <c r="Y17" s="3436"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37"/>
      <c r="Q18" s="1557"/>
      <c r="R18" s="1558"/>
      <c r="S18" s="1559"/>
      <c r="T18" s="1558"/>
      <c r="U18" s="1559"/>
      <c r="V18" s="1558"/>
      <c r="W18" s="1559"/>
      <c r="X18" s="1552"/>
      <c r="Y18" s="3437"/>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37"/>
      <c r="Q19" s="1557" t="str">
        <f>B19</f>
        <v>交通便捷度</v>
      </c>
      <c r="R19" s="1558" t="s">
        <v>8</v>
      </c>
      <c r="S19" s="1559">
        <f>F19</f>
        <v>100</v>
      </c>
      <c r="T19" s="1558" t="s">
        <v>8</v>
      </c>
      <c r="U19" s="1559">
        <f>H19</f>
        <v>100</v>
      </c>
      <c r="V19" s="1558" t="s">
        <v>8</v>
      </c>
      <c r="W19" s="1559">
        <f>J19</f>
        <v>100</v>
      </c>
      <c r="X19" s="1552"/>
      <c r="Y19" s="3437"/>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37"/>
      <c r="Q20" s="1557"/>
      <c r="R20" s="1558"/>
      <c r="S20" s="1559"/>
      <c r="T20" s="1558"/>
      <c r="U20" s="1559"/>
      <c r="V20" s="1558"/>
      <c r="W20" s="1559"/>
      <c r="X20" s="1552"/>
      <c r="Y20" s="3437"/>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37"/>
      <c r="Q21" s="1557" t="str">
        <f t="shared" ref="Q21:Q35" si="8">B21</f>
        <v>区域土地利用方向</v>
      </c>
      <c r="R21" s="1558" t="s">
        <v>8</v>
      </c>
      <c r="S21" s="1559">
        <f>F21</f>
        <v>100</v>
      </c>
      <c r="T21" s="1558" t="s">
        <v>8</v>
      </c>
      <c r="U21" s="1559">
        <f>H21</f>
        <v>100</v>
      </c>
      <c r="V21" s="1558" t="s">
        <v>8</v>
      </c>
      <c r="W21" s="1559">
        <f>J21</f>
        <v>100</v>
      </c>
      <c r="X21" s="1552"/>
      <c r="Y21" s="343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37"/>
      <c r="Q22" s="1557"/>
      <c r="R22" s="1558"/>
      <c r="S22" s="1559"/>
      <c r="T22" s="1558"/>
      <c r="U22" s="1559"/>
      <c r="V22" s="1558"/>
      <c r="W22" s="1559"/>
      <c r="X22" s="1552"/>
      <c r="Y22" s="3437"/>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37"/>
      <c r="Q23" s="1557" t="str">
        <f t="shared" si="8"/>
        <v>环境状况</v>
      </c>
      <c r="R23" s="1558" t="s">
        <v>8</v>
      </c>
      <c r="S23" s="1559">
        <f>F23</f>
        <v>100</v>
      </c>
      <c r="T23" s="1558" t="s">
        <v>8</v>
      </c>
      <c r="U23" s="1559">
        <f>H23</f>
        <v>100</v>
      </c>
      <c r="V23" s="1558" t="s">
        <v>8</v>
      </c>
      <c r="W23" s="1559">
        <f>J23</f>
        <v>100</v>
      </c>
      <c r="X23" s="1552"/>
      <c r="Y23" s="343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37"/>
      <c r="Q24" s="1557"/>
      <c r="R24" s="1558"/>
      <c r="S24" s="1559"/>
      <c r="T24" s="1558"/>
      <c r="U24" s="1559"/>
      <c r="V24" s="1558"/>
      <c r="W24" s="1559"/>
      <c r="X24" s="1552"/>
      <c r="Y24" s="3437"/>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37"/>
      <c r="Q25" s="1147" t="str">
        <f t="shared" si="8"/>
        <v>公共配套设施</v>
      </c>
      <c r="R25" s="1553" t="s">
        <v>8</v>
      </c>
      <c r="S25" s="1554">
        <f>F25</f>
        <v>100</v>
      </c>
      <c r="T25" s="1553" t="s">
        <v>8</v>
      </c>
      <c r="U25" s="1554">
        <f>H25</f>
        <v>100</v>
      </c>
      <c r="V25" s="1553" t="s">
        <v>8</v>
      </c>
      <c r="W25" s="1554">
        <f>J25</f>
        <v>100</v>
      </c>
      <c r="X25" s="1555"/>
      <c r="Y25" s="3437"/>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37"/>
      <c r="Q26" s="1147"/>
      <c r="R26" s="1553"/>
      <c r="S26" s="1554"/>
      <c r="T26" s="1553"/>
      <c r="U26" s="1554"/>
      <c r="V26" s="1553"/>
      <c r="W26" s="1554"/>
      <c r="X26" s="1555"/>
      <c r="Y26" s="3437"/>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37"/>
      <c r="Q27" s="2541" t="str">
        <f t="shared" ref="Q27" si="9">B27</f>
        <v>基础设施水平</v>
      </c>
      <c r="R27" s="1553" t="s">
        <v>8</v>
      </c>
      <c r="S27" s="1554">
        <f>F27</f>
        <v>100</v>
      </c>
      <c r="T27" s="1553" t="s">
        <v>8</v>
      </c>
      <c r="U27" s="1554">
        <f>H27</f>
        <v>100</v>
      </c>
      <c r="V27" s="1553" t="s">
        <v>8</v>
      </c>
      <c r="W27" s="1554">
        <f>J27</f>
        <v>100</v>
      </c>
      <c r="X27" s="1555"/>
      <c r="Y27" s="3437"/>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37"/>
      <c r="Q28" s="2541"/>
      <c r="R28" s="1553"/>
      <c r="S28" s="1554"/>
      <c r="T28" s="1553"/>
      <c r="U28" s="1554"/>
      <c r="V28" s="1553"/>
      <c r="W28" s="1554"/>
      <c r="X28" s="1555"/>
      <c r="Y28" s="3437"/>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3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7"/>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37"/>
      <c r="Q30" s="1557" t="str">
        <f t="shared" si="8"/>
        <v>毗邻道路的类型与等级</v>
      </c>
      <c r="R30" s="1558" t="s">
        <v>8</v>
      </c>
      <c r="S30" s="1559">
        <f t="shared" si="10"/>
        <v>100</v>
      </c>
      <c r="T30" s="1558" t="s">
        <v>8</v>
      </c>
      <c r="U30" s="1559">
        <f t="shared" si="11"/>
        <v>100</v>
      </c>
      <c r="V30" s="1558" t="s">
        <v>8</v>
      </c>
      <c r="W30" s="1559">
        <f t="shared" si="12"/>
        <v>100</v>
      </c>
      <c r="X30" s="1552"/>
      <c r="Y30" s="343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37"/>
      <c r="Q31" s="1557"/>
      <c r="R31" s="1558"/>
      <c r="S31" s="1559"/>
      <c r="T31" s="1558"/>
      <c r="U31" s="1559"/>
      <c r="V31" s="1558"/>
      <c r="W31" s="1559"/>
      <c r="X31" s="1552"/>
      <c r="Y31" s="3437"/>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37"/>
      <c r="Q32" s="1557" t="str">
        <f t="shared" si="8"/>
        <v>土地级别</v>
      </c>
      <c r="R32" s="1558" t="s">
        <v>8</v>
      </c>
      <c r="S32" s="1559">
        <f t="shared" si="10"/>
        <v>100</v>
      </c>
      <c r="T32" s="1558" t="s">
        <v>8</v>
      </c>
      <c r="U32" s="1559">
        <f t="shared" si="11"/>
        <v>100</v>
      </c>
      <c r="V32" s="1558" t="s">
        <v>8</v>
      </c>
      <c r="W32" s="1559">
        <f t="shared" si="12"/>
        <v>100</v>
      </c>
      <c r="X32" s="1552"/>
      <c r="Y32" s="343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37"/>
      <c r="Q33" s="1557">
        <f t="shared" si="8"/>
        <v>111</v>
      </c>
      <c r="R33" s="1558" t="s">
        <v>8</v>
      </c>
      <c r="S33" s="1559">
        <f t="shared" si="10"/>
        <v>100</v>
      </c>
      <c r="T33" s="1558" t="s">
        <v>8</v>
      </c>
      <c r="U33" s="1559">
        <f t="shared" si="11"/>
        <v>100</v>
      </c>
      <c r="V33" s="1558" t="s">
        <v>8</v>
      </c>
      <c r="W33" s="1559">
        <f t="shared" si="12"/>
        <v>100</v>
      </c>
      <c r="X33" s="1552"/>
      <c r="Y33" s="343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38" t="s">
        <v>549</v>
      </c>
      <c r="Q34" s="1557">
        <f t="shared" si="8"/>
        <v>111</v>
      </c>
      <c r="R34" s="1558" t="s">
        <v>8</v>
      </c>
      <c r="S34" s="1559">
        <f t="shared" si="10"/>
        <v>100</v>
      </c>
      <c r="T34" s="1558" t="s">
        <v>8</v>
      </c>
      <c r="U34" s="1559">
        <f t="shared" si="11"/>
        <v>100</v>
      </c>
      <c r="V34" s="1558" t="s">
        <v>8</v>
      </c>
      <c r="W34" s="1559">
        <f t="shared" si="12"/>
        <v>100</v>
      </c>
      <c r="X34" s="1552"/>
      <c r="Y34" s="3439"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39"/>
      <c r="Q35" s="1557">
        <f t="shared" si="8"/>
        <v>111</v>
      </c>
      <c r="R35" s="1562" t="s">
        <v>8</v>
      </c>
      <c r="S35" s="1563">
        <f t="shared" si="10"/>
        <v>100</v>
      </c>
      <c r="T35" s="1562" t="s">
        <v>8</v>
      </c>
      <c r="U35" s="1563">
        <f t="shared" si="11"/>
        <v>100</v>
      </c>
      <c r="V35" s="1562" t="s">
        <v>8</v>
      </c>
      <c r="W35" s="1563">
        <f t="shared" si="12"/>
        <v>100</v>
      </c>
      <c r="X35" s="1564"/>
      <c r="Y35" s="3439"/>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39"/>
      <c r="Q36" s="1557" t="str">
        <f>B36</f>
        <v>宗地面积</v>
      </c>
      <c r="R36" s="1558" t="s">
        <v>8</v>
      </c>
      <c r="S36" s="1559" t="e">
        <f t="shared" si="10"/>
        <v>#N/A</v>
      </c>
      <c r="T36" s="1558" t="s">
        <v>8</v>
      </c>
      <c r="U36" s="1559" t="e">
        <f t="shared" si="11"/>
        <v>#N/A</v>
      </c>
      <c r="V36" s="1558" t="s">
        <v>8</v>
      </c>
      <c r="W36" s="1559" t="e">
        <f t="shared" si="12"/>
        <v>#N/A</v>
      </c>
      <c r="X36" s="1552"/>
      <c r="Y36" s="3439"/>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39"/>
      <c r="Q37" s="1557" t="str">
        <f t="shared" ref="Q37:Q42" si="14">B37</f>
        <v>宗地形状</v>
      </c>
      <c r="R37" s="1558" t="s">
        <v>8</v>
      </c>
      <c r="S37" s="1559">
        <f t="shared" si="10"/>
        <v>100</v>
      </c>
      <c r="T37" s="1558" t="s">
        <v>8</v>
      </c>
      <c r="U37" s="1559">
        <f t="shared" si="11"/>
        <v>100</v>
      </c>
      <c r="V37" s="1558" t="s">
        <v>8</v>
      </c>
      <c r="W37" s="1559">
        <f t="shared" si="12"/>
        <v>100</v>
      </c>
      <c r="X37" s="1552"/>
      <c r="Y37" s="3439"/>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39"/>
      <c r="Q38" s="1557" t="str">
        <f t="shared" si="14"/>
        <v>宗地开发程度</v>
      </c>
      <c r="R38" s="1553" t="s">
        <v>8</v>
      </c>
      <c r="S38" s="1554">
        <f t="shared" si="10"/>
        <v>100</v>
      </c>
      <c r="T38" s="1553" t="s">
        <v>8</v>
      </c>
      <c r="U38" s="1554">
        <f t="shared" si="11"/>
        <v>100</v>
      </c>
      <c r="V38" s="1553" t="s">
        <v>8</v>
      </c>
      <c r="W38" s="1554">
        <f t="shared" si="12"/>
        <v>100</v>
      </c>
      <c r="X38" s="1555"/>
      <c r="Y38" s="3439"/>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9" t="s">
        <v>600</v>
      </c>
      <c r="Q39" s="1557" t="str">
        <f t="shared" si="14"/>
        <v>工程地质条件</v>
      </c>
      <c r="R39" s="1558" t="s">
        <v>8</v>
      </c>
      <c r="S39" s="1559">
        <f t="shared" si="10"/>
        <v>100</v>
      </c>
      <c r="T39" s="1558" t="s">
        <v>8</v>
      </c>
      <c r="U39" s="1559">
        <f t="shared" si="11"/>
        <v>100</v>
      </c>
      <c r="V39" s="1558" t="s">
        <v>8</v>
      </c>
      <c r="W39" s="1559">
        <f t="shared" si="12"/>
        <v>100</v>
      </c>
      <c r="X39" s="1552"/>
      <c r="Y39" s="3439"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39"/>
      <c r="Q40" s="1557">
        <f t="shared" si="14"/>
        <v>111</v>
      </c>
      <c r="R40" s="1558" t="s">
        <v>8</v>
      </c>
      <c r="S40" s="1559">
        <f t="shared" si="10"/>
        <v>100</v>
      </c>
      <c r="T40" s="1558" t="s">
        <v>8</v>
      </c>
      <c r="U40" s="1559">
        <f t="shared" si="11"/>
        <v>100</v>
      </c>
      <c r="V40" s="1558" t="s">
        <v>8</v>
      </c>
      <c r="W40" s="1559">
        <f t="shared" si="12"/>
        <v>100</v>
      </c>
      <c r="X40" s="1552"/>
      <c r="Y40" s="343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39"/>
      <c r="Q41" s="1557">
        <f t="shared" si="14"/>
        <v>111</v>
      </c>
      <c r="R41" s="1558" t="s">
        <v>8</v>
      </c>
      <c r="S41" s="1559">
        <f t="shared" si="10"/>
        <v>100</v>
      </c>
      <c r="T41" s="1558" t="s">
        <v>8</v>
      </c>
      <c r="U41" s="1559">
        <f t="shared" si="11"/>
        <v>100</v>
      </c>
      <c r="V41" s="1558" t="s">
        <v>8</v>
      </c>
      <c r="W41" s="1559">
        <f t="shared" si="12"/>
        <v>100</v>
      </c>
      <c r="X41" s="1552"/>
      <c r="Y41" s="3439"/>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39"/>
      <c r="Q42" s="1557">
        <f t="shared" si="14"/>
        <v>111</v>
      </c>
      <c r="R42" s="1562" t="s">
        <v>8</v>
      </c>
      <c r="S42" s="1563">
        <f t="shared" si="10"/>
        <v>100</v>
      </c>
      <c r="T42" s="1562" t="s">
        <v>8</v>
      </c>
      <c r="U42" s="1563">
        <f t="shared" si="11"/>
        <v>100</v>
      </c>
      <c r="V42" s="1562" t="s">
        <v>8</v>
      </c>
      <c r="W42" s="1563">
        <f t="shared" si="12"/>
        <v>100</v>
      </c>
      <c r="X42" s="1564"/>
      <c r="Y42" s="3439"/>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02" t="str">
        <f>A43</f>
        <v>成交单价</v>
      </c>
      <c r="Q43" s="3402"/>
      <c r="R43" s="3403">
        <f>E43</f>
        <v>0</v>
      </c>
      <c r="S43" s="3403"/>
      <c r="T43" s="3403">
        <f>G43</f>
        <v>0</v>
      </c>
      <c r="U43" s="3403"/>
      <c r="V43" s="3403">
        <f>I43</f>
        <v>0</v>
      </c>
      <c r="W43" s="3403"/>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02" t="str">
        <f>A44</f>
        <v>比较价格（元/平方米）</v>
      </c>
      <c r="Q44" s="3402"/>
      <c r="R44" s="3404" t="e">
        <f>ROUND(PRODUCT(R43,AA9:AA42),0)</f>
        <v>#DIV/0!</v>
      </c>
      <c r="S44" s="3404"/>
      <c r="T44" s="3404" t="e">
        <f>ROUND(PRODUCT(T43,AB9:AB42),0)</f>
        <v>#DIV/0!</v>
      </c>
      <c r="U44" s="3404"/>
      <c r="V44" s="3404" t="e">
        <f>ROUND(PRODUCT(V43,AC9:AC42),0)</f>
        <v>#DIV/0!</v>
      </c>
      <c r="W44" s="3404"/>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399" t="str">
        <f>A45</f>
        <v>估价对象XX用房的比较价格（楼面单价，元/平方米）</v>
      </c>
      <c r="Q45" s="3400"/>
      <c r="R45" s="3401" t="e">
        <f>ROUND(AVERAGE(R44:V44),0)</f>
        <v>#DIV/0!</v>
      </c>
      <c r="S45" s="3401"/>
      <c r="T45" s="3401"/>
      <c r="U45" s="3401"/>
      <c r="V45" s="3401"/>
      <c r="W45" s="340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46" t="s">
        <v>2283</v>
      </c>
      <c r="H52" s="3447"/>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314887.10359999997</v>
      </c>
      <c r="F53" s="1934" t="e">
        <f t="shared" ref="F53:F62" si="15">ROUND(B53*E53/10000,0)</f>
        <v>#DIV/0!</v>
      </c>
      <c r="G53" s="3448"/>
      <c r="H53" s="344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50"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5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5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5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62"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63"/>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2" t="s">
        <v>2781</v>
      </c>
      <c r="X8" s="3453"/>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63"/>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1"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3"/>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3"/>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1"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62"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1"/>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4"/>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5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64"/>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5"/>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62" t="s">
        <v>1837</v>
      </c>
      <c r="B16" s="1422" t="s">
        <v>949</v>
      </c>
      <c r="C16" s="1052" t="e">
        <f>ROUND(IF(F17="与级别开发程度一致",0,(G17-E17)/C17),0)</f>
        <v>#DIV/0!</v>
      </c>
      <c r="D16" s="3459" t="s">
        <v>953</v>
      </c>
      <c r="E16" s="3460"/>
      <c r="F16" s="3459" t="s">
        <v>950</v>
      </c>
      <c r="G16" s="3460"/>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66"/>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69"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70"/>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70"/>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1"/>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7" t="s">
        <v>1632</v>
      </c>
      <c r="B90" s="3467"/>
      <c r="C90" s="3467"/>
      <c r="D90" s="3467"/>
      <c r="E90" s="3467"/>
      <c r="F90" s="3467"/>
      <c r="G90" s="3467"/>
      <c r="H90" s="3467"/>
      <c r="I90" s="3467"/>
      <c r="J90" s="3467"/>
      <c r="K90" s="2413"/>
      <c r="L90" s="2413"/>
      <c r="M90" s="2413"/>
      <c r="N90" s="2413"/>
    </row>
    <row r="91" spans="1:40">
      <c r="A91" s="3468" t="s">
        <v>1442</v>
      </c>
      <c r="B91" s="3468" t="s">
        <v>1633</v>
      </c>
      <c r="C91" s="1136" t="s">
        <v>1634</v>
      </c>
      <c r="D91" s="1137"/>
      <c r="E91" s="1137"/>
      <c r="F91" s="1137"/>
      <c r="G91" s="1137"/>
      <c r="H91" s="1137"/>
      <c r="I91" s="1137"/>
      <c r="J91" s="1138"/>
      <c r="K91" s="1130"/>
      <c r="L91" s="1130"/>
      <c r="M91" s="1130"/>
      <c r="N91" s="1130"/>
    </row>
    <row r="92" spans="1:40">
      <c r="A92" s="3468"/>
      <c r="B92" s="346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4"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4"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5"/>
      <c r="B108" s="345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6"/>
      <c r="B109" s="345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1" t="s">
        <v>1638</v>
      </c>
      <c r="B110" s="3461"/>
      <c r="C110" s="3461"/>
      <c r="D110" s="3461"/>
      <c r="E110" s="3461"/>
      <c r="F110" s="3461"/>
      <c r="G110" s="3461"/>
      <c r="H110" s="3461"/>
      <c r="I110" s="3461"/>
      <c r="J110" s="3461"/>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68" t="s">
        <v>1006</v>
      </c>
      <c r="B18" s="1150" t="s">
        <v>1445</v>
      </c>
      <c r="C18" s="1127" t="s">
        <v>1446</v>
      </c>
      <c r="D18" s="1128"/>
      <c r="E18" s="1150">
        <v>1</v>
      </c>
      <c r="F18" s="1129" t="s">
        <v>1447</v>
      </c>
      <c r="G18" s="1130"/>
      <c r="H18" s="1101"/>
      <c r="I18" s="1101"/>
    </row>
    <row r="19" spans="1:9" s="1583" customFormat="1" ht="19.5" customHeight="1">
      <c r="A19" s="3468"/>
      <c r="B19" s="3468" t="s">
        <v>1448</v>
      </c>
      <c r="C19" s="1127" t="s">
        <v>1449</v>
      </c>
      <c r="D19" s="1128"/>
      <c r="E19" s="1150">
        <v>0.9</v>
      </c>
      <c r="F19" s="1129" t="s">
        <v>1450</v>
      </c>
      <c r="G19" s="1130"/>
      <c r="H19" s="1101"/>
      <c r="I19" s="1101"/>
    </row>
    <row r="20" spans="1:9" s="1583" customFormat="1" ht="19.5" customHeight="1">
      <c r="A20" s="3468"/>
      <c r="B20" s="3468"/>
      <c r="C20" s="1127" t="s">
        <v>1451</v>
      </c>
      <c r="D20" s="1128"/>
      <c r="E20" s="1150">
        <v>1.1000000000000001</v>
      </c>
      <c r="F20" s="1129" t="s">
        <v>1452</v>
      </c>
      <c r="G20" s="1130"/>
      <c r="H20" s="1101"/>
      <c r="I20" s="1101"/>
    </row>
    <row r="21" spans="1:9" s="1583" customFormat="1" ht="19.5" customHeight="1">
      <c r="A21" s="3468"/>
      <c r="B21" s="3468"/>
      <c r="C21" s="1127" t="s">
        <v>1453</v>
      </c>
      <c r="D21" s="1128"/>
      <c r="E21" s="1150">
        <v>0.8</v>
      </c>
      <c r="F21" s="1129" t="s">
        <v>1454</v>
      </c>
      <c r="G21" s="1130"/>
      <c r="H21" s="1101"/>
      <c r="I21" s="1101"/>
    </row>
    <row r="22" spans="1:9" s="1583" customFormat="1" ht="19.5" customHeight="1">
      <c r="A22" s="3468"/>
      <c r="B22" s="3468"/>
      <c r="C22" s="1127" t="s">
        <v>1455</v>
      </c>
      <c r="D22" s="1128"/>
      <c r="E22" s="1150">
        <v>0.5</v>
      </c>
      <c r="F22" s="1129"/>
      <c r="G22" s="1130"/>
      <c r="H22" s="1101"/>
      <c r="I22" s="1101"/>
    </row>
    <row r="23" spans="1:9" s="1583" customFormat="1" ht="19.5" customHeight="1">
      <c r="A23" s="3468" t="s">
        <v>1028</v>
      </c>
      <c r="B23" s="1150" t="s">
        <v>1445</v>
      </c>
      <c r="C23" s="1127" t="s">
        <v>1456</v>
      </c>
      <c r="D23" s="1128"/>
      <c r="E23" s="1150">
        <v>1</v>
      </c>
      <c r="F23" s="1129" t="s">
        <v>1457</v>
      </c>
      <c r="G23" s="1130"/>
      <c r="H23" s="1101"/>
      <c r="I23" s="1101"/>
    </row>
    <row r="24" spans="1:9" s="1583" customFormat="1" ht="19.5" customHeight="1">
      <c r="A24" s="3468"/>
      <c r="B24" s="3468" t="s">
        <v>1448</v>
      </c>
      <c r="C24" s="1127" t="s">
        <v>1458</v>
      </c>
      <c r="D24" s="1128"/>
      <c r="E24" s="1150">
        <v>0.5</v>
      </c>
      <c r="F24" s="1129"/>
      <c r="G24" s="1130"/>
      <c r="H24" s="1101"/>
      <c r="I24" s="1101"/>
    </row>
    <row r="25" spans="1:9" s="1583" customFormat="1" ht="19.5" customHeight="1">
      <c r="A25" s="3468"/>
      <c r="B25" s="3468"/>
      <c r="C25" s="1127" t="s">
        <v>1459</v>
      </c>
      <c r="D25" s="1128"/>
      <c r="E25" s="1150">
        <v>1.1000000000000001</v>
      </c>
      <c r="F25" s="1129"/>
      <c r="G25" s="1130"/>
      <c r="H25" s="1101"/>
      <c r="I25" s="1101"/>
    </row>
    <row r="26" spans="1:9" s="1583" customFormat="1" ht="19.5" customHeight="1">
      <c r="A26" s="3468"/>
      <c r="B26" s="3468"/>
      <c r="C26" s="1127" t="s">
        <v>1460</v>
      </c>
      <c r="D26" s="1128"/>
      <c r="E26" s="1150">
        <v>1.1000000000000001</v>
      </c>
      <c r="F26" s="1129"/>
      <c r="G26" s="1130"/>
      <c r="H26" s="1101"/>
      <c r="I26" s="1101"/>
    </row>
    <row r="27" spans="1:9" s="1583" customFormat="1" ht="19.5" customHeight="1">
      <c r="A27" s="3468"/>
      <c r="B27" s="3468"/>
      <c r="C27" s="1127" t="s">
        <v>1461</v>
      </c>
      <c r="D27" s="1128"/>
      <c r="E27" s="1150">
        <v>0.9</v>
      </c>
      <c r="F27" s="1129" t="s">
        <v>1462</v>
      </c>
      <c r="G27" s="1130"/>
      <c r="H27" s="1101"/>
      <c r="I27" s="1101"/>
    </row>
    <row r="28" spans="1:9" s="1583" customFormat="1" ht="19.5" customHeight="1">
      <c r="A28" s="3468"/>
      <c r="B28" s="3468"/>
      <c r="C28" s="1127" t="s">
        <v>1463</v>
      </c>
      <c r="D28" s="1128"/>
      <c r="E28" s="1150">
        <v>0.9</v>
      </c>
      <c r="F28" s="1129" t="s">
        <v>1464</v>
      </c>
      <c r="G28" s="1130"/>
      <c r="H28" s="1101"/>
      <c r="I28" s="1101"/>
    </row>
    <row r="29" spans="1:9" s="1583" customFormat="1" ht="19.5" customHeight="1">
      <c r="A29" s="3468"/>
      <c r="B29" s="3468"/>
      <c r="C29" s="1127" t="s">
        <v>1465</v>
      </c>
      <c r="D29" s="1128"/>
      <c r="E29" s="1150">
        <v>0.9</v>
      </c>
      <c r="F29" s="1129" t="s">
        <v>1466</v>
      </c>
      <c r="G29" s="1130"/>
      <c r="H29" s="1101"/>
      <c r="I29" s="1101"/>
    </row>
    <row r="30" spans="1:9" s="1583" customFormat="1" ht="19.5" customHeight="1">
      <c r="A30" s="3468"/>
      <c r="B30" s="3468"/>
      <c r="C30" s="1127" t="s">
        <v>1467</v>
      </c>
      <c r="D30" s="1128"/>
      <c r="E30" s="1150">
        <v>0.9</v>
      </c>
      <c r="F30" s="1129" t="s">
        <v>1468</v>
      </c>
      <c r="G30" s="1130"/>
      <c r="H30" s="1101"/>
      <c r="I30" s="1101"/>
    </row>
    <row r="31" spans="1:9" s="1583" customFormat="1" ht="19.5" customHeight="1">
      <c r="A31" s="3468"/>
      <c r="B31" s="3468"/>
      <c r="C31" s="1127" t="s">
        <v>1469</v>
      </c>
      <c r="D31" s="1128"/>
      <c r="E31" s="1150">
        <v>0.8</v>
      </c>
      <c r="F31" s="1129" t="s">
        <v>1470</v>
      </c>
      <c r="G31" s="1130"/>
      <c r="H31" s="1101"/>
      <c r="I31" s="1101"/>
    </row>
    <row r="32" spans="1:9" s="1583" customFormat="1" ht="19.5" customHeight="1">
      <c r="A32" s="3468"/>
      <c r="B32" s="3468"/>
      <c r="C32" s="1127" t="s">
        <v>1471</v>
      </c>
      <c r="D32" s="1128"/>
      <c r="E32" s="1150">
        <v>0.8</v>
      </c>
      <c r="F32" s="1129" t="s">
        <v>1472</v>
      </c>
      <c r="G32" s="1130"/>
      <c r="H32" s="1101"/>
      <c r="I32" s="1101"/>
    </row>
    <row r="33" spans="1:9" s="1583" customFormat="1" ht="19.5" customHeight="1">
      <c r="A33" s="3468" t="s">
        <v>1473</v>
      </c>
      <c r="B33" s="1150" t="s">
        <v>1445</v>
      </c>
      <c r="C33" s="1127" t="s">
        <v>1474</v>
      </c>
      <c r="D33" s="1128"/>
      <c r="E33" s="1150">
        <v>1</v>
      </c>
      <c r="F33" s="1129" t="s">
        <v>1475</v>
      </c>
      <c r="G33" s="1130"/>
      <c r="H33" s="1101"/>
      <c r="I33" s="1101"/>
    </row>
    <row r="34" spans="1:9" s="1583" customFormat="1" ht="19.5" customHeight="1">
      <c r="A34" s="3468"/>
      <c r="B34" s="1150" t="s">
        <v>1448</v>
      </c>
      <c r="C34" s="1127" t="s">
        <v>1476</v>
      </c>
      <c r="D34" s="1128"/>
      <c r="E34" s="1150">
        <v>1.5</v>
      </c>
      <c r="F34" s="1129" t="s">
        <v>1477</v>
      </c>
      <c r="G34" s="1130"/>
      <c r="H34" s="1101"/>
      <c r="I34" s="1101"/>
    </row>
    <row r="35" spans="1:9" s="1583" customFormat="1" ht="19.5" customHeight="1">
      <c r="A35" s="3468" t="s">
        <v>1431</v>
      </c>
      <c r="B35" s="1150" t="s">
        <v>1445</v>
      </c>
      <c r="C35" s="1127" t="s">
        <v>1478</v>
      </c>
      <c r="D35" s="1128"/>
      <c r="E35" s="1150">
        <v>1</v>
      </c>
      <c r="F35" s="1129" t="s">
        <v>1479</v>
      </c>
      <c r="G35" s="1130"/>
      <c r="H35" s="1101"/>
      <c r="I35" s="1101"/>
    </row>
    <row r="36" spans="1:9" s="1583" customFormat="1" ht="19.5" customHeight="1">
      <c r="A36" s="3468"/>
      <c r="B36" s="3468" t="s">
        <v>1448</v>
      </c>
      <c r="C36" s="1127" t="s">
        <v>1480</v>
      </c>
      <c r="D36" s="1128"/>
      <c r="E36" s="1150">
        <v>1</v>
      </c>
      <c r="F36" s="1129" t="s">
        <v>1481</v>
      </c>
      <c r="G36" s="1130"/>
      <c r="H36" s="1101"/>
      <c r="I36" s="1101"/>
    </row>
    <row r="37" spans="1:9" s="1583" customFormat="1" ht="19.5" customHeight="1">
      <c r="A37" s="3468"/>
      <c r="B37" s="3468"/>
      <c r="C37" s="1127" t="s">
        <v>1482</v>
      </c>
      <c r="D37" s="1128"/>
      <c r="E37" s="1150">
        <v>1.5</v>
      </c>
      <c r="F37" s="1129" t="s">
        <v>1483</v>
      </c>
      <c r="G37" s="1130"/>
      <c r="H37" s="1101"/>
      <c r="I37" s="1101"/>
    </row>
    <row r="38" spans="1:9" s="1583" customFormat="1" ht="19.5" customHeight="1">
      <c r="A38" s="3468"/>
      <c r="B38" s="3468"/>
      <c r="C38" s="1127" t="s">
        <v>1484</v>
      </c>
      <c r="D38" s="1128"/>
      <c r="E38" s="1150">
        <v>1</v>
      </c>
      <c r="F38" s="1129" t="s">
        <v>1485</v>
      </c>
      <c r="G38" s="1130"/>
      <c r="H38" s="1101"/>
      <c r="I38" s="1101"/>
    </row>
    <row r="39" spans="1:9" s="1583" customFormat="1" ht="19.5" customHeight="1">
      <c r="A39" s="3468"/>
      <c r="B39" s="3468"/>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8" t="s">
        <v>1500</v>
      </c>
      <c r="C61" s="1064" t="s">
        <v>1501</v>
      </c>
      <c r="D61" s="1064" t="s">
        <v>1502</v>
      </c>
      <c r="E61" s="1135">
        <v>0.5</v>
      </c>
      <c r="F61" s="1150">
        <v>80</v>
      </c>
      <c r="H61" s="1101">
        <f>SUMIF(C59:C119,基准地价!C8,E59:E119)</f>
        <v>0</v>
      </c>
    </row>
    <row r="62" spans="1:8" s="1101" customFormat="1" ht="24">
      <c r="A62" s="1150">
        <v>2</v>
      </c>
      <c r="B62" s="3468"/>
      <c r="C62" s="1064" t="s">
        <v>1503</v>
      </c>
      <c r="D62" s="1064" t="s">
        <v>1504</v>
      </c>
      <c r="E62" s="1135">
        <v>0.5</v>
      </c>
      <c r="F62" s="1150">
        <v>80</v>
      </c>
    </row>
    <row r="63" spans="1:8" s="1101" customFormat="1" ht="36">
      <c r="A63" s="1150">
        <v>3</v>
      </c>
      <c r="B63" s="3468"/>
      <c r="C63" s="1064" t="s">
        <v>1505</v>
      </c>
      <c r="D63" s="1064" t="s">
        <v>1506</v>
      </c>
      <c r="E63" s="1135">
        <v>0.5</v>
      </c>
      <c r="F63" s="1150">
        <v>80</v>
      </c>
    </row>
    <row r="64" spans="1:8" s="1101" customFormat="1" ht="36">
      <c r="A64" s="1150">
        <v>4</v>
      </c>
      <c r="B64" s="3468"/>
      <c r="C64" s="1064" t="s">
        <v>1507</v>
      </c>
      <c r="D64" s="1064" t="s">
        <v>1508</v>
      </c>
      <c r="E64" s="1135">
        <v>0.4</v>
      </c>
      <c r="F64" s="1150">
        <v>60</v>
      </c>
    </row>
    <row r="65" spans="1:6" s="1101" customFormat="1" ht="36">
      <c r="A65" s="1150">
        <v>5</v>
      </c>
      <c r="B65" s="3468"/>
      <c r="C65" s="1064" t="s">
        <v>1509</v>
      </c>
      <c r="D65" s="1064" t="s">
        <v>1510</v>
      </c>
      <c r="E65" s="1135">
        <v>0.2</v>
      </c>
      <c r="F65" s="1150">
        <v>30</v>
      </c>
    </row>
    <row r="66" spans="1:6" s="1101" customFormat="1" ht="36">
      <c r="A66" s="1150">
        <v>6</v>
      </c>
      <c r="B66" s="3468"/>
      <c r="C66" s="1064" t="s">
        <v>1511</v>
      </c>
      <c r="D66" s="1064" t="s">
        <v>1512</v>
      </c>
      <c r="E66" s="1135">
        <v>0.3</v>
      </c>
      <c r="F66" s="1150">
        <v>50</v>
      </c>
    </row>
    <row r="67" spans="1:6" s="1101" customFormat="1" ht="36">
      <c r="A67" s="1150">
        <v>7</v>
      </c>
      <c r="B67" s="3468"/>
      <c r="C67" s="1064" t="s">
        <v>1513</v>
      </c>
      <c r="D67" s="1064" t="s">
        <v>1514</v>
      </c>
      <c r="E67" s="1135">
        <v>0.2</v>
      </c>
      <c r="F67" s="1150">
        <v>30</v>
      </c>
    </row>
    <row r="68" spans="1:6" s="1101" customFormat="1" ht="36">
      <c r="A68" s="1150">
        <v>8</v>
      </c>
      <c r="B68" s="3468"/>
      <c r="C68" s="1064" t="s">
        <v>1515</v>
      </c>
      <c r="D68" s="1064" t="s">
        <v>1516</v>
      </c>
      <c r="E68" s="1135">
        <v>0.2</v>
      </c>
      <c r="F68" s="1150">
        <v>30</v>
      </c>
    </row>
    <row r="69" spans="1:6" s="1101" customFormat="1" ht="36">
      <c r="A69" s="1150">
        <v>9</v>
      </c>
      <c r="B69" s="3468"/>
      <c r="C69" s="1064" t="s">
        <v>1517</v>
      </c>
      <c r="D69" s="1064" t="s">
        <v>1518</v>
      </c>
      <c r="E69" s="1135">
        <v>0.2</v>
      </c>
      <c r="F69" s="1150">
        <v>30</v>
      </c>
    </row>
    <row r="70" spans="1:6" s="1101" customFormat="1" ht="48">
      <c r="A70" s="1150">
        <v>10</v>
      </c>
      <c r="B70" s="3468"/>
      <c r="C70" s="1064" t="s">
        <v>1519</v>
      </c>
      <c r="D70" s="1064" t="s">
        <v>1520</v>
      </c>
      <c r="E70" s="1135">
        <v>0.2</v>
      </c>
      <c r="F70" s="1150">
        <v>30</v>
      </c>
    </row>
    <row r="71" spans="1:6" s="1101" customFormat="1" ht="48">
      <c r="A71" s="1150">
        <v>11</v>
      </c>
      <c r="B71" s="3468"/>
      <c r="C71" s="1064" t="s">
        <v>1521</v>
      </c>
      <c r="D71" s="1064" t="s">
        <v>1522</v>
      </c>
      <c r="E71" s="1135">
        <v>0.2</v>
      </c>
      <c r="F71" s="1150">
        <v>30</v>
      </c>
    </row>
    <row r="72" spans="1:6" s="1101" customFormat="1" ht="36">
      <c r="A72" s="1150">
        <v>12</v>
      </c>
      <c r="B72" s="3468"/>
      <c r="C72" s="1064" t="s">
        <v>1523</v>
      </c>
      <c r="D72" s="1064" t="s">
        <v>1524</v>
      </c>
      <c r="E72" s="1135">
        <v>0.5</v>
      </c>
      <c r="F72" s="1150">
        <v>80</v>
      </c>
    </row>
    <row r="73" spans="1:6" s="1101" customFormat="1" ht="24">
      <c r="A73" s="1150">
        <v>13</v>
      </c>
      <c r="B73" s="3468"/>
      <c r="C73" s="1064" t="s">
        <v>1525</v>
      </c>
      <c r="D73" s="1064" t="s">
        <v>1526</v>
      </c>
      <c r="E73" s="1135">
        <v>0.4</v>
      </c>
      <c r="F73" s="1150">
        <v>60</v>
      </c>
    </row>
    <row r="74" spans="1:6" s="1101" customFormat="1" ht="24">
      <c r="A74" s="1150">
        <v>14</v>
      </c>
      <c r="B74" s="3468"/>
      <c r="C74" s="1064" t="s">
        <v>1527</v>
      </c>
      <c r="D74" s="1064" t="s">
        <v>1528</v>
      </c>
      <c r="E74" s="1135">
        <v>0.2</v>
      </c>
      <c r="F74" s="1150">
        <v>30</v>
      </c>
    </row>
    <row r="75" spans="1:6" s="1101" customFormat="1" ht="24">
      <c r="A75" s="1150">
        <v>15</v>
      </c>
      <c r="B75" s="3468"/>
      <c r="C75" s="1064" t="s">
        <v>1529</v>
      </c>
      <c r="D75" s="1064" t="s">
        <v>1530</v>
      </c>
      <c r="E75" s="1135">
        <v>0.2</v>
      </c>
      <c r="F75" s="1150">
        <v>30</v>
      </c>
    </row>
    <row r="76" spans="1:6" s="1101" customFormat="1" ht="24">
      <c r="A76" s="1150">
        <v>16</v>
      </c>
      <c r="B76" s="3468" t="s">
        <v>1531</v>
      </c>
      <c r="C76" s="1064" t="s">
        <v>1532</v>
      </c>
      <c r="D76" s="1064" t="s">
        <v>1533</v>
      </c>
      <c r="E76" s="1135">
        <v>0.5</v>
      </c>
      <c r="F76" s="1150">
        <v>80</v>
      </c>
    </row>
    <row r="77" spans="1:6" s="1101" customFormat="1" ht="24">
      <c r="A77" s="1150">
        <v>17</v>
      </c>
      <c r="B77" s="3468"/>
      <c r="C77" s="1064" t="s">
        <v>1534</v>
      </c>
      <c r="D77" s="1064" t="s">
        <v>1535</v>
      </c>
      <c r="E77" s="1135">
        <v>0.5</v>
      </c>
      <c r="F77" s="1150">
        <v>80</v>
      </c>
    </row>
    <row r="78" spans="1:6" s="1101" customFormat="1" ht="24">
      <c r="A78" s="1150">
        <v>18</v>
      </c>
      <c r="B78" s="3468"/>
      <c r="C78" s="1064" t="s">
        <v>1536</v>
      </c>
      <c r="D78" s="1064" t="s">
        <v>1537</v>
      </c>
      <c r="E78" s="1135">
        <v>0.2</v>
      </c>
      <c r="F78" s="1150">
        <v>30</v>
      </c>
    </row>
    <row r="79" spans="1:6" s="1101" customFormat="1" ht="24">
      <c r="A79" s="1150">
        <v>19</v>
      </c>
      <c r="B79" s="3468"/>
      <c r="C79" s="1064" t="s">
        <v>1538</v>
      </c>
      <c r="D79" s="1064" t="s">
        <v>1539</v>
      </c>
      <c r="E79" s="1135">
        <v>0.5</v>
      </c>
      <c r="F79" s="1150">
        <v>80</v>
      </c>
    </row>
    <row r="80" spans="1:6" s="1101" customFormat="1" ht="36">
      <c r="A80" s="1150">
        <v>20</v>
      </c>
      <c r="B80" s="3468"/>
      <c r="C80" s="1064" t="s">
        <v>1540</v>
      </c>
      <c r="D80" s="1064" t="s">
        <v>1541</v>
      </c>
      <c r="E80" s="1135">
        <v>0.2</v>
      </c>
      <c r="F80" s="1150">
        <v>30</v>
      </c>
    </row>
    <row r="81" spans="1:6" s="1101" customFormat="1" ht="36">
      <c r="A81" s="1150">
        <v>21</v>
      </c>
      <c r="B81" s="3468"/>
      <c r="C81" s="1064" t="s">
        <v>1542</v>
      </c>
      <c r="D81" s="1064" t="s">
        <v>1543</v>
      </c>
      <c r="E81" s="1135">
        <v>0.2</v>
      </c>
      <c r="F81" s="1150">
        <v>30</v>
      </c>
    </row>
    <row r="82" spans="1:6" s="1101" customFormat="1" ht="48">
      <c r="A82" s="1150">
        <v>22</v>
      </c>
      <c r="B82" s="3468"/>
      <c r="C82" s="1064" t="s">
        <v>1544</v>
      </c>
      <c r="D82" s="1064" t="s">
        <v>1545</v>
      </c>
      <c r="E82" s="1135">
        <v>0.2</v>
      </c>
      <c r="F82" s="1150">
        <v>30</v>
      </c>
    </row>
    <row r="83" spans="1:6" s="1101" customFormat="1" ht="48">
      <c r="A83" s="1150">
        <v>23</v>
      </c>
      <c r="B83" s="3468"/>
      <c r="C83" s="1064" t="s">
        <v>1546</v>
      </c>
      <c r="D83" s="1064" t="s">
        <v>1547</v>
      </c>
      <c r="E83" s="1135">
        <v>0.2</v>
      </c>
      <c r="F83" s="1150">
        <v>30</v>
      </c>
    </row>
    <row r="84" spans="1:6" s="1101" customFormat="1" ht="36">
      <c r="A84" s="1150">
        <v>24</v>
      </c>
      <c r="B84" s="3468"/>
      <c r="C84" s="1064" t="s">
        <v>1548</v>
      </c>
      <c r="D84" s="1064" t="s">
        <v>1549</v>
      </c>
      <c r="E84" s="1135">
        <v>0.2</v>
      </c>
      <c r="F84" s="1150">
        <v>30</v>
      </c>
    </row>
    <row r="85" spans="1:6" s="1101" customFormat="1" ht="36">
      <c r="A85" s="1150">
        <v>25</v>
      </c>
      <c r="B85" s="3468"/>
      <c r="C85" s="1064" t="s">
        <v>1550</v>
      </c>
      <c r="D85" s="1064" t="s">
        <v>1551</v>
      </c>
      <c r="E85" s="1135">
        <v>0.5</v>
      </c>
      <c r="F85" s="1150">
        <v>80</v>
      </c>
    </row>
    <row r="86" spans="1:6" s="1101" customFormat="1" ht="36">
      <c r="A86" s="1150">
        <v>26</v>
      </c>
      <c r="B86" s="3468"/>
      <c r="C86" s="1064" t="s">
        <v>1552</v>
      </c>
      <c r="D86" s="1064" t="s">
        <v>1553</v>
      </c>
      <c r="E86" s="1135">
        <v>0.2</v>
      </c>
      <c r="F86" s="1150">
        <v>30</v>
      </c>
    </row>
    <row r="87" spans="1:6" s="1101" customFormat="1" ht="36">
      <c r="A87" s="1150">
        <v>27</v>
      </c>
      <c r="B87" s="3468"/>
      <c r="C87" s="1064" t="s">
        <v>1554</v>
      </c>
      <c r="D87" s="1064" t="s">
        <v>1555</v>
      </c>
      <c r="E87" s="1135">
        <v>0.2</v>
      </c>
      <c r="F87" s="1150">
        <v>30</v>
      </c>
    </row>
    <row r="88" spans="1:6" s="1101" customFormat="1" ht="36">
      <c r="A88" s="1150">
        <v>28</v>
      </c>
      <c r="B88" s="3468"/>
      <c r="C88" s="1064" t="s">
        <v>1556</v>
      </c>
      <c r="D88" s="1064" t="s">
        <v>1557</v>
      </c>
      <c r="E88" s="1135">
        <v>0.2</v>
      </c>
      <c r="F88" s="1150">
        <v>30</v>
      </c>
    </row>
    <row r="89" spans="1:6" s="1101" customFormat="1" ht="24">
      <c r="A89" s="1150">
        <v>29</v>
      </c>
      <c r="B89" s="3468"/>
      <c r="C89" s="1064" t="s">
        <v>1558</v>
      </c>
      <c r="D89" s="1064" t="s">
        <v>1559</v>
      </c>
      <c r="E89" s="1135">
        <v>0.2</v>
      </c>
      <c r="F89" s="1150">
        <v>30</v>
      </c>
    </row>
    <row r="90" spans="1:6" s="1101" customFormat="1" ht="24">
      <c r="A90" s="1150">
        <v>30</v>
      </c>
      <c r="B90" s="3468"/>
      <c r="C90" s="1064" t="s">
        <v>1560</v>
      </c>
      <c r="D90" s="1064" t="s">
        <v>1561</v>
      </c>
      <c r="E90" s="1135">
        <v>0.2</v>
      </c>
      <c r="F90" s="1150">
        <v>30</v>
      </c>
    </row>
    <row r="91" spans="1:6" s="1101" customFormat="1" ht="36">
      <c r="A91" s="1150">
        <v>31</v>
      </c>
      <c r="B91" s="3468"/>
      <c r="C91" s="1064" t="s">
        <v>1562</v>
      </c>
      <c r="D91" s="1064" t="s">
        <v>1563</v>
      </c>
      <c r="E91" s="1135">
        <v>0.2</v>
      </c>
      <c r="F91" s="1150">
        <v>30</v>
      </c>
    </row>
    <row r="92" spans="1:6" s="1101" customFormat="1" ht="24">
      <c r="A92" s="1150">
        <v>32</v>
      </c>
      <c r="B92" s="3468" t="s">
        <v>1564</v>
      </c>
      <c r="C92" s="1150" t="s">
        <v>1565</v>
      </c>
      <c r="D92" s="1064" t="s">
        <v>1566</v>
      </c>
      <c r="E92" s="1135">
        <v>0.2</v>
      </c>
      <c r="F92" s="1150">
        <v>30</v>
      </c>
    </row>
    <row r="93" spans="1:6" s="1101" customFormat="1" ht="36">
      <c r="A93" s="1150">
        <v>33</v>
      </c>
      <c r="B93" s="3468"/>
      <c r="C93" s="1150" t="s">
        <v>1567</v>
      </c>
      <c r="D93" s="1064" t="s">
        <v>1568</v>
      </c>
      <c r="E93" s="1135">
        <v>0.2</v>
      </c>
      <c r="F93" s="1150">
        <v>30</v>
      </c>
    </row>
    <row r="94" spans="1:6" s="1101" customFormat="1" ht="48">
      <c r="A94" s="1150">
        <v>34</v>
      </c>
      <c r="B94" s="3468"/>
      <c r="C94" s="1150" t="s">
        <v>1569</v>
      </c>
      <c r="D94" s="1064" t="s">
        <v>1570</v>
      </c>
      <c r="E94" s="1135">
        <v>0.2</v>
      </c>
      <c r="F94" s="1150">
        <v>30</v>
      </c>
    </row>
    <row r="95" spans="1:6" s="1101" customFormat="1" ht="36">
      <c r="A95" s="1150">
        <v>35</v>
      </c>
      <c r="B95" s="3468"/>
      <c r="C95" s="1150" t="s">
        <v>1571</v>
      </c>
      <c r="D95" s="1064" t="s">
        <v>1572</v>
      </c>
      <c r="E95" s="1135">
        <v>0.2</v>
      </c>
      <c r="F95" s="1150">
        <v>30</v>
      </c>
    </row>
    <row r="96" spans="1:6" s="1101" customFormat="1" ht="48">
      <c r="A96" s="1150">
        <v>36</v>
      </c>
      <c r="B96" s="3468"/>
      <c r="C96" s="1064" t="s">
        <v>1573</v>
      </c>
      <c r="D96" s="1064" t="s">
        <v>1574</v>
      </c>
      <c r="E96" s="1135">
        <v>0.2</v>
      </c>
      <c r="F96" s="1150">
        <v>30</v>
      </c>
    </row>
    <row r="97" spans="1:6" s="1101" customFormat="1" ht="36">
      <c r="A97" s="1150">
        <v>37</v>
      </c>
      <c r="B97" s="3468"/>
      <c r="C97" s="1150" t="s">
        <v>1575</v>
      </c>
      <c r="D97" s="1064" t="s">
        <v>1576</v>
      </c>
      <c r="E97" s="1135">
        <v>0.2</v>
      </c>
      <c r="F97" s="1150">
        <v>30</v>
      </c>
    </row>
    <row r="98" spans="1:6" s="1101" customFormat="1" ht="36">
      <c r="A98" s="1150">
        <v>38</v>
      </c>
      <c r="B98" s="3468"/>
      <c r="C98" s="1150" t="s">
        <v>1577</v>
      </c>
      <c r="D98" s="1064" t="s">
        <v>1578</v>
      </c>
      <c r="E98" s="1135">
        <v>0.2</v>
      </c>
      <c r="F98" s="1150">
        <v>30</v>
      </c>
    </row>
    <row r="99" spans="1:6" s="1101" customFormat="1" ht="36">
      <c r="A99" s="1150">
        <v>39</v>
      </c>
      <c r="B99" s="3468" t="s">
        <v>1579</v>
      </c>
      <c r="C99" s="1150" t="s">
        <v>1580</v>
      </c>
      <c r="D99" s="1064" t="s">
        <v>1581</v>
      </c>
      <c r="E99" s="1135">
        <v>0.3</v>
      </c>
      <c r="F99" s="1150">
        <v>50</v>
      </c>
    </row>
    <row r="100" spans="1:6" s="1101" customFormat="1" ht="24">
      <c r="A100" s="1150">
        <v>40</v>
      </c>
      <c r="B100" s="3468"/>
      <c r="C100" s="1150" t="s">
        <v>1582</v>
      </c>
      <c r="D100" s="1064" t="s">
        <v>1583</v>
      </c>
      <c r="E100" s="1135">
        <v>0.2</v>
      </c>
      <c r="F100" s="1150">
        <v>30</v>
      </c>
    </row>
    <row r="101" spans="1:6" s="1101" customFormat="1" ht="36">
      <c r="A101" s="1150">
        <v>41</v>
      </c>
      <c r="B101" s="346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8" t="s">
        <v>1594</v>
      </c>
      <c r="C105" s="1150" t="s">
        <v>1595</v>
      </c>
      <c r="D105" s="1064" t="s">
        <v>1596</v>
      </c>
      <c r="E105" s="1135">
        <v>0.2</v>
      </c>
      <c r="F105" s="1150">
        <v>30</v>
      </c>
    </row>
    <row r="106" spans="1:6" s="1101" customFormat="1" ht="36">
      <c r="A106" s="1150">
        <v>46</v>
      </c>
      <c r="B106" s="3468"/>
      <c r="C106" s="1150" t="s">
        <v>1597</v>
      </c>
      <c r="D106" s="1064" t="s">
        <v>1598</v>
      </c>
      <c r="E106" s="1135">
        <v>0.2</v>
      </c>
      <c r="F106" s="1150">
        <v>30</v>
      </c>
    </row>
    <row r="107" spans="1:6" s="1101" customFormat="1" ht="36">
      <c r="A107" s="1150">
        <v>47</v>
      </c>
      <c r="B107" s="3468" t="s">
        <v>1599</v>
      </c>
      <c r="C107" s="1150" t="s">
        <v>1600</v>
      </c>
      <c r="D107" s="1064" t="s">
        <v>1601</v>
      </c>
      <c r="E107" s="1135">
        <v>0.3</v>
      </c>
      <c r="F107" s="1150">
        <v>50</v>
      </c>
    </row>
    <row r="108" spans="1:6" s="1101" customFormat="1" ht="36">
      <c r="A108" s="1150">
        <v>48</v>
      </c>
      <c r="B108" s="346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8" t="s">
        <v>1610</v>
      </c>
      <c r="C111" s="1150" t="s">
        <v>1611</v>
      </c>
      <c r="D111" s="1064" t="s">
        <v>1612</v>
      </c>
      <c r="E111" s="1135">
        <v>0.2</v>
      </c>
      <c r="F111" s="1150">
        <v>30</v>
      </c>
    </row>
    <row r="112" spans="1:6" s="1101" customFormat="1" ht="24">
      <c r="A112" s="1150">
        <v>52</v>
      </c>
      <c r="B112" s="3468"/>
      <c r="C112" s="1150" t="s">
        <v>1613</v>
      </c>
      <c r="D112" s="1064" t="s">
        <v>1614</v>
      </c>
      <c r="E112" s="1135">
        <v>0.2</v>
      </c>
      <c r="F112" s="1150">
        <v>30</v>
      </c>
    </row>
    <row r="113" spans="1:14" s="1101" customFormat="1" ht="24">
      <c r="A113" s="1150">
        <v>53</v>
      </c>
      <c r="B113" s="346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8" t="s">
        <v>1623</v>
      </c>
      <c r="C116" s="1150" t="s">
        <v>1624</v>
      </c>
      <c r="D116" s="1064" t="s">
        <v>1625</v>
      </c>
      <c r="E116" s="1135">
        <v>0.2</v>
      </c>
      <c r="F116" s="1150">
        <v>30</v>
      </c>
    </row>
    <row r="117" spans="1:14" ht="36">
      <c r="A117" s="1150">
        <v>57</v>
      </c>
      <c r="B117" s="346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7" t="s">
        <v>1632</v>
      </c>
      <c r="B121" s="3467"/>
      <c r="C121" s="3467"/>
      <c r="D121" s="3467"/>
      <c r="E121" s="3467"/>
      <c r="F121" s="3467"/>
      <c r="G121" s="3467"/>
      <c r="H121" s="3467"/>
      <c r="I121" s="3467"/>
      <c r="J121" s="346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2" t="s">
        <v>1038</v>
      </c>
      <c r="B1" s="3472"/>
      <c r="C1" s="3472"/>
      <c r="D1" s="3472"/>
      <c r="E1" s="3472"/>
      <c r="F1" s="347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3" t="s">
        <v>1051</v>
      </c>
      <c r="B2" s="3473"/>
      <c r="C2" s="3473"/>
      <c r="D2" s="3473"/>
      <c r="E2" s="3473"/>
      <c r="F2" s="347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76" t="s">
        <v>2078</v>
      </c>
      <c r="B1" s="3476"/>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4" t="s">
        <v>2574</v>
      </c>
      <c r="C1" s="3484"/>
      <c r="D1" s="3484"/>
      <c r="E1" s="3484"/>
      <c r="F1" s="3484"/>
      <c r="G1" s="3483" t="s">
        <v>2575</v>
      </c>
      <c r="H1" s="3483"/>
      <c r="I1" s="3483"/>
      <c r="J1" s="3483"/>
      <c r="K1" s="3483"/>
      <c r="L1" s="3483"/>
      <c r="N1" s="3483" t="s">
        <v>2576</v>
      </c>
      <c r="O1" s="3483"/>
      <c r="P1" s="3483"/>
      <c r="Q1" s="3483"/>
      <c r="R1" s="2617"/>
      <c r="S1" s="3483" t="s">
        <v>2577</v>
      </c>
      <c r="T1" s="3483"/>
      <c r="U1" s="3483"/>
      <c r="V1" s="3483"/>
      <c r="X1" s="3482" t="s">
        <v>2637</v>
      </c>
      <c r="Y1" s="3483"/>
      <c r="Z1" s="3483"/>
      <c r="AA1" s="3483"/>
      <c r="AB1" s="3483"/>
      <c r="AD1" s="3482" t="s">
        <v>2641</v>
      </c>
      <c r="AE1" s="3483"/>
      <c r="AF1" s="3483"/>
      <c r="AG1" s="3483"/>
      <c r="AH1" s="3483"/>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78">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78"/>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78"/>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79"/>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7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78"/>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78"/>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79"/>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7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78"/>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78"/>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8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78"/>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78"/>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8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78"/>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78"/>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85">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6"/>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6"/>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7"/>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8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78"/>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78"/>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8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8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78">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78">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8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78">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78">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8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78">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78">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8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78">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78">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8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78">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78">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8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78">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78">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8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78">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78">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8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78">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78">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80">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78">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78">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81">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80">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78">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78">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81">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本次估价对象为出让国有建设用地使用权，《国有土地使用证》[]证载土地终止日期为住宅2087年9月25日、商业2057年9月25日车库2066年9月25日。截至估价期日，出让国有建设用地使用权剩余土地使用年限为。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9" t="s">
        <v>2461</v>
      </c>
      <c r="C8" s="1809">
        <f ca="1">ROUND(F8*F10*F9*(1-F11)/10000,0)</f>
        <v>0</v>
      </c>
      <c r="D8" s="1806" t="s">
        <v>2532</v>
      </c>
      <c r="E8" s="61" t="s">
        <v>636</v>
      </c>
      <c r="F8" s="785">
        <f ca="1">INDIRECT("'数据-取费表'!u"&amp;$G$1)</f>
        <v>0</v>
      </c>
      <c r="G8" s="1577"/>
      <c r="H8" s="2467" t="s">
        <v>1823</v>
      </c>
      <c r="I8" s="3489" t="s">
        <v>2461</v>
      </c>
      <c r="J8" s="783">
        <f ca="1">ROUND(M8*M10*M9*(1-M11)/10000,0)</f>
        <v>0</v>
      </c>
      <c r="K8" s="341" t="s">
        <v>2532</v>
      </c>
      <c r="L8" s="784" t="s">
        <v>1737</v>
      </c>
      <c r="M8" s="785">
        <f ca="1">INDIRECT("'数据-取费表'!z"&amp;$G$1)</f>
        <v>0</v>
      </c>
    </row>
    <row r="9" spans="1:25" ht="18" customHeight="1">
      <c r="A9" s="2463"/>
      <c r="B9" s="3490"/>
      <c r="C9" s="1810"/>
      <c r="D9" s="1807"/>
      <c r="E9" s="61" t="s">
        <v>637</v>
      </c>
      <c r="F9" s="785">
        <f ca="1">IF(INDIRECT("'数据-取费表'!ah"&amp;$G$1)="",INDIRECT("'数据-取费表'!k"&amp;$G$1),INDIRECT("'数据-取费表'!ah"&amp;$G$1))</f>
        <v>0</v>
      </c>
      <c r="G9" s="1577"/>
      <c r="H9" s="2452"/>
      <c r="I9" s="3490"/>
      <c r="J9" s="788"/>
      <c r="K9" s="789"/>
      <c r="L9" s="784" t="s">
        <v>1738</v>
      </c>
      <c r="M9" s="785">
        <f ca="1">F9</f>
        <v>0</v>
      </c>
    </row>
    <row r="10" spans="1:25" ht="18" customHeight="1">
      <c r="A10" s="2456"/>
      <c r="B10" s="3491"/>
      <c r="C10" s="1810"/>
      <c r="D10" s="1807"/>
      <c r="E10" s="61" t="s">
        <v>638</v>
      </c>
      <c r="F10" s="785">
        <f ca="1">INDIRECT("'数据-取费表'!ai"&amp;$G$1)</f>
        <v>0</v>
      </c>
      <c r="G10" s="1577"/>
      <c r="H10" s="2452"/>
      <c r="I10" s="3491"/>
      <c r="J10" s="788"/>
      <c r="K10" s="789"/>
      <c r="L10" s="784" t="s">
        <v>1739</v>
      </c>
      <c r="M10" s="785">
        <f ca="1">INDIRECT("'数据-取费表'!ai"&amp;$G$1)</f>
        <v>0</v>
      </c>
    </row>
    <row r="11" spans="1:25" ht="18" customHeight="1">
      <c r="A11" s="786"/>
      <c r="B11" s="3492"/>
      <c r="C11" s="1810"/>
      <c r="D11" s="1807"/>
      <c r="E11" s="61" t="s">
        <v>639</v>
      </c>
      <c r="F11" s="794">
        <f ca="1">INDIRECT("'数据-取费表'!w"&amp;$G$1)</f>
        <v>0</v>
      </c>
      <c r="G11" s="1577"/>
      <c r="H11" s="2468"/>
      <c r="I11" s="3491"/>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8"/>
      <c r="J36" s="2063"/>
      <c r="K36" s="2064"/>
      <c r="L36" s="2063"/>
      <c r="M36" s="2063"/>
    </row>
    <row r="37" spans="1:18" ht="18" customHeight="1">
      <c r="A37" s="815"/>
      <c r="B37" s="793"/>
      <c r="C37" s="69"/>
      <c r="D37" s="816"/>
      <c r="E37" s="784" t="s">
        <v>673</v>
      </c>
      <c r="F37" s="785">
        <f ca="1">INDIRECT("'数据-取费表'!r"&amp;$G$1)</f>
        <v>0</v>
      </c>
      <c r="G37" s="2046"/>
      <c r="H37" s="2049"/>
      <c r="I37" s="3488"/>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93"/>
      <c r="L54" s="3494"/>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130" zoomScaleNormal="130" workbookViewId="0">
      <selection activeCell="F7" sqref="F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3234</v>
      </c>
      <c r="E1" s="2350" t="s">
        <v>2373</v>
      </c>
      <c r="F1" s="2351">
        <f ca="1">J53</f>
        <v>35.31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10980</v>
      </c>
      <c r="C2" s="2041"/>
      <c r="D2" s="2039"/>
      <c r="E2" s="2040"/>
      <c r="F2" s="2040"/>
      <c r="G2" s="1575"/>
      <c r="H2" s="2041"/>
      <c r="I2" s="2041"/>
      <c r="J2" s="2041"/>
      <c r="K2" s="2042"/>
      <c r="L2" s="2041"/>
      <c r="M2" s="2041"/>
    </row>
    <row r="3" spans="1:33" ht="18" customHeight="1" thickBot="1">
      <c r="A3" s="833" t="s">
        <v>1726</v>
      </c>
      <c r="B3" s="834">
        <f ca="1">IF(ISERROR(B2*10000/F43),0,ROUND(B2*10000/F43,0))</f>
        <v>6974</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874</v>
      </c>
      <c r="D5" s="2459" t="s">
        <v>2459</v>
      </c>
      <c r="E5" s="2453"/>
      <c r="F5" s="2454"/>
      <c r="G5" s="1577"/>
      <c r="H5" s="781">
        <v>1</v>
      </c>
      <c r="I5" s="782" t="s">
        <v>2456</v>
      </c>
      <c r="J5" s="55">
        <f ca="1">J6+J10+J12</f>
        <v>0</v>
      </c>
      <c r="K5" s="2459" t="s">
        <v>2459</v>
      </c>
      <c r="L5" s="2453"/>
      <c r="M5" s="2454"/>
    </row>
    <row r="6" spans="1:33" ht="18" customHeight="1">
      <c r="A6" s="1814" t="s">
        <v>1823</v>
      </c>
      <c r="B6" s="3489" t="s">
        <v>2461</v>
      </c>
      <c r="C6" s="783">
        <f ca="1">ROUND(F6*F8*F7*(1-F9)/10000,0)</f>
        <v>873</v>
      </c>
      <c r="D6" s="2460" t="s">
        <v>2460</v>
      </c>
      <c r="E6" s="784" t="s">
        <v>1737</v>
      </c>
      <c r="F6" s="785">
        <f ca="1">INDIRECT("'数据-取费表'!u"&amp;$G$1)</f>
        <v>1.9</v>
      </c>
      <c r="G6" s="1577"/>
      <c r="H6" s="2467" t="s">
        <v>2466</v>
      </c>
      <c r="I6" s="3489" t="s">
        <v>2461</v>
      </c>
      <c r="J6" s="783">
        <f ca="1">ROUND(M6*M8*M7*(1-M9)/10000,0)</f>
        <v>0</v>
      </c>
      <c r="K6" s="341" t="s">
        <v>1736</v>
      </c>
      <c r="L6" s="784" t="s">
        <v>1737</v>
      </c>
      <c r="M6" s="785">
        <f ca="1">INDIRECT("'数据-取费表'!z"&amp;$G$1)</f>
        <v>0</v>
      </c>
    </row>
    <row r="7" spans="1:33" ht="18" customHeight="1">
      <c r="A7" s="2463"/>
      <c r="B7" s="3490"/>
      <c r="C7" s="788"/>
      <c r="D7" s="789"/>
      <c r="E7" s="784" t="s">
        <v>1738</v>
      </c>
      <c r="F7" s="785">
        <f ca="1">IF(INDIRECT("'数据-取费表'!ah"&amp;$G$1)="",INDIRECT("'数据-取费表'!k"&amp;$G$1),INDIRECT("'数据-取费表'!ah"&amp;$G$1))</f>
        <v>15744.353599999973</v>
      </c>
      <c r="G7" s="1577"/>
      <c r="H7" s="2452"/>
      <c r="I7" s="3490"/>
      <c r="J7" s="788"/>
      <c r="K7" s="789"/>
      <c r="L7" s="784" t="s">
        <v>1738</v>
      </c>
      <c r="M7" s="785">
        <f ca="1">F7</f>
        <v>15744.353599999973</v>
      </c>
    </row>
    <row r="8" spans="1:33" ht="18" customHeight="1">
      <c r="A8" s="2456"/>
      <c r="B8" s="3491"/>
      <c r="C8" s="788"/>
      <c r="D8" s="789"/>
      <c r="E8" s="784" t="s">
        <v>1739</v>
      </c>
      <c r="F8" s="785">
        <f ca="1">INDIRECT("'数据-取费表'!ai"&amp;$G$1)</f>
        <v>365</v>
      </c>
      <c r="G8" s="1577"/>
      <c r="H8" s="2452"/>
      <c r="I8" s="3491"/>
      <c r="J8" s="788"/>
      <c r="K8" s="789"/>
      <c r="L8" s="784" t="s">
        <v>1739</v>
      </c>
      <c r="M8" s="785">
        <f ca="1">INDIRECT("'数据-取费表'!ai"&amp;$G$1)</f>
        <v>365</v>
      </c>
    </row>
    <row r="9" spans="1:33" ht="18" customHeight="1">
      <c r="A9" s="786"/>
      <c r="B9" s="3492"/>
      <c r="C9" s="788"/>
      <c r="D9" s="789"/>
      <c r="E9" s="784" t="s">
        <v>1740</v>
      </c>
      <c r="F9" s="794">
        <f ca="1">INDIRECT("'数据-取费表'!w"&amp;$G$1)</f>
        <v>0.2</v>
      </c>
      <c r="G9" s="1577"/>
      <c r="H9" s="2468"/>
      <c r="I9" s="3491"/>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6681</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3936</v>
      </c>
      <c r="D14" s="1963" t="s">
        <v>1744</v>
      </c>
      <c r="E14" s="1964"/>
      <c r="F14" s="805"/>
      <c r="G14" s="1577"/>
      <c r="H14" s="1633" t="s">
        <v>1829</v>
      </c>
      <c r="I14" s="2215" t="s">
        <v>2824</v>
      </c>
      <c r="J14" s="53">
        <f ca="1">C29</f>
        <v>6681</v>
      </c>
      <c r="K14" s="26"/>
      <c r="L14" s="801"/>
      <c r="M14" s="802"/>
    </row>
    <row r="15" spans="1:33" s="2048" customFormat="1" ht="18" customHeight="1" thickBot="1">
      <c r="A15" s="1632" t="s">
        <v>1884</v>
      </c>
      <c r="B15" s="784" t="s">
        <v>646</v>
      </c>
      <c r="C15" s="53">
        <f ca="1">ROUND(C14*F15,0)</f>
        <v>157</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701</v>
      </c>
      <c r="K16" s="1805" t="s">
        <v>1749</v>
      </c>
      <c r="L16" s="2449"/>
      <c r="M16" s="2454"/>
    </row>
    <row r="17" spans="1:33" s="2048" customFormat="1" ht="18" customHeight="1">
      <c r="A17" s="1632" t="s">
        <v>1886</v>
      </c>
      <c r="B17" s="784" t="s">
        <v>652</v>
      </c>
      <c r="C17" s="53">
        <f ca="1">ROUND(F17*(F43+INDIRECT("'数据-取费表'!S"&amp;$G$1))/10000,0)</f>
        <v>236</v>
      </c>
      <c r="D17" s="784" t="s">
        <v>1750</v>
      </c>
      <c r="E17" s="784" t="s">
        <v>1751</v>
      </c>
      <c r="F17" s="56">
        <f>'数据-取费表'!B35</f>
        <v>150</v>
      </c>
      <c r="G17" s="1578"/>
      <c r="H17" s="1633" t="s">
        <v>1829</v>
      </c>
      <c r="I17" s="784" t="s">
        <v>655</v>
      </c>
      <c r="J17" s="53">
        <f ca="1">ROUND(IF(项目基本情况!B11="自然人",J5*M17,J18+J19+J20),0)</f>
        <v>567</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59</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4388</v>
      </c>
      <c r="D19" s="261" t="s">
        <v>1756</v>
      </c>
      <c r="E19" s="1966"/>
      <c r="F19" s="56"/>
      <c r="G19" s="1577"/>
      <c r="H19" s="1632" t="s">
        <v>1884</v>
      </c>
      <c r="I19" s="784" t="s">
        <v>1757</v>
      </c>
      <c r="J19" s="53">
        <f ca="1">IF(K19="按租金收入计税",ROUND(J5*M19,1),ROUND(C29*F33*0.7,1))</f>
        <v>561.20000000000005</v>
      </c>
      <c r="K19" s="811" t="s">
        <v>664</v>
      </c>
      <c r="L19" s="784" t="s">
        <v>1746</v>
      </c>
      <c r="M19" s="809">
        <f>IF(K19="按租金收入计税",'数据-取费表'!B51,'数据-取费表'!B50)</f>
        <v>1.2E-2</v>
      </c>
    </row>
    <row r="20" spans="1:33" s="2048" customFormat="1" ht="18" customHeight="1">
      <c r="A20" s="1633" t="s">
        <v>1888</v>
      </c>
      <c r="B20" s="784" t="s">
        <v>665</v>
      </c>
      <c r="C20" s="53">
        <f ca="1">ROUND(C19*F20,0)</f>
        <v>88</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3522.97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134</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323</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-701</v>
      </c>
      <c r="K25" s="2511" t="s">
        <v>1776</v>
      </c>
      <c r="L25" s="2512"/>
      <c r="M25" s="2513"/>
    </row>
    <row r="26" spans="1:33" ht="18" customHeight="1">
      <c r="A26" s="1632" t="s">
        <v>1830</v>
      </c>
      <c r="B26" s="784" t="s">
        <v>2437</v>
      </c>
      <c r="C26" s="53">
        <f ca="1">ROUND((C19+C20)*F26,0)</f>
        <v>1343</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6681</v>
      </c>
      <c r="D29" s="2508"/>
      <c r="E29" s="2509"/>
      <c r="F29" s="2510"/>
      <c r="G29" s="1578"/>
      <c r="H29" s="823" t="s">
        <v>1786</v>
      </c>
      <c r="I29" s="824" t="s">
        <v>1787</v>
      </c>
      <c r="J29" s="825">
        <f ca="1">ROUND(J26/(1+F40)^F41,0)</f>
        <v>0</v>
      </c>
      <c r="K29" s="826" t="s">
        <v>1788</v>
      </c>
      <c r="L29" s="827"/>
      <c r="M29" s="828">
        <f ca="1">INDIRECT("'数据-取费表'!k"&amp;$G$1)</f>
        <v>15744.353599999973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322</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157.1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46.6</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104.9</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5.6</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3522.97</v>
      </c>
      <c r="G35" s="2046"/>
      <c r="H35" s="2049"/>
      <c r="I35" s="837" t="s">
        <v>1813</v>
      </c>
      <c r="J35" s="838">
        <f ca="1">ROUND(C13*J36,0)</f>
        <v>568</v>
      </c>
      <c r="K35" s="2062"/>
      <c r="L35" s="2061"/>
      <c r="M35" s="2061"/>
    </row>
    <row r="36" spans="1:18" ht="18" customHeight="1">
      <c r="A36" s="1633" t="s">
        <v>1888</v>
      </c>
      <c r="B36" s="784" t="s">
        <v>1801</v>
      </c>
      <c r="C36" s="53">
        <f ca="1">ROUND(C29*F36,1)</f>
        <v>133.6</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13.4</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17.5</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552</v>
      </c>
      <c r="D39" s="2511" t="s">
        <v>1805</v>
      </c>
      <c r="E39" s="2512"/>
      <c r="F39" s="2513"/>
      <c r="G39" s="2046"/>
      <c r="H39" s="2061"/>
      <c r="I39" s="837" t="s">
        <v>1817</v>
      </c>
      <c r="J39" s="845">
        <f ca="1">ROUND(J35/C39,3)</f>
        <v>1.0289999999999999</v>
      </c>
      <c r="K39" s="2067"/>
      <c r="L39" s="2061"/>
      <c r="M39" s="2061"/>
    </row>
    <row r="40" spans="1:18" ht="18" customHeight="1">
      <c r="A40" s="781" t="s">
        <v>1894</v>
      </c>
      <c r="B40" s="2216" t="s">
        <v>2300</v>
      </c>
      <c r="C40" s="783">
        <f ca="1">ROUND(C39*(1-((1+F42)/(1+F40))^F41)/(F40-F42),0)</f>
        <v>10980</v>
      </c>
      <c r="D40" s="814" t="s">
        <v>1806</v>
      </c>
      <c r="E40" s="784" t="s">
        <v>2418</v>
      </c>
      <c r="F40" s="794">
        <f ca="1">INDIRECT("'数据-取费表'!I"&amp;$G$1)</f>
        <v>5.5E-2</v>
      </c>
      <c r="G40" s="2046"/>
      <c r="H40" s="2046"/>
      <c r="I40" s="837" t="s">
        <v>1818</v>
      </c>
      <c r="J40" s="845">
        <f ca="1">1-J39</f>
        <v>-2.8999999999999915E-2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35.31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0.60799999999999998</v>
      </c>
      <c r="K42" s="2066"/>
      <c r="L42" s="1972"/>
      <c r="M42" s="1972"/>
    </row>
    <row r="43" spans="1:18" ht="18" customHeight="1" thickBot="1">
      <c r="A43" s="823" t="s">
        <v>1786</v>
      </c>
      <c r="B43" s="824" t="s">
        <v>1809</v>
      </c>
      <c r="C43" s="825">
        <f ca="1">ROUND(C40*10000/F43,0)</f>
        <v>6974</v>
      </c>
      <c r="D43" s="826" t="s">
        <v>1810</v>
      </c>
      <c r="E43" s="827" t="s">
        <v>1811</v>
      </c>
      <c r="F43" s="828">
        <f ca="1">INDIRECT("'数据-取费表'!k"&amp;$G$1)</f>
        <v>15744.353599999973</v>
      </c>
      <c r="G43" s="2046"/>
      <c r="H43" s="1972"/>
      <c r="I43" s="847" t="s">
        <v>1821</v>
      </c>
      <c r="J43" s="848">
        <f ca="1">1-J42</f>
        <v>0.39200000000000002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-13342</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38.31</v>
      </c>
      <c r="O48" s="2361" t="s">
        <v>2378</v>
      </c>
      <c r="P48" s="2362" t="s">
        <v>2404</v>
      </c>
      <c r="Q48" s="2363">
        <f ca="1">C40+J29</f>
        <v>10980</v>
      </c>
      <c r="R48" s="2362" t="s">
        <v>2379</v>
      </c>
    </row>
    <row r="49" spans="1:18" s="2043" customFormat="1" ht="18" customHeight="1" thickBot="1">
      <c r="A49" s="786"/>
      <c r="B49" s="787"/>
      <c r="C49" s="788"/>
      <c r="D49" s="789"/>
      <c r="E49" s="784" t="s">
        <v>1738</v>
      </c>
      <c r="F49" s="785">
        <f ca="1">F7</f>
        <v>15744.353599999973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6681</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-269</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35.31</v>
      </c>
      <c r="K53" s="3495" t="s">
        <v>2956</v>
      </c>
      <c r="L53" s="3496"/>
      <c r="O53" s="2364" t="s">
        <v>2387</v>
      </c>
      <c r="P53" s="2362" t="s">
        <v>2388</v>
      </c>
      <c r="Q53" s="2363">
        <f ca="1">J53</f>
        <v>35.31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10980</v>
      </c>
      <c r="R54" s="2366" t="s">
        <v>2391</v>
      </c>
    </row>
    <row r="55" spans="1:18" s="2043" customFormat="1" ht="18" customHeight="1" thickTop="1" thickBot="1">
      <c r="A55" s="797">
        <v>2</v>
      </c>
      <c r="B55" s="798" t="s">
        <v>643</v>
      </c>
      <c r="C55" s="799">
        <f ca="1">C13</f>
        <v>6681</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6681</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153</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10980</v>
      </c>
      <c r="R57" s="2362" t="s">
        <v>2379</v>
      </c>
    </row>
    <row r="58" spans="1:18" s="2043" customFormat="1" ht="28.5" customHeight="1" thickBot="1">
      <c r="A58" s="1633" t="s">
        <v>1823</v>
      </c>
      <c r="B58" s="784" t="s">
        <v>655</v>
      </c>
      <c r="C58" s="53">
        <f ca="1">ROUND(IF(项目基本情况!B11="自然人",C47*F58,C59+C60+C61),1)</f>
        <v>5.6</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5.6</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3522.97</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5.75" thickBot="1">
      <c r="A63" s="1633" t="s">
        <v>1888</v>
      </c>
      <c r="B63" s="784" t="s">
        <v>675</v>
      </c>
      <c r="C63" s="53">
        <f ca="1">ROUND(C56*F63,1)</f>
        <v>133.6</v>
      </c>
      <c r="D63" s="2602" t="s">
        <v>1802</v>
      </c>
      <c r="E63" s="784" t="s">
        <v>1746</v>
      </c>
      <c r="F63" s="817">
        <f t="shared" ca="1" si="0"/>
        <v>0.02</v>
      </c>
      <c r="I63" s="3120" t="s">
        <v>2369</v>
      </c>
      <c r="J63" s="3121">
        <v>70</v>
      </c>
      <c r="K63" s="3121">
        <v>50</v>
      </c>
      <c r="L63" s="3121">
        <v>80</v>
      </c>
      <c r="M63" s="3123">
        <v>0.02</v>
      </c>
      <c r="O63" s="2361" t="s">
        <v>2390</v>
      </c>
      <c r="P63" s="2362" t="s">
        <v>2407</v>
      </c>
      <c r="Q63" s="2363">
        <f ca="1">Q57+Q58</f>
        <v>10980</v>
      </c>
      <c r="R63" s="2366" t="s">
        <v>2391</v>
      </c>
    </row>
    <row r="64" spans="1:18" s="2043" customFormat="1" ht="16.5" thickBot="1">
      <c r="A64" s="1633" t="s">
        <v>1889</v>
      </c>
      <c r="B64" s="784" t="s">
        <v>678</v>
      </c>
      <c r="C64" s="53">
        <f ca="1">ROUND(C55*F64,1)</f>
        <v>13.4</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-153</v>
      </c>
      <c r="D66" s="2601" t="s">
        <v>699</v>
      </c>
      <c r="E66" s="2600"/>
      <c r="F66" s="820"/>
      <c r="K66" s="2070"/>
      <c r="O66" s="2361" t="s">
        <v>2378</v>
      </c>
      <c r="P66" s="2362" t="s">
        <v>2408</v>
      </c>
      <c r="Q66" s="2363">
        <f ca="1">C40+J29</f>
        <v>10980</v>
      </c>
      <c r="R66" s="2362" t="s">
        <v>2379</v>
      </c>
    </row>
    <row r="67" spans="1:18" s="2043" customFormat="1" ht="20.25" thickBot="1">
      <c r="A67" s="781" t="s">
        <v>1779</v>
      </c>
      <c r="B67" s="2216" t="s">
        <v>2300</v>
      </c>
      <c r="C67" s="783">
        <f ca="1">ROUND(C66*(1-((1+F69)/(1+F67))^F68)/(F67-F69),0)</f>
        <v>-2362</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35.31</v>
      </c>
      <c r="O68" s="2364" t="s">
        <v>2382</v>
      </c>
      <c r="P68" s="2362" t="s">
        <v>2412</v>
      </c>
      <c r="Q68" s="2368">
        <f ca="1">L51</f>
        <v>-269</v>
      </c>
      <c r="R68" s="2369" t="s">
        <v>2415</v>
      </c>
    </row>
    <row r="69" spans="1:18" ht="20.25" thickBot="1">
      <c r="A69" s="790"/>
      <c r="B69" s="791"/>
      <c r="C69" s="792"/>
      <c r="D69" s="816"/>
      <c r="E69" s="784" t="s">
        <v>709</v>
      </c>
      <c r="F69" s="2334"/>
      <c r="O69" s="2364" t="s">
        <v>2383</v>
      </c>
      <c r="P69" s="2370" t="s">
        <v>2397</v>
      </c>
      <c r="Q69" s="2363">
        <f ca="1">ROUND(Q70-Q71*Q72,0)</f>
        <v>-16</v>
      </c>
      <c r="R69" s="2366"/>
    </row>
    <row r="70" spans="1:18" ht="15.75" thickBot="1">
      <c r="A70" s="823" t="s">
        <v>1786</v>
      </c>
      <c r="B70" s="824" t="s">
        <v>1809</v>
      </c>
      <c r="C70" s="825">
        <f ca="1">ROUND(C67*10000/F70,0)</f>
        <v>-1500</v>
      </c>
      <c r="D70" s="826" t="s">
        <v>1810</v>
      </c>
      <c r="E70" s="827" t="s">
        <v>1811</v>
      </c>
      <c r="F70" s="828">
        <f ca="1">F43</f>
        <v>15744.353599999973</v>
      </c>
      <c r="O70" s="2364" t="s">
        <v>2398</v>
      </c>
      <c r="P70" s="2370" t="s">
        <v>2399</v>
      </c>
      <c r="Q70" s="2363">
        <f ca="1">C39</f>
        <v>552</v>
      </c>
      <c r="R70" s="2362" t="s">
        <v>2379</v>
      </c>
    </row>
    <row r="71" spans="1:18" ht="15.75" thickBot="1">
      <c r="O71" s="2364" t="s">
        <v>2400</v>
      </c>
      <c r="P71" s="2370" t="s">
        <v>2401</v>
      </c>
      <c r="Q71" s="2363">
        <f ca="1">C13</f>
        <v>6681</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10980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9" t="s">
        <v>2461</v>
      </c>
      <c r="C6" s="783" t="e">
        <f ca="1">ROUND(F6*F8*F7*(1-F9)/10000,0)</f>
        <v>#N/A</v>
      </c>
      <c r="D6" s="2460" t="s">
        <v>2460</v>
      </c>
      <c r="E6" s="784" t="s">
        <v>636</v>
      </c>
      <c r="F6" s="785" t="e">
        <f ca="1">INDIRECT("'数据-取费表'!u"&amp;$G$1)</f>
        <v>#N/A</v>
      </c>
      <c r="G6" s="1577"/>
      <c r="H6" s="2467" t="s">
        <v>1823</v>
      </c>
      <c r="I6" s="3489" t="s">
        <v>2461</v>
      </c>
      <c r="J6" s="783" t="e">
        <f ca="1">ROUND(M6*M8*M7*(1-M9)/10000,0)</f>
        <v>#N/A</v>
      </c>
      <c r="K6" s="341" t="s">
        <v>635</v>
      </c>
      <c r="L6" s="784" t="s">
        <v>636</v>
      </c>
      <c r="M6" s="785" t="e">
        <f ca="1">INDIRECT("'数据-取费表'!z"&amp;$G$1)</f>
        <v>#N/A</v>
      </c>
    </row>
    <row r="7" spans="1:33" ht="18" customHeight="1">
      <c r="A7" s="2463"/>
      <c r="B7" s="3490"/>
      <c r="C7" s="788"/>
      <c r="D7" s="789"/>
      <c r="E7" s="784" t="s">
        <v>637</v>
      </c>
      <c r="F7" s="785" t="e">
        <f ca="1">IF(INDIRECT("'数据-取费表'!ah"&amp;$G$1)="",INDIRECT("'数据-取费表'!k"&amp;$G$1),INDIRECT("'数据-取费表'!ah"&amp;$G$1))</f>
        <v>#N/A</v>
      </c>
      <c r="G7" s="1577"/>
      <c r="H7" s="2452"/>
      <c r="I7" s="3490"/>
      <c r="J7" s="788"/>
      <c r="K7" s="789"/>
      <c r="L7" s="784" t="s">
        <v>637</v>
      </c>
      <c r="M7" s="785" t="e">
        <f ca="1">F7</f>
        <v>#N/A</v>
      </c>
    </row>
    <row r="8" spans="1:33" ht="18" customHeight="1">
      <c r="A8" s="2456"/>
      <c r="B8" s="3491"/>
      <c r="C8" s="788"/>
      <c r="D8" s="789"/>
      <c r="E8" s="784" t="s">
        <v>638</v>
      </c>
      <c r="F8" s="785" t="e">
        <f ca="1">INDIRECT("'数据-取费表'!ai"&amp;$G$1)</f>
        <v>#N/A</v>
      </c>
      <c r="G8" s="1577"/>
      <c r="H8" s="2452"/>
      <c r="I8" s="3491"/>
      <c r="J8" s="788"/>
      <c r="K8" s="789"/>
      <c r="L8" s="784" t="s">
        <v>638</v>
      </c>
      <c r="M8" s="785" t="e">
        <f ca="1">INDIRECT("'数据-取费表'!ai"&amp;$G$1)</f>
        <v>#N/A</v>
      </c>
    </row>
    <row r="9" spans="1:33" ht="18" customHeight="1">
      <c r="A9" s="786"/>
      <c r="B9" s="3492"/>
      <c r="C9" s="788"/>
      <c r="D9" s="789"/>
      <c r="E9" s="784" t="s">
        <v>639</v>
      </c>
      <c r="F9" s="794" t="e">
        <f ca="1">INDIRECT("'数据-取费表'!w"&amp;$G$1)</f>
        <v>#N/A</v>
      </c>
      <c r="G9" s="1577"/>
      <c r="H9" s="2468"/>
      <c r="I9" s="3491"/>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5" t="s">
        <v>2956</v>
      </c>
      <c r="L53" s="3496"/>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497" t="s">
        <v>2469</v>
      </c>
      <c r="B1" s="3498"/>
      <c r="C1" s="3499"/>
      <c r="D1" s="3500">
        <f>SUM(I10,I15,I20,I21,I23)</f>
        <v>0</v>
      </c>
      <c r="E1" s="3500"/>
      <c r="F1" s="3500"/>
      <c r="G1" s="3500"/>
      <c r="H1" s="3500"/>
      <c r="I1" s="3501"/>
    </row>
    <row r="2" spans="1:9">
      <c r="A2" s="3502" t="s">
        <v>2470</v>
      </c>
      <c r="B2" s="3503" t="s">
        <v>2471</v>
      </c>
      <c r="C2" s="3503"/>
      <c r="D2" s="2470" t="s">
        <v>2472</v>
      </c>
      <c r="E2" s="2470" t="s">
        <v>2473</v>
      </c>
      <c r="F2" s="2470" t="s">
        <v>2474</v>
      </c>
      <c r="G2" s="2470" t="s">
        <v>2475</v>
      </c>
      <c r="H2" s="2470" t="s">
        <v>2476</v>
      </c>
      <c r="I2" s="2471" t="s">
        <v>2477</v>
      </c>
    </row>
    <row r="3" spans="1:9">
      <c r="A3" s="3502"/>
      <c r="B3" s="3503" t="s">
        <v>2478</v>
      </c>
      <c r="C3" s="3503"/>
      <c r="D3" s="2472"/>
      <c r="E3" s="2470"/>
      <c r="F3" s="2473"/>
      <c r="G3" s="2473"/>
      <c r="H3" s="2474"/>
      <c r="I3" s="2475">
        <f>ROUND(D3*E3*F3*G3*H3/10000,0)</f>
        <v>0</v>
      </c>
    </row>
    <row r="4" spans="1:9">
      <c r="A4" s="3502"/>
      <c r="B4" s="3503" t="s">
        <v>2479</v>
      </c>
      <c r="C4" s="3503"/>
      <c r="D4" s="2472"/>
      <c r="E4" s="2470"/>
      <c r="F4" s="2473"/>
      <c r="G4" s="2473"/>
      <c r="H4" s="2474"/>
      <c r="I4" s="2475">
        <f t="shared" ref="I4:I9" si="0">ROUND(D4*E4*F4*G4*H4/10000,0)</f>
        <v>0</v>
      </c>
    </row>
    <row r="5" spans="1:9">
      <c r="A5" s="3502"/>
      <c r="B5" s="3503" t="s">
        <v>2480</v>
      </c>
      <c r="C5" s="3503"/>
      <c r="D5" s="2472"/>
      <c r="E5" s="2470"/>
      <c r="F5" s="2473"/>
      <c r="G5" s="2473"/>
      <c r="H5" s="2474"/>
      <c r="I5" s="2475">
        <f t="shared" si="0"/>
        <v>0</v>
      </c>
    </row>
    <row r="6" spans="1:9">
      <c r="A6" s="3502"/>
      <c r="B6" s="3503" t="s">
        <v>2481</v>
      </c>
      <c r="C6" s="3503"/>
      <c r="D6" s="2472"/>
      <c r="E6" s="2470"/>
      <c r="F6" s="2473"/>
      <c r="G6" s="2473"/>
      <c r="H6" s="2474"/>
      <c r="I6" s="2475">
        <f t="shared" si="0"/>
        <v>0</v>
      </c>
    </row>
    <row r="7" spans="1:9">
      <c r="A7" s="3502"/>
      <c r="B7" s="3503" t="s">
        <v>2482</v>
      </c>
      <c r="C7" s="3503"/>
      <c r="D7" s="2472"/>
      <c r="E7" s="2470"/>
      <c r="F7" s="2473"/>
      <c r="G7" s="2473"/>
      <c r="H7" s="2474"/>
      <c r="I7" s="2475">
        <f t="shared" si="0"/>
        <v>0</v>
      </c>
    </row>
    <row r="8" spans="1:9">
      <c r="A8" s="3502"/>
      <c r="B8" s="3503" t="s">
        <v>2483</v>
      </c>
      <c r="C8" s="3503"/>
      <c r="D8" s="2472"/>
      <c r="E8" s="2470"/>
      <c r="F8" s="2473"/>
      <c r="G8" s="2473"/>
      <c r="H8" s="2474"/>
      <c r="I8" s="2475">
        <f t="shared" si="0"/>
        <v>0</v>
      </c>
    </row>
    <row r="9" spans="1:9">
      <c r="A9" s="3502"/>
      <c r="B9" s="3503" t="s">
        <v>2484</v>
      </c>
      <c r="C9" s="3503"/>
      <c r="D9" s="2472"/>
      <c r="E9" s="2470"/>
      <c r="F9" s="2473"/>
      <c r="G9" s="2473"/>
      <c r="H9" s="2474"/>
      <c r="I9" s="2475">
        <f t="shared" si="0"/>
        <v>0</v>
      </c>
    </row>
    <row r="10" spans="1:9">
      <c r="A10" s="3502"/>
      <c r="B10" s="3504" t="s">
        <v>2485</v>
      </c>
      <c r="C10" s="3504"/>
      <c r="D10" s="2476">
        <v>527</v>
      </c>
      <c r="E10" s="2476" t="e">
        <f>ROUND(D1*10000/D10/H9,0)</f>
        <v>#DIV/0!</v>
      </c>
      <c r="F10" s="2477"/>
      <c r="G10" s="2477"/>
      <c r="H10" s="2478"/>
      <c r="I10" s="2479">
        <f>SUM(I3:I9)</f>
        <v>0</v>
      </c>
    </row>
    <row r="11" spans="1:9" ht="14.25">
      <c r="A11" s="3502" t="s">
        <v>2486</v>
      </c>
      <c r="B11" s="3503" t="s">
        <v>2487</v>
      </c>
      <c r="C11" s="3503"/>
      <c r="D11" s="2472" t="s">
        <v>2488</v>
      </c>
      <c r="E11" s="2472" t="s">
        <v>2489</v>
      </c>
      <c r="F11" s="2473" t="s">
        <v>2490</v>
      </c>
      <c r="G11" s="2473" t="s">
        <v>2491</v>
      </c>
      <c r="H11" s="2480" t="s">
        <v>2492</v>
      </c>
      <c r="I11" s="2471" t="s">
        <v>2493</v>
      </c>
    </row>
    <row r="12" spans="1:9">
      <c r="A12" s="3502"/>
      <c r="B12" s="3503" t="s">
        <v>2494</v>
      </c>
      <c r="C12" s="3503"/>
      <c r="D12" s="2472"/>
      <c r="E12" s="2472"/>
      <c r="F12" s="2473"/>
      <c r="G12" s="2474"/>
      <c r="H12" s="2481"/>
      <c r="I12" s="2471">
        <f>ROUND(D12*E12*F12*G12/10000,0)</f>
        <v>0</v>
      </c>
    </row>
    <row r="13" spans="1:9">
      <c r="A13" s="3502"/>
      <c r="B13" s="3503" t="s">
        <v>2495</v>
      </c>
      <c r="C13" s="3503"/>
      <c r="D13" s="2472"/>
      <c r="E13" s="2472"/>
      <c r="F13" s="2473"/>
      <c r="G13" s="2474"/>
      <c r="H13" s="2481"/>
      <c r="I13" s="2471">
        <f>ROUND(D13*E13*F13*G13/10000,0)</f>
        <v>0</v>
      </c>
    </row>
    <row r="14" spans="1:9">
      <c r="A14" s="3502"/>
      <c r="B14" s="3503" t="s">
        <v>2496</v>
      </c>
      <c r="C14" s="3503"/>
      <c r="D14" s="2472"/>
      <c r="E14" s="2472"/>
      <c r="F14" s="2473"/>
      <c r="G14" s="2474"/>
      <c r="H14" s="2481"/>
      <c r="I14" s="2471">
        <f>ROUND(D14*E14*F14*G14/10000,0)</f>
        <v>0</v>
      </c>
    </row>
    <row r="15" spans="1:9">
      <c r="A15" s="3502"/>
      <c r="B15" s="3504" t="s">
        <v>2485</v>
      </c>
      <c r="C15" s="3504"/>
      <c r="D15" s="2476"/>
      <c r="E15" s="2476">
        <f>SUM(E12:E14)</f>
        <v>0</v>
      </c>
      <c r="F15" s="2477"/>
      <c r="G15" s="2474"/>
      <c r="H15" s="2481"/>
      <c r="I15" s="2482">
        <f>SUM(I12:I14)</f>
        <v>0</v>
      </c>
    </row>
    <row r="16" spans="1:9" ht="24">
      <c r="A16" s="3502" t="s">
        <v>2497</v>
      </c>
      <c r="B16" s="3503" t="s">
        <v>2498</v>
      </c>
      <c r="C16" s="3503"/>
      <c r="D16" s="2472" t="s">
        <v>2499</v>
      </c>
      <c r="E16" s="2483" t="s">
        <v>2500</v>
      </c>
      <c r="F16" s="2473" t="s">
        <v>2501</v>
      </c>
      <c r="G16" s="2474" t="s">
        <v>2491</v>
      </c>
      <c r="H16" s="2480" t="s">
        <v>2492</v>
      </c>
      <c r="I16" s="2471" t="s">
        <v>2493</v>
      </c>
    </row>
    <row r="17" spans="1:9" ht="14.25">
      <c r="A17" s="3502"/>
      <c r="B17" s="3503" t="s">
        <v>2502</v>
      </c>
      <c r="C17" s="3503"/>
      <c r="D17" s="2472"/>
      <c r="E17" s="2472"/>
      <c r="F17" s="2473"/>
      <c r="G17" s="2474"/>
      <c r="H17" s="2484"/>
      <c r="I17" s="2485">
        <f>ROUND(D17*E17*F17*G17/10000,0)</f>
        <v>0</v>
      </c>
    </row>
    <row r="18" spans="1:9" ht="14.25">
      <c r="A18" s="3502"/>
      <c r="B18" s="3503" t="s">
        <v>2503</v>
      </c>
      <c r="C18" s="3503"/>
      <c r="D18" s="2472"/>
      <c r="E18" s="2472"/>
      <c r="F18" s="2473"/>
      <c r="G18" s="2474"/>
      <c r="H18" s="2484"/>
      <c r="I18" s="2485">
        <f>ROUND(D18*E18*F18*G18/10000,0)</f>
        <v>0</v>
      </c>
    </row>
    <row r="19" spans="1:9" ht="14.25">
      <c r="A19" s="3502"/>
      <c r="B19" s="3503" t="s">
        <v>2504</v>
      </c>
      <c r="C19" s="3503"/>
      <c r="D19" s="2472"/>
      <c r="E19" s="2472"/>
      <c r="F19" s="2473"/>
      <c r="G19" s="2474"/>
      <c r="H19" s="2484"/>
      <c r="I19" s="2485">
        <f>ROUND(D19*E19*F19*G19/10000,0)</f>
        <v>0</v>
      </c>
    </row>
    <row r="20" spans="1:9">
      <c r="A20" s="3502"/>
      <c r="B20" s="3504" t="s">
        <v>2485</v>
      </c>
      <c r="C20" s="3504"/>
      <c r="D20" s="2476">
        <f>SUM(D17:D19)</f>
        <v>0</v>
      </c>
      <c r="E20" s="2476"/>
      <c r="F20" s="2477"/>
      <c r="G20" s="2474"/>
      <c r="H20" s="2481"/>
      <c r="I20" s="2482">
        <f>SUM(I17:I19)</f>
        <v>0</v>
      </c>
    </row>
    <row r="21" spans="1:9">
      <c r="A21" s="3502" t="s">
        <v>2505</v>
      </c>
      <c r="B21" s="3506"/>
      <c r="C21" s="3506"/>
      <c r="D21" s="3506"/>
      <c r="E21" s="3506"/>
      <c r="F21" s="3506"/>
      <c r="G21" s="3506"/>
      <c r="H21" s="2486">
        <v>0.1</v>
      </c>
      <c r="I21" s="2479">
        <f>ROUND(I10*H21,0)</f>
        <v>0</v>
      </c>
    </row>
    <row r="22" spans="1:9" ht="14.25">
      <c r="A22" s="3507" t="s">
        <v>2506</v>
      </c>
      <c r="B22" s="3508"/>
      <c r="C22" s="3509"/>
      <c r="D22" s="2487" t="s">
        <v>2507</v>
      </c>
      <c r="E22" s="2487" t="s">
        <v>2508</v>
      </c>
      <c r="F22" s="2488" t="s">
        <v>2509</v>
      </c>
      <c r="G22" s="2488" t="s">
        <v>2510</v>
      </c>
      <c r="H22" s="2480" t="s">
        <v>2511</v>
      </c>
      <c r="I22" s="2471" t="s">
        <v>2512</v>
      </c>
    </row>
    <row r="23" spans="1:9" ht="14.25" thickBot="1">
      <c r="A23" s="3510"/>
      <c r="B23" s="3511"/>
      <c r="C23" s="3512"/>
      <c r="D23" s="2489"/>
      <c r="E23" s="2489"/>
      <c r="F23" s="2489"/>
      <c r="G23" s="2490"/>
      <c r="H23" s="2491"/>
      <c r="I23" s="2492">
        <f>ROUND(E23*D23*F23*(1-G23)/10000,0)</f>
        <v>0</v>
      </c>
    </row>
    <row r="26" spans="1:9">
      <c r="A26" s="2493" t="s">
        <v>2513</v>
      </c>
      <c r="B26" s="2493"/>
      <c r="C26" s="2493"/>
      <c r="D26" s="2493"/>
      <c r="E26" s="3513">
        <f>C27-C30-C31-C32</f>
        <v>0</v>
      </c>
      <c r="F26" s="3513"/>
      <c r="G26" s="3513"/>
      <c r="H26" s="2994" t="s">
        <v>2841</v>
      </c>
    </row>
    <row r="27" spans="1:9">
      <c r="A27" s="2494">
        <v>1</v>
      </c>
      <c r="B27" s="2495" t="s">
        <v>2514</v>
      </c>
      <c r="C27" s="2495"/>
      <c r="D27" s="2495"/>
      <c r="E27" s="3514"/>
      <c r="F27" s="3514"/>
      <c r="G27" s="3514"/>
    </row>
    <row r="28" spans="1:9">
      <c r="A28" s="2496" t="s">
        <v>2515</v>
      </c>
      <c r="B28" s="2495" t="s">
        <v>2516</v>
      </c>
      <c r="C28" s="2495"/>
      <c r="D28" s="2495"/>
      <c r="E28" s="3514"/>
      <c r="F28" s="3514"/>
      <c r="G28" s="3514"/>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5"/>
      <c r="F32" s="3505"/>
      <c r="G32" s="3505"/>
    </row>
    <row r="33" spans="1:7" hidden="1">
      <c r="A33" s="3515" t="s">
        <v>2524</v>
      </c>
      <c r="B33" s="3516"/>
      <c r="C33" s="3516"/>
      <c r="D33" s="3517"/>
      <c r="E33" s="3513"/>
      <c r="F33" s="3513"/>
      <c r="G33" s="3513"/>
    </row>
    <row r="34" spans="1:7" hidden="1">
      <c r="A34" s="2498">
        <v>1</v>
      </c>
      <c r="B34" s="2495" t="s">
        <v>2525</v>
      </c>
      <c r="C34" s="2495"/>
      <c r="D34" s="2495"/>
      <c r="E34" s="3514"/>
      <c r="F34" s="3514"/>
      <c r="G34" s="3514"/>
    </row>
    <row r="35" spans="1:7" hidden="1">
      <c r="A35" s="2498">
        <v>2</v>
      </c>
      <c r="B35" s="2495" t="s">
        <v>2526</v>
      </c>
      <c r="C35" s="2495"/>
      <c r="D35" s="2495"/>
      <c r="E35" s="3514"/>
      <c r="F35" s="3514"/>
      <c r="G35" s="3514"/>
    </row>
    <row r="36" spans="1:7" hidden="1">
      <c r="A36" s="2498">
        <v>3</v>
      </c>
      <c r="B36" s="2495" t="s">
        <v>2527</v>
      </c>
      <c r="C36" s="2495"/>
      <c r="D36" s="2495"/>
      <c r="E36" s="3514"/>
      <c r="F36" s="3514"/>
      <c r="G36" s="3514"/>
    </row>
    <row r="37" spans="1:7" hidden="1">
      <c r="A37" s="2498">
        <v>4</v>
      </c>
      <c r="B37" s="2495" t="s">
        <v>2528</v>
      </c>
      <c r="C37" s="2495"/>
      <c r="D37" s="2495"/>
      <c r="E37" s="3514"/>
      <c r="F37" s="3514"/>
      <c r="G37" s="3514"/>
    </row>
    <row r="38" spans="1:7" hidden="1">
      <c r="A38" s="3515" t="s">
        <v>2529</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3141</v>
      </c>
      <c r="D12" s="758">
        <f>'数据-汇总表'!E5</f>
        <v>299142.75</v>
      </c>
      <c r="E12" s="757">
        <f>'数据-取费表'!B27</f>
        <v>105</v>
      </c>
      <c r="F12" s="755"/>
      <c r="G12" s="759"/>
    </row>
    <row r="13" spans="1:25" s="2167" customFormat="1" ht="13.5" customHeight="1">
      <c r="A13" s="2439" t="s">
        <v>2446</v>
      </c>
      <c r="B13" s="756" t="s">
        <v>611</v>
      </c>
      <c r="C13" s="757">
        <f>ROUND(D13*E13/10000,0)</f>
        <v>237</v>
      </c>
      <c r="D13" s="758">
        <f>'数据-汇总表'!E6</f>
        <v>22606.349999999977</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0.94599999999999995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Normal="100" workbookViewId="0">
      <selection activeCell="C17" sqref="C17"/>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252895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8454</v>
      </c>
      <c r="C3" s="852" t="s">
        <v>721</v>
      </c>
      <c r="D3" s="851">
        <f>SUMIF('数据-汇总表'!$C19:$C33,D1,'数据-汇总表'!$E19:$E33)</f>
        <v>299142.75</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08" t="s">
        <v>521</v>
      </c>
      <c r="D4" s="3409"/>
      <c r="E4" s="3442" t="s">
        <v>522</v>
      </c>
      <c r="F4" s="3443"/>
      <c r="G4" s="3408" t="s">
        <v>523</v>
      </c>
      <c r="H4" s="3409"/>
      <c r="I4" s="3408" t="s">
        <v>524</v>
      </c>
      <c r="J4" s="3409"/>
      <c r="K4" s="853" t="s">
        <v>525</v>
      </c>
      <c r="L4" s="2117"/>
      <c r="M4" s="2118"/>
      <c r="N4" s="2118"/>
      <c r="O4" s="2118"/>
      <c r="P4" s="3410" t="s">
        <v>526</v>
      </c>
      <c r="Q4" s="3411"/>
      <c r="R4" s="3416" t="s">
        <v>522</v>
      </c>
      <c r="S4" s="3417"/>
      <c r="T4" s="3416" t="s">
        <v>523</v>
      </c>
      <c r="U4" s="3417"/>
      <c r="V4" s="3403" t="s">
        <v>524</v>
      </c>
      <c r="W4" s="3403"/>
      <c r="X4" s="1552"/>
      <c r="Y4" s="3416" t="s">
        <v>526</v>
      </c>
      <c r="Z4" s="3417"/>
      <c r="AA4" s="3405" t="s">
        <v>522</v>
      </c>
      <c r="AB4" s="3405" t="s">
        <v>523</v>
      </c>
      <c r="AC4" s="3405" t="s">
        <v>524</v>
      </c>
    </row>
    <row r="5" spans="1:29" ht="15">
      <c r="A5" s="515"/>
      <c r="B5" s="516"/>
      <c r="C5" s="3424" t="s">
        <v>2919</v>
      </c>
      <c r="D5" s="3425"/>
      <c r="E5" s="3522" t="s">
        <v>3142</v>
      </c>
      <c r="F5" s="3445"/>
      <c r="G5" s="3521" t="s">
        <v>3208</v>
      </c>
      <c r="H5" s="3425"/>
      <c r="I5" s="3521" t="s">
        <v>3181</v>
      </c>
      <c r="J5" s="3425"/>
      <c r="K5" s="854"/>
      <c r="L5" s="2117"/>
      <c r="M5" s="2118"/>
      <c r="N5" s="2118"/>
      <c r="O5" s="2118"/>
      <c r="P5" s="3412"/>
      <c r="Q5" s="3413"/>
      <c r="R5" s="3418"/>
      <c r="S5" s="3419"/>
      <c r="T5" s="3418"/>
      <c r="U5" s="3419"/>
      <c r="V5" s="3403"/>
      <c r="W5" s="3403"/>
      <c r="X5" s="1552"/>
      <c r="Y5" s="3418"/>
      <c r="Z5" s="3419"/>
      <c r="AA5" s="3406"/>
      <c r="AB5" s="3406"/>
      <c r="AC5" s="3406"/>
    </row>
    <row r="6" spans="1:29" ht="15.75" thickBot="1">
      <c r="A6" s="517"/>
      <c r="B6" s="518"/>
      <c r="C6" s="3422" t="s">
        <v>2923</v>
      </c>
      <c r="D6" s="3423"/>
      <c r="E6" s="3422" t="s">
        <v>2923</v>
      </c>
      <c r="F6" s="3423"/>
      <c r="G6" s="3422" t="s">
        <v>2923</v>
      </c>
      <c r="H6" s="3423"/>
      <c r="I6" s="3422" t="s">
        <v>2923</v>
      </c>
      <c r="J6" s="3423"/>
      <c r="K6" s="854" t="s">
        <v>527</v>
      </c>
      <c r="L6" s="2117"/>
      <c r="M6" s="2118"/>
      <c r="N6" s="2118"/>
      <c r="O6" s="2118"/>
      <c r="P6" s="3414"/>
      <c r="Q6" s="3415"/>
      <c r="R6" s="3418"/>
      <c r="S6" s="3419"/>
      <c r="T6" s="3420"/>
      <c r="U6" s="3421"/>
      <c r="V6" s="3403"/>
      <c r="W6" s="3403"/>
      <c r="X6" s="1552"/>
      <c r="Y6" s="3420"/>
      <c r="Z6" s="3421"/>
      <c r="AA6" s="3407"/>
      <c r="AB6" s="3407"/>
      <c r="AC6" s="3407"/>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33" t="s">
        <v>529</v>
      </c>
      <c r="Q7" s="3435"/>
      <c r="R7" s="1553" t="s">
        <v>13</v>
      </c>
      <c r="S7" s="1554">
        <f t="shared" ref="S7:S15" si="0">F7</f>
        <v>100</v>
      </c>
      <c r="T7" s="1553" t="s">
        <v>13</v>
      </c>
      <c r="U7" s="1554">
        <f t="shared" ref="U7:U15" si="1">H7</f>
        <v>100</v>
      </c>
      <c r="V7" s="1553" t="s">
        <v>13</v>
      </c>
      <c r="W7" s="1554">
        <f t="shared" ref="W7:W15" si="2">J7</f>
        <v>100</v>
      </c>
      <c r="X7" s="1555"/>
      <c r="Y7" s="3433" t="s">
        <v>529</v>
      </c>
      <c r="Z7" s="3434"/>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33" t="s">
        <v>532</v>
      </c>
      <c r="Q8" s="3434"/>
      <c r="R8" s="1553" t="s">
        <v>13</v>
      </c>
      <c r="S8" s="1554">
        <f t="shared" si="0"/>
        <v>100</v>
      </c>
      <c r="T8" s="1553" t="s">
        <v>13</v>
      </c>
      <c r="U8" s="1554">
        <f t="shared" si="1"/>
        <v>100</v>
      </c>
      <c r="V8" s="1553" t="s">
        <v>13</v>
      </c>
      <c r="W8" s="1554">
        <f t="shared" si="2"/>
        <v>100</v>
      </c>
      <c r="X8" s="1555"/>
      <c r="Y8" s="3433" t="s">
        <v>532</v>
      </c>
      <c r="Z8" s="3434"/>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02" t="s">
        <v>534</v>
      </c>
      <c r="Q9" s="1147" t="str">
        <f t="shared" ref="Q9:Q15" si="6">B9</f>
        <v>用途</v>
      </c>
      <c r="R9" s="1553" t="s">
        <v>8</v>
      </c>
      <c r="S9" s="1554">
        <f t="shared" si="0"/>
        <v>100</v>
      </c>
      <c r="T9" s="1553" t="s">
        <v>8</v>
      </c>
      <c r="U9" s="1554">
        <f t="shared" si="1"/>
        <v>100</v>
      </c>
      <c r="V9" s="1553" t="s">
        <v>8</v>
      </c>
      <c r="W9" s="1554">
        <f t="shared" si="2"/>
        <v>100</v>
      </c>
      <c r="X9" s="1555"/>
      <c r="Y9" s="3348"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02"/>
      <c r="Q10" s="1147" t="str">
        <f t="shared" si="6"/>
        <v>土地使用年限（年）</v>
      </c>
      <c r="R10" s="1553" t="s">
        <v>8</v>
      </c>
      <c r="S10" s="1554">
        <f t="shared" si="0"/>
        <v>100</v>
      </c>
      <c r="T10" s="1553" t="s">
        <v>8</v>
      </c>
      <c r="U10" s="1554">
        <f t="shared" si="1"/>
        <v>100</v>
      </c>
      <c r="V10" s="1553" t="s">
        <v>8</v>
      </c>
      <c r="W10" s="1554">
        <f t="shared" si="2"/>
        <v>100</v>
      </c>
      <c r="X10" s="1555"/>
      <c r="Y10" s="3348"/>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02"/>
      <c r="Q11" s="1147" t="str">
        <f t="shared" si="6"/>
        <v>容积率</v>
      </c>
      <c r="R11" s="1553" t="s">
        <v>11</v>
      </c>
      <c r="S11" s="1554">
        <f t="shared" si="0"/>
        <v>102</v>
      </c>
      <c r="T11" s="1553" t="s">
        <v>11</v>
      </c>
      <c r="U11" s="1554">
        <f t="shared" si="1"/>
        <v>98</v>
      </c>
      <c r="V11" s="1553" t="s">
        <v>11</v>
      </c>
      <c r="W11" s="1554">
        <f t="shared" si="2"/>
        <v>98</v>
      </c>
      <c r="X11" s="1555"/>
      <c r="Y11" s="3348"/>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2"/>
      <c r="Q12" s="1147">
        <f t="shared" si="6"/>
        <v>111</v>
      </c>
      <c r="R12" s="1553" t="s">
        <v>11</v>
      </c>
      <c r="S12" s="1554">
        <f t="shared" si="0"/>
        <v>100</v>
      </c>
      <c r="T12" s="1553" t="s">
        <v>11</v>
      </c>
      <c r="U12" s="1554">
        <f t="shared" si="1"/>
        <v>100</v>
      </c>
      <c r="V12" s="1553" t="s">
        <v>11</v>
      </c>
      <c r="W12" s="1554">
        <f t="shared" si="2"/>
        <v>100</v>
      </c>
      <c r="X12" s="1555"/>
      <c r="Y12" s="3348"/>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2"/>
      <c r="Q13" s="1147">
        <f t="shared" si="6"/>
        <v>111</v>
      </c>
      <c r="R13" s="1553" t="s">
        <v>11</v>
      </c>
      <c r="S13" s="1554">
        <f t="shared" si="0"/>
        <v>100</v>
      </c>
      <c r="T13" s="1553" t="s">
        <v>11</v>
      </c>
      <c r="U13" s="1554">
        <f t="shared" si="1"/>
        <v>100</v>
      </c>
      <c r="V13" s="1553" t="s">
        <v>11</v>
      </c>
      <c r="W13" s="1554">
        <f t="shared" si="2"/>
        <v>100</v>
      </c>
      <c r="X13" s="1555"/>
      <c r="Y13" s="3348"/>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2"/>
      <c r="Q14" s="1147">
        <f t="shared" si="6"/>
        <v>111</v>
      </c>
      <c r="R14" s="1553" t="s">
        <v>11</v>
      </c>
      <c r="S14" s="1554">
        <f t="shared" si="0"/>
        <v>100</v>
      </c>
      <c r="T14" s="1553" t="s">
        <v>11</v>
      </c>
      <c r="U14" s="1554">
        <f t="shared" si="1"/>
        <v>100</v>
      </c>
      <c r="V14" s="1553" t="s">
        <v>11</v>
      </c>
      <c r="W14" s="1554">
        <f t="shared" si="2"/>
        <v>100</v>
      </c>
      <c r="X14" s="1555"/>
      <c r="Y14" s="3348"/>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36" t="s">
        <v>539</v>
      </c>
      <c r="Q15" s="1557" t="str">
        <f t="shared" si="6"/>
        <v>居住社区成熟度</v>
      </c>
      <c r="R15" s="1558" t="s">
        <v>11</v>
      </c>
      <c r="S15" s="1559">
        <f t="shared" si="0"/>
        <v>103</v>
      </c>
      <c r="T15" s="1558" t="s">
        <v>11</v>
      </c>
      <c r="U15" s="1559">
        <f t="shared" si="1"/>
        <v>100</v>
      </c>
      <c r="V15" s="1558" t="s">
        <v>11</v>
      </c>
      <c r="W15" s="1559">
        <f t="shared" si="2"/>
        <v>103</v>
      </c>
      <c r="X15" s="1552"/>
      <c r="Y15" s="3436"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37"/>
      <c r="Q16" s="1557"/>
      <c r="R16" s="1558"/>
      <c r="S16" s="1559"/>
      <c r="T16" s="1558"/>
      <c r="U16" s="1559"/>
      <c r="V16" s="1558"/>
      <c r="W16" s="1559"/>
      <c r="X16" s="1552"/>
      <c r="Y16" s="3437"/>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37"/>
      <c r="Q17" s="1557" t="str">
        <f>B17</f>
        <v>交通便捷度</v>
      </c>
      <c r="R17" s="1558" t="s">
        <v>11</v>
      </c>
      <c r="S17" s="1559">
        <f>F17</f>
        <v>103</v>
      </c>
      <c r="T17" s="1558" t="s">
        <v>11</v>
      </c>
      <c r="U17" s="1559">
        <f>H17</f>
        <v>100</v>
      </c>
      <c r="V17" s="1558" t="s">
        <v>11</v>
      </c>
      <c r="W17" s="1559">
        <f>J17</f>
        <v>103</v>
      </c>
      <c r="X17" s="1552"/>
      <c r="Y17" s="3437"/>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37"/>
      <c r="Q18" s="1557"/>
      <c r="R18" s="1558"/>
      <c r="S18" s="1559"/>
      <c r="T18" s="1558"/>
      <c r="U18" s="1559"/>
      <c r="V18" s="1558"/>
      <c r="W18" s="1559"/>
      <c r="X18" s="1552"/>
      <c r="Y18" s="3437"/>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37"/>
      <c r="Q19" s="1557" t="str">
        <f>B19</f>
        <v>公共配套设施</v>
      </c>
      <c r="R19" s="1558" t="s">
        <v>11</v>
      </c>
      <c r="S19" s="1559">
        <f>F19</f>
        <v>103</v>
      </c>
      <c r="T19" s="1558" t="s">
        <v>11</v>
      </c>
      <c r="U19" s="1559">
        <f>H19</f>
        <v>100</v>
      </c>
      <c r="V19" s="1558" t="s">
        <v>11</v>
      </c>
      <c r="W19" s="1559">
        <f>J19</f>
        <v>103</v>
      </c>
      <c r="X19" s="1552"/>
      <c r="Y19" s="3437"/>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37"/>
      <c r="Q20" s="1557"/>
      <c r="R20" s="1558"/>
      <c r="S20" s="1559"/>
      <c r="T20" s="1558"/>
      <c r="U20" s="1559"/>
      <c r="V20" s="1558"/>
      <c r="W20" s="1559"/>
      <c r="X20" s="1552"/>
      <c r="Y20" s="3437"/>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37"/>
      <c r="Q21" s="2542" t="str">
        <f>B21</f>
        <v>基础设施水平</v>
      </c>
      <c r="R21" s="1558" t="s">
        <v>11</v>
      </c>
      <c r="S21" s="1559">
        <f>F21</f>
        <v>100</v>
      </c>
      <c r="T21" s="1558" t="s">
        <v>11</v>
      </c>
      <c r="U21" s="1559">
        <f>H21</f>
        <v>100</v>
      </c>
      <c r="V21" s="1558" t="s">
        <v>11</v>
      </c>
      <c r="W21" s="1559">
        <f>J21</f>
        <v>100</v>
      </c>
      <c r="X21" s="2544"/>
      <c r="Y21" s="3437"/>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37"/>
      <c r="Q22" s="2542"/>
      <c r="R22" s="1558"/>
      <c r="S22" s="1559"/>
      <c r="T22" s="1558"/>
      <c r="U22" s="1559"/>
      <c r="V22" s="1558"/>
      <c r="W22" s="1559"/>
      <c r="X22" s="2544"/>
      <c r="Y22" s="3437"/>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37"/>
      <c r="Q23" s="1557" t="str">
        <f>B23</f>
        <v>自然及人文环境</v>
      </c>
      <c r="R23" s="1558" t="s">
        <v>11</v>
      </c>
      <c r="S23" s="1559">
        <f>F23</f>
        <v>100</v>
      </c>
      <c r="T23" s="1558" t="s">
        <v>11</v>
      </c>
      <c r="U23" s="1559">
        <f>H23</f>
        <v>100</v>
      </c>
      <c r="V23" s="1558" t="s">
        <v>11</v>
      </c>
      <c r="W23" s="1559">
        <f>J23</f>
        <v>102</v>
      </c>
      <c r="X23" s="1552"/>
      <c r="Y23" s="3437"/>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37"/>
      <c r="Q24" s="1557"/>
      <c r="R24" s="1558"/>
      <c r="S24" s="1559"/>
      <c r="T24" s="1558"/>
      <c r="U24" s="1559"/>
      <c r="V24" s="1558"/>
      <c r="W24" s="1559"/>
      <c r="X24" s="1552"/>
      <c r="Y24" s="3437"/>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7"/>
      <c r="Q25" s="1557" t="str">
        <f t="shared" ref="Q25:Q46" si="11">B25</f>
        <v>楼层-1</v>
      </c>
      <c r="R25" s="1558" t="s">
        <v>11</v>
      </c>
      <c r="S25" s="1559">
        <f>F25</f>
        <v>100</v>
      </c>
      <c r="T25" s="1558" t="s">
        <v>11</v>
      </c>
      <c r="U25" s="1559">
        <f>H25</f>
        <v>100</v>
      </c>
      <c r="V25" s="1558" t="s">
        <v>11</v>
      </c>
      <c r="W25" s="1559">
        <f>J25</f>
        <v>100</v>
      </c>
      <c r="X25" s="1552"/>
      <c r="Y25" s="3437"/>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7"/>
      <c r="Q26" s="1557" t="str">
        <f t="shared" si="11"/>
        <v>朝向</v>
      </c>
      <c r="R26" s="1558" t="s">
        <v>11</v>
      </c>
      <c r="S26" s="1559">
        <f>F26</f>
        <v>100</v>
      </c>
      <c r="T26" s="1558" t="s">
        <v>11</v>
      </c>
      <c r="U26" s="1559">
        <f>H26</f>
        <v>100</v>
      </c>
      <c r="V26" s="1558" t="s">
        <v>11</v>
      </c>
      <c r="W26" s="1559">
        <f>J26</f>
        <v>100</v>
      </c>
      <c r="X26" s="1552"/>
      <c r="Y26" s="3437"/>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37"/>
      <c r="Q27" s="1147" t="str">
        <f t="shared" si="11"/>
        <v>道路级别</v>
      </c>
      <c r="R27" s="1553" t="s">
        <v>11</v>
      </c>
      <c r="S27" s="1554">
        <f>F27</f>
        <v>101</v>
      </c>
      <c r="T27" s="1553" t="s">
        <v>11</v>
      </c>
      <c r="U27" s="1554">
        <f>H27</f>
        <v>102</v>
      </c>
      <c r="V27" s="1553" t="s">
        <v>11</v>
      </c>
      <c r="W27" s="1554">
        <f>J27</f>
        <v>102</v>
      </c>
      <c r="X27" s="1555"/>
      <c r="Y27" s="3437"/>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37"/>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7"/>
      <c r="Q29" s="1557">
        <f t="shared" si="11"/>
        <v>111</v>
      </c>
      <c r="R29" s="1558" t="s">
        <v>11</v>
      </c>
      <c r="S29" s="1559">
        <f t="shared" si="12"/>
        <v>100</v>
      </c>
      <c r="T29" s="1558" t="s">
        <v>11</v>
      </c>
      <c r="U29" s="1559">
        <f t="shared" si="13"/>
        <v>100</v>
      </c>
      <c r="V29" s="1558" t="s">
        <v>11</v>
      </c>
      <c r="W29" s="1559">
        <f t="shared" si="14"/>
        <v>100</v>
      </c>
      <c r="X29" s="1552"/>
      <c r="Y29" s="343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7"/>
      <c r="Q30" s="1557">
        <f t="shared" si="11"/>
        <v>111</v>
      </c>
      <c r="R30" s="1558" t="s">
        <v>11</v>
      </c>
      <c r="S30" s="1559">
        <f t="shared" si="12"/>
        <v>100</v>
      </c>
      <c r="T30" s="1558" t="s">
        <v>11</v>
      </c>
      <c r="U30" s="1559">
        <f t="shared" si="13"/>
        <v>100</v>
      </c>
      <c r="V30" s="1558" t="s">
        <v>11</v>
      </c>
      <c r="W30" s="1559">
        <f t="shared" si="14"/>
        <v>100</v>
      </c>
      <c r="X30" s="1552"/>
      <c r="Y30" s="3437"/>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7"/>
      <c r="Q31" s="1557">
        <f t="shared" si="11"/>
        <v>111</v>
      </c>
      <c r="R31" s="1558" t="s">
        <v>11</v>
      </c>
      <c r="S31" s="1559">
        <f t="shared" si="12"/>
        <v>100</v>
      </c>
      <c r="T31" s="1558" t="s">
        <v>11</v>
      </c>
      <c r="U31" s="1559">
        <f t="shared" si="13"/>
        <v>100</v>
      </c>
      <c r="V31" s="1558" t="s">
        <v>11</v>
      </c>
      <c r="W31" s="1559">
        <f t="shared" si="14"/>
        <v>100</v>
      </c>
      <c r="X31" s="1552"/>
      <c r="Y31" s="3437"/>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38" t="s">
        <v>549</v>
      </c>
      <c r="Q32" s="1557" t="str">
        <f t="shared" si="11"/>
        <v>建筑类型</v>
      </c>
      <c r="R32" s="1558" t="s">
        <v>11</v>
      </c>
      <c r="S32" s="1559">
        <f t="shared" si="12"/>
        <v>100</v>
      </c>
      <c r="T32" s="1558" t="s">
        <v>11</v>
      </c>
      <c r="U32" s="1559">
        <f t="shared" si="13"/>
        <v>100</v>
      </c>
      <c r="V32" s="1558" t="s">
        <v>11</v>
      </c>
      <c r="W32" s="1559">
        <f t="shared" si="14"/>
        <v>100</v>
      </c>
      <c r="X32" s="1552"/>
      <c r="Y32" s="3439"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39"/>
      <c r="Q33" s="1589" t="str">
        <f t="shared" si="11"/>
        <v>项目建筑规模</v>
      </c>
      <c r="R33" s="1562" t="s">
        <v>11</v>
      </c>
      <c r="S33" s="1563">
        <f t="shared" si="12"/>
        <v>98</v>
      </c>
      <c r="T33" s="1562" t="s">
        <v>11</v>
      </c>
      <c r="U33" s="1563">
        <f t="shared" si="13"/>
        <v>98</v>
      </c>
      <c r="V33" s="1562" t="s">
        <v>11</v>
      </c>
      <c r="W33" s="1563">
        <f t="shared" si="14"/>
        <v>99</v>
      </c>
      <c r="X33" s="1564"/>
      <c r="Y33" s="3439"/>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39"/>
      <c r="Q34" s="1557" t="str">
        <f t="shared" si="11"/>
        <v>建筑结构</v>
      </c>
      <c r="R34" s="1558" t="s">
        <v>11</v>
      </c>
      <c r="S34" s="1559">
        <f t="shared" si="12"/>
        <v>100</v>
      </c>
      <c r="T34" s="1558" t="s">
        <v>11</v>
      </c>
      <c r="U34" s="1559">
        <f t="shared" si="13"/>
        <v>100</v>
      </c>
      <c r="V34" s="1558" t="s">
        <v>11</v>
      </c>
      <c r="W34" s="1559">
        <f t="shared" si="14"/>
        <v>100</v>
      </c>
      <c r="X34" s="1552"/>
      <c r="Y34" s="3439"/>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39"/>
      <c r="Q35" s="1557" t="str">
        <f t="shared" si="11"/>
        <v>建筑品质</v>
      </c>
      <c r="R35" s="1558" t="s">
        <v>11</v>
      </c>
      <c r="S35" s="1559">
        <f t="shared" si="12"/>
        <v>108</v>
      </c>
      <c r="T35" s="1558" t="s">
        <v>11</v>
      </c>
      <c r="U35" s="1559">
        <f t="shared" si="13"/>
        <v>100</v>
      </c>
      <c r="V35" s="1558" t="s">
        <v>11</v>
      </c>
      <c r="W35" s="1559">
        <f t="shared" si="14"/>
        <v>108</v>
      </c>
      <c r="X35" s="1552"/>
      <c r="Y35" s="3439"/>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39"/>
      <c r="Q36" s="1557" t="str">
        <f t="shared" si="11"/>
        <v>公共部分装修</v>
      </c>
      <c r="R36" s="1558" t="s">
        <v>11</v>
      </c>
      <c r="S36" s="1559">
        <f t="shared" si="12"/>
        <v>100</v>
      </c>
      <c r="T36" s="1558" t="s">
        <v>11</v>
      </c>
      <c r="U36" s="1559">
        <f t="shared" si="13"/>
        <v>100</v>
      </c>
      <c r="V36" s="1558" t="s">
        <v>11</v>
      </c>
      <c r="W36" s="1559">
        <f t="shared" si="14"/>
        <v>100</v>
      </c>
      <c r="X36" s="1552"/>
      <c r="Y36" s="3439"/>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39"/>
      <c r="Q37" s="1147" t="str">
        <f t="shared" si="11"/>
        <v>成新度</v>
      </c>
      <c r="R37" s="1553" t="s">
        <v>11</v>
      </c>
      <c r="S37" s="1554">
        <f t="shared" si="12"/>
        <v>100</v>
      </c>
      <c r="T37" s="1553" t="s">
        <v>11</v>
      </c>
      <c r="U37" s="1554">
        <f t="shared" si="13"/>
        <v>100</v>
      </c>
      <c r="V37" s="1553" t="s">
        <v>11</v>
      </c>
      <c r="W37" s="1554">
        <f t="shared" si="14"/>
        <v>100</v>
      </c>
      <c r="X37" s="1555"/>
      <c r="Y37" s="3439"/>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39" t="s">
        <v>549</v>
      </c>
      <c r="Q38" s="1557" t="str">
        <f t="shared" si="11"/>
        <v>物业管理</v>
      </c>
      <c r="R38" s="1558" t="s">
        <v>11</v>
      </c>
      <c r="S38" s="1559">
        <f t="shared" si="12"/>
        <v>100</v>
      </c>
      <c r="T38" s="1558" t="s">
        <v>11</v>
      </c>
      <c r="U38" s="1559">
        <f t="shared" si="13"/>
        <v>100</v>
      </c>
      <c r="V38" s="1558" t="s">
        <v>11</v>
      </c>
      <c r="W38" s="1559">
        <f t="shared" si="14"/>
        <v>100</v>
      </c>
      <c r="X38" s="1552"/>
      <c r="Y38" s="3439"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39"/>
      <c r="Q39" s="1557" t="str">
        <f t="shared" si="11"/>
        <v>市政基础设施</v>
      </c>
      <c r="R39" s="1558" t="s">
        <v>11</v>
      </c>
      <c r="S39" s="1559">
        <f t="shared" si="12"/>
        <v>100</v>
      </c>
      <c r="T39" s="1558" t="s">
        <v>11</v>
      </c>
      <c r="U39" s="1559">
        <f t="shared" si="13"/>
        <v>100</v>
      </c>
      <c r="V39" s="1558" t="s">
        <v>11</v>
      </c>
      <c r="W39" s="1559">
        <f t="shared" si="14"/>
        <v>100</v>
      </c>
      <c r="X39" s="1552"/>
      <c r="Y39" s="3439"/>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39"/>
      <c r="Q40" s="1557" t="str">
        <f t="shared" si="11"/>
        <v>房型</v>
      </c>
      <c r="R40" s="1558" t="s">
        <v>11</v>
      </c>
      <c r="S40" s="1559">
        <f t="shared" si="12"/>
        <v>100</v>
      </c>
      <c r="T40" s="1558" t="s">
        <v>11</v>
      </c>
      <c r="U40" s="1559">
        <f t="shared" si="13"/>
        <v>100</v>
      </c>
      <c r="V40" s="1558" t="s">
        <v>11</v>
      </c>
      <c r="W40" s="1559">
        <f t="shared" si="14"/>
        <v>100</v>
      </c>
      <c r="X40" s="1552"/>
      <c r="Y40" s="3439"/>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39"/>
      <c r="Q41" s="1589" t="str">
        <f t="shared" si="11"/>
        <v>单套/主力户型建筑面积</v>
      </c>
      <c r="R41" s="1562" t="s">
        <v>11</v>
      </c>
      <c r="S41" s="1563">
        <f t="shared" si="12"/>
        <v>100</v>
      </c>
      <c r="T41" s="1562" t="s">
        <v>11</v>
      </c>
      <c r="U41" s="1563">
        <f t="shared" si="13"/>
        <v>100</v>
      </c>
      <c r="V41" s="1562" t="s">
        <v>11</v>
      </c>
      <c r="W41" s="1563">
        <f t="shared" si="14"/>
        <v>100</v>
      </c>
      <c r="X41" s="1564"/>
      <c r="Y41" s="3439"/>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39"/>
      <c r="Q42" s="1557" t="str">
        <f t="shared" si="11"/>
        <v>内部装修</v>
      </c>
      <c r="R42" s="1558" t="s">
        <v>11</v>
      </c>
      <c r="S42" s="1559">
        <f t="shared" si="12"/>
        <v>100</v>
      </c>
      <c r="T42" s="1558" t="s">
        <v>11</v>
      </c>
      <c r="U42" s="1559">
        <f t="shared" si="13"/>
        <v>100</v>
      </c>
      <c r="V42" s="1558" t="s">
        <v>11</v>
      </c>
      <c r="W42" s="1559">
        <f t="shared" si="14"/>
        <v>106</v>
      </c>
      <c r="X42" s="1552"/>
      <c r="Y42" s="3439"/>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39"/>
      <c r="Q43" s="1557" t="str">
        <f t="shared" si="11"/>
        <v>内部装修维护情况</v>
      </c>
      <c r="R43" s="1558" t="s">
        <v>11</v>
      </c>
      <c r="S43" s="1559">
        <f t="shared" si="12"/>
        <v>100</v>
      </c>
      <c r="T43" s="1558" t="s">
        <v>11</v>
      </c>
      <c r="U43" s="1559">
        <f t="shared" si="13"/>
        <v>100</v>
      </c>
      <c r="V43" s="1558" t="s">
        <v>11</v>
      </c>
      <c r="W43" s="1559">
        <f t="shared" si="14"/>
        <v>100</v>
      </c>
      <c r="X43" s="1552"/>
      <c r="Y43" s="343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39"/>
      <c r="Q44" s="1147">
        <f t="shared" si="11"/>
        <v>111</v>
      </c>
      <c r="R44" s="1553" t="s">
        <v>11</v>
      </c>
      <c r="S44" s="1554">
        <f t="shared" si="12"/>
        <v>100</v>
      </c>
      <c r="T44" s="1553" t="s">
        <v>11</v>
      </c>
      <c r="U44" s="1554">
        <f t="shared" si="13"/>
        <v>100</v>
      </c>
      <c r="V44" s="1553" t="s">
        <v>11</v>
      </c>
      <c r="W44" s="1554">
        <f t="shared" si="14"/>
        <v>100</v>
      </c>
      <c r="X44" s="1555"/>
      <c r="Y44" s="343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9"/>
      <c r="Q45" s="1557">
        <f t="shared" si="11"/>
        <v>111</v>
      </c>
      <c r="R45" s="1558" t="s">
        <v>11</v>
      </c>
      <c r="S45" s="1559">
        <f t="shared" si="12"/>
        <v>100</v>
      </c>
      <c r="T45" s="1558" t="s">
        <v>11</v>
      </c>
      <c r="U45" s="1559">
        <f t="shared" si="13"/>
        <v>100</v>
      </c>
      <c r="V45" s="1558" t="s">
        <v>11</v>
      </c>
      <c r="W45" s="1559">
        <f t="shared" si="14"/>
        <v>100</v>
      </c>
      <c r="X45" s="1552"/>
      <c r="Y45" s="3439"/>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20"/>
      <c r="Q46" s="1557">
        <f t="shared" si="11"/>
        <v>111</v>
      </c>
      <c r="R46" s="1558" t="s">
        <v>10</v>
      </c>
      <c r="S46" s="1559">
        <f t="shared" si="12"/>
        <v>100</v>
      </c>
      <c r="T46" s="1558" t="s">
        <v>10</v>
      </c>
      <c r="U46" s="1559">
        <f t="shared" si="13"/>
        <v>100</v>
      </c>
      <c r="V46" s="1558" t="s">
        <v>10</v>
      </c>
      <c r="W46" s="1559">
        <f t="shared" si="14"/>
        <v>100</v>
      </c>
      <c r="X46" s="1552"/>
      <c r="Y46" s="3520"/>
      <c r="Z46" s="1560">
        <f t="shared" si="15"/>
        <v>111</v>
      </c>
      <c r="AA46" s="1561">
        <f t="shared" si="3"/>
        <v>1</v>
      </c>
      <c r="AB46" s="1561">
        <f t="shared" si="4"/>
        <v>1</v>
      </c>
      <c r="AC46" s="1561">
        <f t="shared" si="5"/>
        <v>1</v>
      </c>
    </row>
    <row r="47" spans="1:29" ht="15">
      <c r="A47" s="607" t="s">
        <v>735</v>
      </c>
      <c r="B47" s="887"/>
      <c r="C47" s="2590" t="s">
        <v>9</v>
      </c>
      <c r="D47" s="2591"/>
      <c r="E47" s="2592">
        <v>9500</v>
      </c>
      <c r="F47" s="2593"/>
      <c r="G47" s="2594">
        <v>8500</v>
      </c>
      <c r="H47" s="2595"/>
      <c r="I47" s="2592">
        <v>11000</v>
      </c>
      <c r="J47" s="2595"/>
      <c r="K47" s="1590"/>
      <c r="L47" s="2128"/>
      <c r="M47" s="2129"/>
      <c r="N47" s="2118"/>
      <c r="O47" s="2129"/>
      <c r="P47" s="3402" t="str">
        <f>A47</f>
        <v>成交单价（元/平方米）</v>
      </c>
      <c r="Q47" s="3402"/>
      <c r="R47" s="3519">
        <f>E47</f>
        <v>9500</v>
      </c>
      <c r="S47" s="3519"/>
      <c r="T47" s="3519">
        <f>G47</f>
        <v>8500</v>
      </c>
      <c r="U47" s="3519"/>
      <c r="V47" s="3519">
        <f>I47</f>
        <v>11000</v>
      </c>
      <c r="W47" s="3519"/>
      <c r="X47" s="1544"/>
      <c r="Y47" s="1566"/>
      <c r="Z47" s="1544"/>
      <c r="AA47" s="1544"/>
      <c r="AB47" s="1544"/>
      <c r="AC47" s="1544"/>
    </row>
    <row r="48" spans="1:29" ht="15.75" thickBot="1">
      <c r="A48" s="615" t="s">
        <v>2758</v>
      </c>
      <c r="B48" s="888"/>
      <c r="C48" s="2596">
        <f>R49</f>
        <v>8454</v>
      </c>
      <c r="D48" s="2597"/>
      <c r="E48" s="2598">
        <f>R48</f>
        <v>7973</v>
      </c>
      <c r="F48" s="2598"/>
      <c r="G48" s="2596">
        <f>T48</f>
        <v>8677</v>
      </c>
      <c r="H48" s="2597"/>
      <c r="I48" s="2598">
        <f>V48</f>
        <v>8711</v>
      </c>
      <c r="J48" s="2597"/>
      <c r="K48" s="1591"/>
      <c r="L48" s="2128"/>
      <c r="M48" s="2129"/>
      <c r="N48" s="2129"/>
      <c r="O48" s="2129"/>
      <c r="P48" s="3402" t="str">
        <f>A48</f>
        <v>比较价格（元/平方米）</v>
      </c>
      <c r="Q48" s="3402"/>
      <c r="R48" s="3519">
        <f>IF(F1="售价",ROUND(PRODUCT(R47,AA7:AA46),0),ROUND(PRODUCT(R47,AA7:AA46),1))</f>
        <v>7973</v>
      </c>
      <c r="S48" s="3519"/>
      <c r="T48" s="3519">
        <f>IF(F1="售价",ROUND(PRODUCT(T47,AB7:AB46),0),ROUND(PRODUCT(T47,AB7:AB46),1))</f>
        <v>8677</v>
      </c>
      <c r="U48" s="3519"/>
      <c r="V48" s="3519">
        <f>IF(F1="售价",ROUND(PRODUCT(V47,AC7:AC46),0),ROUND(PRODUCT(V47,AC7:AC46),1))</f>
        <v>8711</v>
      </c>
      <c r="W48" s="3519"/>
      <c r="X48" s="1544"/>
      <c r="Y48" s="1544"/>
      <c r="Z48" s="1544"/>
      <c r="AA48" s="1544"/>
      <c r="AB48" s="1544"/>
      <c r="AC48" s="1544"/>
    </row>
    <row r="49" spans="1:29" ht="15.75" thickBot="1">
      <c r="A49" s="621" t="s">
        <v>2925</v>
      </c>
      <c r="B49" s="622"/>
      <c r="C49" s="2599">
        <f>R49</f>
        <v>8454</v>
      </c>
      <c r="D49" s="2599"/>
      <c r="E49" s="2599"/>
      <c r="F49" s="2599"/>
      <c r="G49" s="2599"/>
      <c r="H49" s="2599"/>
      <c r="I49" s="2599"/>
      <c r="J49" s="2599"/>
      <c r="K49" s="1592"/>
      <c r="L49" s="2128"/>
      <c r="M49" s="2129"/>
      <c r="N49" s="2129"/>
      <c r="O49" s="2129"/>
      <c r="P49" s="3399" t="str">
        <f>A49</f>
        <v>估价对象XX用房的比较价格（楼面单价，元/平方米）</v>
      </c>
      <c r="Q49" s="3400"/>
      <c r="R49" s="3518">
        <f>IF(F1="售价",ROUND(AVERAGE(R48:V48),0),ROUND(AVERAGE(R48:V48),1))</f>
        <v>8454</v>
      </c>
      <c r="S49" s="3518"/>
      <c r="T49" s="3518"/>
      <c r="U49" s="3518"/>
      <c r="V49" s="3518"/>
      <c r="W49" s="351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0.1915213846732724</v>
      </c>
      <c r="F52" s="627" t="str">
        <f>IF(OR(E52&gt;=0.3,E52&lt;=-0.3),"超过30%","")</f>
        <v/>
      </c>
      <c r="G52" s="626">
        <f>IF(G47&lt;G48,G48/G47-1,G47/G48-1)</f>
        <v>2.0823529411764685E-2</v>
      </c>
      <c r="H52" s="627" t="str">
        <f>IF(OR(G52&gt;=0.3,G52&lt;=-0.3),"超过30%","")</f>
        <v/>
      </c>
      <c r="I52" s="626">
        <f>IF(I47&lt;I48,I48/I47-1,I47/I48-1)</f>
        <v>0.26277120881643889</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8.8298005769471999E-2</v>
      </c>
      <c r="F53" s="627" t="str">
        <f>IF(OR(E53&gt;=0.2,E53&lt;=-0.2),"超过20%","")</f>
        <v/>
      </c>
      <c r="G53" s="626">
        <f>IF(G48&lt;I48,I48/G48-1,G48/I48-1)</f>
        <v>3.9184049786793462E-3</v>
      </c>
      <c r="H53" s="627" t="str">
        <f>IF(OR(G53&gt;=0.2,G53&lt;=-0.2),"超过20%","")</f>
        <v/>
      </c>
      <c r="I53" s="626">
        <f>IF(I48&lt;E48,E48/I48-1,I48/E48-1)</f>
        <v>9.2562398093565701E-2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0.11764705882352944</v>
      </c>
      <c r="F54" s="627" t="str">
        <f>IF(OR(E54&gt;=0.3,E54&lt;=-0.3),"超过30%","")</f>
        <v/>
      </c>
      <c r="G54" s="626">
        <f>IF(G47&lt;I47,I47/G47-1,G47/I47-1)</f>
        <v>0.29411764705882359</v>
      </c>
      <c r="H54" s="627" t="str">
        <f>IF(OR(G54&gt;=0.3,G54&lt;=-0.3),"超过30%","")</f>
        <v/>
      </c>
      <c r="I54" s="626">
        <f>IF(I47&lt;E47,E47/I47-1,I47/E47-1)</f>
        <v>0.15789473684210531</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08" t="s">
        <v>521</v>
      </c>
      <c r="D4" s="3409"/>
      <c r="E4" s="3442" t="s">
        <v>522</v>
      </c>
      <c r="F4" s="3443"/>
      <c r="G4" s="3408" t="s">
        <v>523</v>
      </c>
      <c r="H4" s="3409"/>
      <c r="I4" s="3408" t="s">
        <v>524</v>
      </c>
      <c r="J4" s="3409"/>
      <c r="K4" s="514" t="s">
        <v>525</v>
      </c>
      <c r="L4" s="2117"/>
      <c r="M4" s="2118"/>
      <c r="N4" s="2118"/>
      <c r="O4" s="2118"/>
      <c r="P4" s="3410" t="s">
        <v>526</v>
      </c>
      <c r="Q4" s="3411"/>
      <c r="R4" s="3416" t="s">
        <v>522</v>
      </c>
      <c r="S4" s="3417"/>
      <c r="T4" s="3416" t="s">
        <v>523</v>
      </c>
      <c r="U4" s="3417"/>
      <c r="V4" s="3403" t="s">
        <v>524</v>
      </c>
      <c r="W4" s="3403"/>
      <c r="X4" s="1552"/>
      <c r="Y4" s="3416" t="s">
        <v>526</v>
      </c>
      <c r="Z4" s="3417"/>
      <c r="AA4" s="3405" t="s">
        <v>522</v>
      </c>
      <c r="AB4" s="3403" t="s">
        <v>523</v>
      </c>
      <c r="AC4" s="3405" t="s">
        <v>524</v>
      </c>
    </row>
    <row r="5" spans="1:29" ht="15">
      <c r="A5" s="515"/>
      <c r="B5" s="516"/>
      <c r="C5" s="3424" t="s">
        <v>2919</v>
      </c>
      <c r="D5" s="3425"/>
      <c r="E5" s="3444" t="s">
        <v>2920</v>
      </c>
      <c r="F5" s="3445"/>
      <c r="G5" s="3424" t="s">
        <v>2921</v>
      </c>
      <c r="H5" s="3425"/>
      <c r="I5" s="3424" t="s">
        <v>2922</v>
      </c>
      <c r="J5" s="3425"/>
      <c r="K5" s="514"/>
      <c r="L5" s="2117"/>
      <c r="M5" s="2118"/>
      <c r="N5" s="2118"/>
      <c r="O5" s="2118"/>
      <c r="P5" s="3412"/>
      <c r="Q5" s="3413"/>
      <c r="R5" s="3418"/>
      <c r="S5" s="3419"/>
      <c r="T5" s="3418"/>
      <c r="U5" s="3419"/>
      <c r="V5" s="3403"/>
      <c r="W5" s="3403"/>
      <c r="X5" s="1552"/>
      <c r="Y5" s="3418"/>
      <c r="Z5" s="3419"/>
      <c r="AA5" s="3406"/>
      <c r="AB5" s="3403"/>
      <c r="AC5" s="3406"/>
    </row>
    <row r="6" spans="1:29" ht="15.75" thickBot="1">
      <c r="A6" s="517"/>
      <c r="B6" s="518"/>
      <c r="C6" s="3422" t="s">
        <v>2923</v>
      </c>
      <c r="D6" s="3423"/>
      <c r="E6" s="3440" t="s">
        <v>2923</v>
      </c>
      <c r="F6" s="3441"/>
      <c r="G6" s="3422" t="s">
        <v>2923</v>
      </c>
      <c r="H6" s="3423"/>
      <c r="I6" s="3422" t="s">
        <v>2923</v>
      </c>
      <c r="J6" s="3423"/>
      <c r="K6" s="514" t="s">
        <v>527</v>
      </c>
      <c r="L6" s="2117"/>
      <c r="M6" s="2118"/>
      <c r="N6" s="2118"/>
      <c r="O6" s="2118"/>
      <c r="P6" s="3414"/>
      <c r="Q6" s="3415"/>
      <c r="R6" s="3418"/>
      <c r="S6" s="3419"/>
      <c r="T6" s="3420"/>
      <c r="U6" s="3421"/>
      <c r="V6" s="3403"/>
      <c r="W6" s="3403"/>
      <c r="X6" s="1552"/>
      <c r="Y6" s="3420"/>
      <c r="Z6" s="3421"/>
      <c r="AA6" s="3407"/>
      <c r="AB6" s="3403"/>
      <c r="AC6" s="3407"/>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33" t="s">
        <v>529</v>
      </c>
      <c r="Q7" s="3435"/>
      <c r="R7" s="1553" t="s">
        <v>8</v>
      </c>
      <c r="S7" s="1554">
        <f t="shared" ref="S7:S15" si="0">F7</f>
        <v>0</v>
      </c>
      <c r="T7" s="1553" t="s">
        <v>8</v>
      </c>
      <c r="U7" s="1554">
        <f t="shared" ref="U7:U15" si="1">H7</f>
        <v>0</v>
      </c>
      <c r="V7" s="1553" t="s">
        <v>8</v>
      </c>
      <c r="W7" s="1554">
        <f t="shared" ref="W7:W15" si="2">J7</f>
        <v>0</v>
      </c>
      <c r="X7" s="1555"/>
      <c r="Y7" s="3433" t="s">
        <v>529</v>
      </c>
      <c r="Z7" s="3434"/>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33" t="s">
        <v>532</v>
      </c>
      <c r="Q8" s="3434"/>
      <c r="R8" s="1553" t="s">
        <v>8</v>
      </c>
      <c r="S8" s="1554">
        <f t="shared" si="0"/>
        <v>0</v>
      </c>
      <c r="T8" s="1553" t="s">
        <v>8</v>
      </c>
      <c r="U8" s="1554">
        <f t="shared" si="1"/>
        <v>0</v>
      </c>
      <c r="V8" s="1553" t="s">
        <v>8</v>
      </c>
      <c r="W8" s="1554">
        <f t="shared" si="2"/>
        <v>0</v>
      </c>
      <c r="X8" s="1555"/>
      <c r="Y8" s="3433" t="s">
        <v>532</v>
      </c>
      <c r="Z8" s="3434"/>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2" t="s">
        <v>534</v>
      </c>
      <c r="Q9" s="1147" t="str">
        <f t="shared" ref="Q9:Q15" si="6">B9</f>
        <v>用途</v>
      </c>
      <c r="R9" s="1553" t="s">
        <v>8</v>
      </c>
      <c r="S9" s="1554">
        <f t="shared" si="0"/>
        <v>100</v>
      </c>
      <c r="T9" s="1553" t="s">
        <v>8</v>
      </c>
      <c r="U9" s="1554">
        <f t="shared" si="1"/>
        <v>100</v>
      </c>
      <c r="V9" s="1553" t="s">
        <v>8</v>
      </c>
      <c r="W9" s="1554">
        <f t="shared" si="2"/>
        <v>100</v>
      </c>
      <c r="X9" s="1555"/>
      <c r="Y9" s="3348"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2"/>
      <c r="Q10" s="1147" t="str">
        <f t="shared" si="6"/>
        <v>土地使用年限（年）</v>
      </c>
      <c r="R10" s="1553" t="s">
        <v>8</v>
      </c>
      <c r="S10" s="1554">
        <f t="shared" si="0"/>
        <v>100</v>
      </c>
      <c r="T10" s="1553" t="s">
        <v>8</v>
      </c>
      <c r="U10" s="1554">
        <f t="shared" si="1"/>
        <v>100</v>
      </c>
      <c r="V10" s="1553" t="s">
        <v>8</v>
      </c>
      <c r="W10" s="1554">
        <f t="shared" si="2"/>
        <v>100</v>
      </c>
      <c r="X10" s="1555"/>
      <c r="Y10" s="3348"/>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2"/>
      <c r="Q11" s="1147" t="str">
        <f t="shared" si="6"/>
        <v>容积率</v>
      </c>
      <c r="R11" s="1553" t="s">
        <v>8</v>
      </c>
      <c r="S11" s="1554" t="e">
        <f t="shared" si="0"/>
        <v>#N/A</v>
      </c>
      <c r="T11" s="1553" t="s">
        <v>8</v>
      </c>
      <c r="U11" s="1554" t="e">
        <f t="shared" si="1"/>
        <v>#N/A</v>
      </c>
      <c r="V11" s="1553" t="s">
        <v>8</v>
      </c>
      <c r="W11" s="1554" t="e">
        <f t="shared" si="2"/>
        <v>#N/A</v>
      </c>
      <c r="X11" s="1555"/>
      <c r="Y11" s="3348"/>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2"/>
      <c r="Q12" s="1147">
        <f t="shared" si="6"/>
        <v>111</v>
      </c>
      <c r="R12" s="1553" t="s">
        <v>8</v>
      </c>
      <c r="S12" s="1554">
        <f t="shared" si="0"/>
        <v>100</v>
      </c>
      <c r="T12" s="1553" t="s">
        <v>8</v>
      </c>
      <c r="U12" s="1554">
        <f t="shared" si="1"/>
        <v>100</v>
      </c>
      <c r="V12" s="1553" t="s">
        <v>8</v>
      </c>
      <c r="W12" s="1554">
        <f t="shared" si="2"/>
        <v>100</v>
      </c>
      <c r="X12" s="1555"/>
      <c r="Y12" s="3348"/>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2"/>
      <c r="Q13" s="1147">
        <f t="shared" si="6"/>
        <v>111</v>
      </c>
      <c r="R13" s="1553" t="s">
        <v>8</v>
      </c>
      <c r="S13" s="1554">
        <f t="shared" si="0"/>
        <v>100</v>
      </c>
      <c r="T13" s="1553" t="s">
        <v>8</v>
      </c>
      <c r="U13" s="1554">
        <f t="shared" si="1"/>
        <v>100</v>
      </c>
      <c r="V13" s="1553" t="s">
        <v>8</v>
      </c>
      <c r="W13" s="1554">
        <f t="shared" si="2"/>
        <v>100</v>
      </c>
      <c r="X13" s="1555"/>
      <c r="Y13" s="3348"/>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2"/>
      <c r="Q14" s="1147">
        <f t="shared" si="6"/>
        <v>111</v>
      </c>
      <c r="R14" s="1553" t="s">
        <v>8</v>
      </c>
      <c r="S14" s="1554">
        <f t="shared" si="0"/>
        <v>100</v>
      </c>
      <c r="T14" s="1553" t="s">
        <v>8</v>
      </c>
      <c r="U14" s="1554">
        <f t="shared" si="1"/>
        <v>100</v>
      </c>
      <c r="V14" s="1553" t="s">
        <v>8</v>
      </c>
      <c r="W14" s="1554">
        <f t="shared" si="2"/>
        <v>100</v>
      </c>
      <c r="X14" s="1555"/>
      <c r="Y14" s="3348"/>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36" t="s">
        <v>539</v>
      </c>
      <c r="Q15" s="1557" t="str">
        <f t="shared" si="6"/>
        <v>商业繁华度</v>
      </c>
      <c r="R15" s="1558" t="s">
        <v>8</v>
      </c>
      <c r="S15" s="1559">
        <f t="shared" si="0"/>
        <v>100</v>
      </c>
      <c r="T15" s="1558" t="s">
        <v>8</v>
      </c>
      <c r="U15" s="1559">
        <f t="shared" si="1"/>
        <v>100</v>
      </c>
      <c r="V15" s="1558" t="s">
        <v>8</v>
      </c>
      <c r="W15" s="1559">
        <f t="shared" si="2"/>
        <v>100</v>
      </c>
      <c r="X15" s="1552"/>
      <c r="Y15" s="3436"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7"/>
      <c r="Q16" s="1557"/>
      <c r="R16" s="1558"/>
      <c r="S16" s="1559"/>
      <c r="T16" s="1558"/>
      <c r="U16" s="1559"/>
      <c r="V16" s="1558"/>
      <c r="W16" s="1559"/>
      <c r="X16" s="1552"/>
      <c r="Y16" s="3437"/>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37"/>
      <c r="Q17" s="1557" t="str">
        <f>B17</f>
        <v>交通便捷度</v>
      </c>
      <c r="R17" s="1558" t="s">
        <v>8</v>
      </c>
      <c r="S17" s="1559">
        <f>F17</f>
        <v>100</v>
      </c>
      <c r="T17" s="1558" t="s">
        <v>8</v>
      </c>
      <c r="U17" s="1559">
        <f>H17</f>
        <v>100</v>
      </c>
      <c r="V17" s="1558" t="s">
        <v>8</v>
      </c>
      <c r="W17" s="1559">
        <f>J17</f>
        <v>100</v>
      </c>
      <c r="X17" s="1552"/>
      <c r="Y17" s="343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7"/>
      <c r="Q18" s="1557"/>
      <c r="R18" s="1558"/>
      <c r="S18" s="1559"/>
      <c r="T18" s="1558"/>
      <c r="U18" s="1559"/>
      <c r="V18" s="1558"/>
      <c r="W18" s="1559"/>
      <c r="X18" s="1552"/>
      <c r="Y18" s="3437"/>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37"/>
      <c r="Q19" s="1557" t="str">
        <f>B19</f>
        <v>公共配套设施</v>
      </c>
      <c r="R19" s="1558" t="s">
        <v>8</v>
      </c>
      <c r="S19" s="1559">
        <f>F19</f>
        <v>100</v>
      </c>
      <c r="T19" s="1558" t="s">
        <v>8</v>
      </c>
      <c r="U19" s="1559">
        <f>H19</f>
        <v>100</v>
      </c>
      <c r="V19" s="1558" t="s">
        <v>8</v>
      </c>
      <c r="W19" s="1559">
        <f>J19</f>
        <v>100</v>
      </c>
      <c r="X19" s="1552"/>
      <c r="Y19" s="343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37"/>
      <c r="Q20" s="1557"/>
      <c r="R20" s="1558"/>
      <c r="S20" s="1559"/>
      <c r="T20" s="1558"/>
      <c r="U20" s="1559"/>
      <c r="V20" s="1558"/>
      <c r="W20" s="1559"/>
      <c r="X20" s="1552"/>
      <c r="Y20" s="3437"/>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37"/>
      <c r="Q21" s="2542" t="str">
        <f>B21</f>
        <v>基础设施水平</v>
      </c>
      <c r="R21" s="1558" t="s">
        <v>8</v>
      </c>
      <c r="S21" s="1559">
        <f>F21</f>
        <v>100</v>
      </c>
      <c r="T21" s="1558" t="s">
        <v>8</v>
      </c>
      <c r="U21" s="1559">
        <f>H21</f>
        <v>100</v>
      </c>
      <c r="V21" s="1558" t="s">
        <v>8</v>
      </c>
      <c r="W21" s="1559">
        <f>J21</f>
        <v>100</v>
      </c>
      <c r="X21" s="2544"/>
      <c r="Y21" s="343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37"/>
      <c r="Q22" s="2542"/>
      <c r="R22" s="1558"/>
      <c r="S22" s="1559"/>
      <c r="T22" s="1558"/>
      <c r="U22" s="1559"/>
      <c r="V22" s="1558"/>
      <c r="W22" s="1559"/>
      <c r="X22" s="2544"/>
      <c r="Y22" s="3437"/>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37"/>
      <c r="Q23" s="1557" t="str">
        <f>B23</f>
        <v>自然及人文环境</v>
      </c>
      <c r="R23" s="1558" t="s">
        <v>8</v>
      </c>
      <c r="S23" s="1559">
        <f>F23</f>
        <v>100</v>
      </c>
      <c r="T23" s="1558" t="s">
        <v>8</v>
      </c>
      <c r="U23" s="1559">
        <f>H23</f>
        <v>100</v>
      </c>
      <c r="V23" s="1558" t="s">
        <v>8</v>
      </c>
      <c r="W23" s="1559">
        <f>J23</f>
        <v>100</v>
      </c>
      <c r="X23" s="1552"/>
      <c r="Y23" s="343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37"/>
      <c r="Q24" s="1557"/>
      <c r="R24" s="1558"/>
      <c r="S24" s="1559"/>
      <c r="T24" s="1558"/>
      <c r="U24" s="1559"/>
      <c r="V24" s="1558"/>
      <c r="W24" s="1559"/>
      <c r="X24" s="1552"/>
      <c r="Y24" s="3437"/>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37"/>
      <c r="Q25" s="1557" t="str">
        <f t="shared" ref="Q25:Q46" si="11">B25</f>
        <v>临街状况</v>
      </c>
      <c r="R25" s="1558" t="s">
        <v>8</v>
      </c>
      <c r="S25" s="1559">
        <f>F25</f>
        <v>100</v>
      </c>
      <c r="T25" s="1558" t="s">
        <v>8</v>
      </c>
      <c r="U25" s="1559">
        <f>H25</f>
        <v>100</v>
      </c>
      <c r="V25" s="1558" t="s">
        <v>8</v>
      </c>
      <c r="W25" s="1559">
        <f>J25</f>
        <v>100</v>
      </c>
      <c r="X25" s="1552"/>
      <c r="Y25" s="3437"/>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37"/>
      <c r="Q26" s="1557" t="str">
        <f t="shared" si="11"/>
        <v>平面位置/可视性</v>
      </c>
      <c r="R26" s="1558" t="s">
        <v>8</v>
      </c>
      <c r="S26" s="1559">
        <f>F26</f>
        <v>100</v>
      </c>
      <c r="T26" s="1558" t="s">
        <v>8</v>
      </c>
      <c r="U26" s="1559">
        <f>H26</f>
        <v>100</v>
      </c>
      <c r="V26" s="1558" t="s">
        <v>8</v>
      </c>
      <c r="W26" s="1559">
        <f>J26</f>
        <v>100</v>
      </c>
      <c r="X26" s="1552"/>
      <c r="Y26" s="3437"/>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37"/>
      <c r="Q27" s="1147" t="str">
        <f t="shared" si="11"/>
        <v>人流量</v>
      </c>
      <c r="R27" s="1553" t="s">
        <v>8</v>
      </c>
      <c r="S27" s="1554">
        <f>F27</f>
        <v>100</v>
      </c>
      <c r="T27" s="1553" t="s">
        <v>8</v>
      </c>
      <c r="U27" s="1554">
        <f>H27</f>
        <v>100</v>
      </c>
      <c r="V27" s="1553" t="s">
        <v>8</v>
      </c>
      <c r="W27" s="1554">
        <f>J27</f>
        <v>100</v>
      </c>
      <c r="X27" s="1555"/>
      <c r="Y27" s="3437"/>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3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37"/>
      <c r="Q29" s="1557">
        <f t="shared" si="11"/>
        <v>111</v>
      </c>
      <c r="R29" s="1558" t="s">
        <v>8</v>
      </c>
      <c r="S29" s="1559">
        <f t="shared" si="12"/>
        <v>100</v>
      </c>
      <c r="T29" s="1558" t="s">
        <v>8</v>
      </c>
      <c r="U29" s="1559">
        <f t="shared" si="13"/>
        <v>100</v>
      </c>
      <c r="V29" s="1558" t="s">
        <v>8</v>
      </c>
      <c r="W29" s="1559">
        <f t="shared" si="14"/>
        <v>100</v>
      </c>
      <c r="X29" s="1552"/>
      <c r="Y29" s="343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37"/>
      <c r="Q30" s="1557">
        <f t="shared" si="11"/>
        <v>111</v>
      </c>
      <c r="R30" s="1558" t="s">
        <v>8</v>
      </c>
      <c r="S30" s="1559">
        <f t="shared" si="12"/>
        <v>100</v>
      </c>
      <c r="T30" s="1558" t="s">
        <v>8</v>
      </c>
      <c r="U30" s="1559">
        <f t="shared" si="13"/>
        <v>100</v>
      </c>
      <c r="V30" s="1558" t="s">
        <v>8</v>
      </c>
      <c r="W30" s="1559">
        <f t="shared" si="14"/>
        <v>100</v>
      </c>
      <c r="X30" s="1552"/>
      <c r="Y30" s="3437"/>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37"/>
      <c r="Q31" s="1557">
        <f t="shared" si="11"/>
        <v>111</v>
      </c>
      <c r="R31" s="1558" t="s">
        <v>8</v>
      </c>
      <c r="S31" s="1559">
        <f t="shared" si="12"/>
        <v>100</v>
      </c>
      <c r="T31" s="1558" t="s">
        <v>8</v>
      </c>
      <c r="U31" s="1559">
        <f t="shared" si="13"/>
        <v>100</v>
      </c>
      <c r="V31" s="1558" t="s">
        <v>8</v>
      </c>
      <c r="W31" s="1559">
        <f t="shared" si="14"/>
        <v>100</v>
      </c>
      <c r="X31" s="1552"/>
      <c r="Y31" s="3437"/>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38" t="s">
        <v>549</v>
      </c>
      <c r="Q32" s="1557" t="str">
        <f t="shared" si="11"/>
        <v>商业类型</v>
      </c>
      <c r="R32" s="1558" t="s">
        <v>8</v>
      </c>
      <c r="S32" s="1559">
        <f t="shared" si="12"/>
        <v>100</v>
      </c>
      <c r="T32" s="1558" t="s">
        <v>8</v>
      </c>
      <c r="U32" s="1559">
        <f t="shared" si="13"/>
        <v>100</v>
      </c>
      <c r="V32" s="1558" t="s">
        <v>8</v>
      </c>
      <c r="W32" s="1559">
        <f t="shared" si="14"/>
        <v>100</v>
      </c>
      <c r="X32" s="1552"/>
      <c r="Y32" s="3439"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39"/>
      <c r="Q33" s="1589" t="str">
        <f t="shared" si="11"/>
        <v>项目建筑规模</v>
      </c>
      <c r="R33" s="1562" t="s">
        <v>8</v>
      </c>
      <c r="S33" s="1563" t="e">
        <f t="shared" si="12"/>
        <v>#N/A</v>
      </c>
      <c r="T33" s="1562" t="s">
        <v>8</v>
      </c>
      <c r="U33" s="1563" t="e">
        <f t="shared" si="13"/>
        <v>#N/A</v>
      </c>
      <c r="V33" s="1562" t="s">
        <v>8</v>
      </c>
      <c r="W33" s="1563" t="e">
        <f t="shared" si="14"/>
        <v>#N/A</v>
      </c>
      <c r="X33" s="1564"/>
      <c r="Y33" s="3439"/>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39"/>
      <c r="Q34" s="1557" t="str">
        <f t="shared" si="11"/>
        <v>建筑结构</v>
      </c>
      <c r="R34" s="1558" t="s">
        <v>8</v>
      </c>
      <c r="S34" s="1559">
        <f t="shared" si="12"/>
        <v>100</v>
      </c>
      <c r="T34" s="1558" t="s">
        <v>8</v>
      </c>
      <c r="U34" s="1559">
        <f t="shared" si="13"/>
        <v>100</v>
      </c>
      <c r="V34" s="1558" t="s">
        <v>8</v>
      </c>
      <c r="W34" s="1559">
        <f t="shared" si="14"/>
        <v>100</v>
      </c>
      <c r="X34" s="1552"/>
      <c r="Y34" s="3439"/>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39"/>
      <c r="Q35" s="1557" t="str">
        <f t="shared" si="11"/>
        <v>公共部分装修</v>
      </c>
      <c r="R35" s="1558" t="s">
        <v>8</v>
      </c>
      <c r="S35" s="1559">
        <f t="shared" si="12"/>
        <v>100</v>
      </c>
      <c r="T35" s="1558" t="s">
        <v>8</v>
      </c>
      <c r="U35" s="1559">
        <f t="shared" si="13"/>
        <v>100</v>
      </c>
      <c r="V35" s="1558" t="s">
        <v>8</v>
      </c>
      <c r="W35" s="1559">
        <f t="shared" si="14"/>
        <v>100</v>
      </c>
      <c r="X35" s="1552"/>
      <c r="Y35" s="3439"/>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39"/>
      <c r="Q36" s="1557" t="str">
        <f t="shared" si="11"/>
        <v>成新度</v>
      </c>
      <c r="R36" s="1558" t="s">
        <v>8</v>
      </c>
      <c r="S36" s="1559" t="e">
        <f t="shared" si="12"/>
        <v>#N/A</v>
      </c>
      <c r="T36" s="1558" t="s">
        <v>8</v>
      </c>
      <c r="U36" s="1559" t="e">
        <f t="shared" si="13"/>
        <v>#N/A</v>
      </c>
      <c r="V36" s="1558" t="s">
        <v>8</v>
      </c>
      <c r="W36" s="1559" t="e">
        <f t="shared" si="14"/>
        <v>#N/A</v>
      </c>
      <c r="X36" s="1552"/>
      <c r="Y36" s="3439"/>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39"/>
      <c r="Q37" s="1147" t="str">
        <f t="shared" si="11"/>
        <v>市政基础设施</v>
      </c>
      <c r="R37" s="1553" t="s">
        <v>8</v>
      </c>
      <c r="S37" s="1554">
        <f t="shared" si="12"/>
        <v>100</v>
      </c>
      <c r="T37" s="1553" t="s">
        <v>8</v>
      </c>
      <c r="U37" s="1554">
        <f t="shared" si="13"/>
        <v>100</v>
      </c>
      <c r="V37" s="1553" t="s">
        <v>8</v>
      </c>
      <c r="W37" s="1554">
        <f t="shared" si="14"/>
        <v>100</v>
      </c>
      <c r="X37" s="1555"/>
      <c r="Y37" s="3439"/>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39" t="s">
        <v>765</v>
      </c>
      <c r="Q38" s="1557" t="str">
        <f t="shared" si="11"/>
        <v>业态</v>
      </c>
      <c r="R38" s="1558" t="s">
        <v>8</v>
      </c>
      <c r="S38" s="1559">
        <f t="shared" si="12"/>
        <v>100</v>
      </c>
      <c r="T38" s="1558" t="s">
        <v>8</v>
      </c>
      <c r="U38" s="1559">
        <f t="shared" si="13"/>
        <v>100</v>
      </c>
      <c r="V38" s="1558" t="s">
        <v>8</v>
      </c>
      <c r="W38" s="1559">
        <f t="shared" si="14"/>
        <v>100</v>
      </c>
      <c r="X38" s="1552"/>
      <c r="Y38" s="3439"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9"/>
      <c r="Q39" s="1557" t="str">
        <f t="shared" si="11"/>
        <v>层高</v>
      </c>
      <c r="R39" s="1558" t="s">
        <v>8</v>
      </c>
      <c r="S39" s="1559">
        <f t="shared" si="12"/>
        <v>100</v>
      </c>
      <c r="T39" s="1558" t="s">
        <v>8</v>
      </c>
      <c r="U39" s="1559">
        <f t="shared" si="13"/>
        <v>100</v>
      </c>
      <c r="V39" s="1558" t="s">
        <v>8</v>
      </c>
      <c r="W39" s="1559">
        <f t="shared" si="14"/>
        <v>100</v>
      </c>
      <c r="X39" s="1552"/>
      <c r="Y39" s="3439"/>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39"/>
      <c r="Q40" s="1557" t="str">
        <f t="shared" si="11"/>
        <v>单套建筑面积</v>
      </c>
      <c r="R40" s="1558" t="s">
        <v>8</v>
      </c>
      <c r="S40" s="1559">
        <f t="shared" si="12"/>
        <v>100</v>
      </c>
      <c r="T40" s="1558" t="s">
        <v>8</v>
      </c>
      <c r="U40" s="1559">
        <f t="shared" si="13"/>
        <v>100</v>
      </c>
      <c r="V40" s="1558" t="s">
        <v>8</v>
      </c>
      <c r="W40" s="1559">
        <f t="shared" si="14"/>
        <v>100</v>
      </c>
      <c r="X40" s="1552"/>
      <c r="Y40" s="3439"/>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39"/>
      <c r="Q41" s="1589" t="str">
        <f t="shared" si="11"/>
        <v>进深比</v>
      </c>
      <c r="R41" s="1562" t="s">
        <v>8</v>
      </c>
      <c r="S41" s="1563">
        <f t="shared" si="12"/>
        <v>100</v>
      </c>
      <c r="T41" s="1562" t="s">
        <v>8</v>
      </c>
      <c r="U41" s="1563">
        <f t="shared" si="13"/>
        <v>100</v>
      </c>
      <c r="V41" s="1562" t="s">
        <v>8</v>
      </c>
      <c r="W41" s="1563">
        <f t="shared" si="14"/>
        <v>100</v>
      </c>
      <c r="X41" s="1564"/>
      <c r="Y41" s="3439"/>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39"/>
      <c r="Q42" s="1557" t="str">
        <f t="shared" si="11"/>
        <v>内部装修</v>
      </c>
      <c r="R42" s="1558" t="s">
        <v>8</v>
      </c>
      <c r="S42" s="1559">
        <f t="shared" si="12"/>
        <v>100</v>
      </c>
      <c r="T42" s="1558" t="s">
        <v>8</v>
      </c>
      <c r="U42" s="1559">
        <f t="shared" si="13"/>
        <v>100</v>
      </c>
      <c r="V42" s="1558" t="s">
        <v>8</v>
      </c>
      <c r="W42" s="1559">
        <f t="shared" si="14"/>
        <v>100</v>
      </c>
      <c r="X42" s="1552"/>
      <c r="Y42" s="3439"/>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39"/>
      <c r="Q43" s="1557" t="str">
        <f t="shared" si="11"/>
        <v>内部装修维护情况</v>
      </c>
      <c r="R43" s="1558" t="s">
        <v>8</v>
      </c>
      <c r="S43" s="1559">
        <f t="shared" si="12"/>
        <v>100</v>
      </c>
      <c r="T43" s="1558" t="s">
        <v>8</v>
      </c>
      <c r="U43" s="1559">
        <f t="shared" si="13"/>
        <v>100</v>
      </c>
      <c r="V43" s="1558" t="s">
        <v>8</v>
      </c>
      <c r="W43" s="1559">
        <f t="shared" si="14"/>
        <v>100</v>
      </c>
      <c r="X43" s="1552"/>
      <c r="Y43" s="343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39"/>
      <c r="Q44" s="1147">
        <f t="shared" si="11"/>
        <v>111</v>
      </c>
      <c r="R44" s="1553" t="s">
        <v>8</v>
      </c>
      <c r="S44" s="1554">
        <f t="shared" si="12"/>
        <v>100</v>
      </c>
      <c r="T44" s="1553" t="s">
        <v>8</v>
      </c>
      <c r="U44" s="1554">
        <f t="shared" si="13"/>
        <v>100</v>
      </c>
      <c r="V44" s="1553" t="s">
        <v>8</v>
      </c>
      <c r="W44" s="1554">
        <f t="shared" si="14"/>
        <v>100</v>
      </c>
      <c r="X44" s="1555"/>
      <c r="Y44" s="343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39"/>
      <c r="Q45" s="1557">
        <f t="shared" si="11"/>
        <v>111</v>
      </c>
      <c r="R45" s="1558" t="s">
        <v>8</v>
      </c>
      <c r="S45" s="1559">
        <f t="shared" si="12"/>
        <v>100</v>
      </c>
      <c r="T45" s="1558" t="s">
        <v>8</v>
      </c>
      <c r="U45" s="1559">
        <f t="shared" si="13"/>
        <v>100</v>
      </c>
      <c r="V45" s="1558" t="s">
        <v>8</v>
      </c>
      <c r="W45" s="1559">
        <f t="shared" si="14"/>
        <v>100</v>
      </c>
      <c r="X45" s="1552"/>
      <c r="Y45" s="3439"/>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0"/>
      <c r="Q46" s="1557">
        <f t="shared" si="11"/>
        <v>111</v>
      </c>
      <c r="R46" s="1558" t="s">
        <v>8</v>
      </c>
      <c r="S46" s="1559">
        <f t="shared" si="12"/>
        <v>100</v>
      </c>
      <c r="T46" s="1558" t="s">
        <v>8</v>
      </c>
      <c r="U46" s="1559">
        <f t="shared" si="13"/>
        <v>100</v>
      </c>
      <c r="V46" s="1558" t="s">
        <v>8</v>
      </c>
      <c r="W46" s="1559">
        <f t="shared" si="14"/>
        <v>100</v>
      </c>
      <c r="X46" s="1552"/>
      <c r="Y46" s="3520"/>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02" t="str">
        <f>A47</f>
        <v>成交单价（元/平方米）</v>
      </c>
      <c r="Q47" s="3402"/>
      <c r="R47" s="3519">
        <f>E47</f>
        <v>0</v>
      </c>
      <c r="S47" s="3519"/>
      <c r="T47" s="3519">
        <f>G47</f>
        <v>0</v>
      </c>
      <c r="U47" s="3519"/>
      <c r="V47" s="3519">
        <f>I47</f>
        <v>0</v>
      </c>
      <c r="W47" s="3519"/>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02" t="str">
        <f>A48</f>
        <v>比较价格（元/平方米）</v>
      </c>
      <c r="Q48" s="3402"/>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399" t="str">
        <f>A49</f>
        <v>估价对象XX用房的比较价格（楼面单价，元/平方米）</v>
      </c>
      <c r="Q49" s="3400"/>
      <c r="R49" s="3518" t="e">
        <f>IF(F1="售价",ROUND(AVERAGE(R48:V48),0),ROUND(AVERAGE(R48:V48),1))</f>
        <v>#DIV/0!</v>
      </c>
      <c r="S49" s="3518"/>
      <c r="T49" s="3518"/>
      <c r="U49" s="3518"/>
      <c r="V49" s="3518"/>
      <c r="W49" s="351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08" t="s">
        <v>521</v>
      </c>
      <c r="D4" s="3409"/>
      <c r="E4" s="3442" t="s">
        <v>522</v>
      </c>
      <c r="F4" s="3443"/>
      <c r="G4" s="3408" t="s">
        <v>523</v>
      </c>
      <c r="H4" s="3409"/>
      <c r="I4" s="3408" t="s">
        <v>524</v>
      </c>
      <c r="J4" s="3409"/>
      <c r="K4" s="514" t="s">
        <v>525</v>
      </c>
      <c r="L4" s="2117"/>
      <c r="M4" s="2118"/>
      <c r="N4" s="2118"/>
      <c r="O4" s="2118"/>
      <c r="P4" s="3524" t="s">
        <v>526</v>
      </c>
      <c r="Q4" s="3411"/>
      <c r="R4" s="3416" t="s">
        <v>522</v>
      </c>
      <c r="S4" s="3417"/>
      <c r="T4" s="3416" t="s">
        <v>523</v>
      </c>
      <c r="U4" s="3417"/>
      <c r="V4" s="3403" t="s">
        <v>524</v>
      </c>
      <c r="W4" s="3403"/>
      <c r="X4" s="1552"/>
      <c r="Y4" s="3416" t="s">
        <v>526</v>
      </c>
      <c r="Z4" s="3417"/>
      <c r="AA4" s="3405" t="s">
        <v>522</v>
      </c>
      <c r="AB4" s="3405" t="s">
        <v>523</v>
      </c>
      <c r="AC4" s="3405" t="s">
        <v>524</v>
      </c>
    </row>
    <row r="5" spans="1:29" ht="15">
      <c r="A5" s="515"/>
      <c r="B5" s="516"/>
      <c r="C5" s="3424" t="s">
        <v>2919</v>
      </c>
      <c r="D5" s="3425"/>
      <c r="E5" s="3444" t="s">
        <v>2920</v>
      </c>
      <c r="F5" s="3445"/>
      <c r="G5" s="3424" t="s">
        <v>2921</v>
      </c>
      <c r="H5" s="3425"/>
      <c r="I5" s="3424" t="s">
        <v>2922</v>
      </c>
      <c r="J5" s="3425"/>
      <c r="K5" s="514"/>
      <c r="L5" s="2117"/>
      <c r="M5" s="2118"/>
      <c r="N5" s="2118"/>
      <c r="O5" s="2118"/>
      <c r="P5" s="3525"/>
      <c r="Q5" s="3413"/>
      <c r="R5" s="3418"/>
      <c r="S5" s="3419"/>
      <c r="T5" s="3418"/>
      <c r="U5" s="3419"/>
      <c r="V5" s="3403"/>
      <c r="W5" s="3403"/>
      <c r="X5" s="1552"/>
      <c r="Y5" s="3418"/>
      <c r="Z5" s="3419"/>
      <c r="AA5" s="3406"/>
      <c r="AB5" s="3406"/>
      <c r="AC5" s="3406"/>
    </row>
    <row r="6" spans="1:29" ht="15.75" thickBot="1">
      <c r="A6" s="517"/>
      <c r="B6" s="518"/>
      <c r="C6" s="3422" t="s">
        <v>2923</v>
      </c>
      <c r="D6" s="3423"/>
      <c r="E6" s="3440" t="s">
        <v>2923</v>
      </c>
      <c r="F6" s="3441"/>
      <c r="G6" s="3422" t="s">
        <v>2923</v>
      </c>
      <c r="H6" s="3423"/>
      <c r="I6" s="3422" t="s">
        <v>2923</v>
      </c>
      <c r="J6" s="3423"/>
      <c r="K6" s="514" t="s">
        <v>527</v>
      </c>
      <c r="L6" s="2117"/>
      <c r="M6" s="2118"/>
      <c r="N6" s="2118"/>
      <c r="O6" s="2118"/>
      <c r="P6" s="3526"/>
      <c r="Q6" s="3415"/>
      <c r="R6" s="3418"/>
      <c r="S6" s="3419"/>
      <c r="T6" s="3420"/>
      <c r="U6" s="3421"/>
      <c r="V6" s="3403"/>
      <c r="W6" s="3403"/>
      <c r="X6" s="1552"/>
      <c r="Y6" s="3420"/>
      <c r="Z6" s="3421"/>
      <c r="AA6" s="3407"/>
      <c r="AB6" s="3407"/>
      <c r="AC6" s="3407"/>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35" t="s">
        <v>529</v>
      </c>
      <c r="Q7" s="3435"/>
      <c r="R7" s="1553" t="s">
        <v>8</v>
      </c>
      <c r="S7" s="1554">
        <f t="shared" ref="S7:S15" si="0">F7</f>
        <v>0</v>
      </c>
      <c r="T7" s="1553" t="s">
        <v>8</v>
      </c>
      <c r="U7" s="1554">
        <f t="shared" ref="U7:U15" si="1">H7</f>
        <v>0</v>
      </c>
      <c r="V7" s="1553" t="s">
        <v>8</v>
      </c>
      <c r="W7" s="1554">
        <f t="shared" ref="W7:W15" si="2">J7</f>
        <v>0</v>
      </c>
      <c r="X7" s="1555"/>
      <c r="Y7" s="3433" t="s">
        <v>529</v>
      </c>
      <c r="Z7" s="3434"/>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35" t="s">
        <v>532</v>
      </c>
      <c r="Q8" s="3434"/>
      <c r="R8" s="1553" t="s">
        <v>8</v>
      </c>
      <c r="S8" s="1554">
        <f t="shared" si="0"/>
        <v>0</v>
      </c>
      <c r="T8" s="1553" t="s">
        <v>8</v>
      </c>
      <c r="U8" s="1554">
        <f t="shared" si="1"/>
        <v>0</v>
      </c>
      <c r="V8" s="1553" t="s">
        <v>8</v>
      </c>
      <c r="W8" s="1554">
        <f t="shared" si="2"/>
        <v>0</v>
      </c>
      <c r="X8" s="1555"/>
      <c r="Y8" s="3433" t="s">
        <v>532</v>
      </c>
      <c r="Z8" s="3434"/>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2" t="s">
        <v>534</v>
      </c>
      <c r="Q9" s="1147" t="str">
        <f t="shared" ref="Q9:Q15" si="6">B9</f>
        <v>用途</v>
      </c>
      <c r="R9" s="1553" t="s">
        <v>8</v>
      </c>
      <c r="S9" s="1554">
        <f t="shared" si="0"/>
        <v>100</v>
      </c>
      <c r="T9" s="1553" t="s">
        <v>8</v>
      </c>
      <c r="U9" s="1554">
        <f t="shared" si="1"/>
        <v>100</v>
      </c>
      <c r="V9" s="1553" t="s">
        <v>8</v>
      </c>
      <c r="W9" s="1554">
        <f t="shared" si="2"/>
        <v>100</v>
      </c>
      <c r="X9" s="1555"/>
      <c r="Y9" s="3348"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2"/>
      <c r="Q10" s="1147" t="str">
        <f t="shared" si="6"/>
        <v>土地使用年限（年）</v>
      </c>
      <c r="R10" s="1553" t="s">
        <v>8</v>
      </c>
      <c r="S10" s="1554">
        <f t="shared" si="0"/>
        <v>100</v>
      </c>
      <c r="T10" s="1553" t="s">
        <v>8</v>
      </c>
      <c r="U10" s="1554">
        <f t="shared" si="1"/>
        <v>100</v>
      </c>
      <c r="V10" s="1553" t="s">
        <v>8</v>
      </c>
      <c r="W10" s="1554">
        <f t="shared" si="2"/>
        <v>100</v>
      </c>
      <c r="X10" s="1555"/>
      <c r="Y10" s="3348"/>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2"/>
      <c r="Q11" s="1147" t="str">
        <f t="shared" si="6"/>
        <v>容积率</v>
      </c>
      <c r="R11" s="1553" t="s">
        <v>8</v>
      </c>
      <c r="S11" s="1554" t="e">
        <f t="shared" si="0"/>
        <v>#N/A</v>
      </c>
      <c r="T11" s="1553" t="s">
        <v>8</v>
      </c>
      <c r="U11" s="1554" t="e">
        <f t="shared" si="1"/>
        <v>#N/A</v>
      </c>
      <c r="V11" s="1553" t="s">
        <v>8</v>
      </c>
      <c r="W11" s="1554" t="e">
        <f t="shared" si="2"/>
        <v>#N/A</v>
      </c>
      <c r="X11" s="1555"/>
      <c r="Y11" s="3348"/>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2"/>
      <c r="Q12" s="1147">
        <f t="shared" si="6"/>
        <v>111</v>
      </c>
      <c r="R12" s="1553" t="s">
        <v>8</v>
      </c>
      <c r="S12" s="1554">
        <f t="shared" si="0"/>
        <v>100</v>
      </c>
      <c r="T12" s="1553" t="s">
        <v>8</v>
      </c>
      <c r="U12" s="1554">
        <f t="shared" si="1"/>
        <v>100</v>
      </c>
      <c r="V12" s="1553" t="s">
        <v>8</v>
      </c>
      <c r="W12" s="1554">
        <f t="shared" si="2"/>
        <v>100</v>
      </c>
      <c r="X12" s="1555"/>
      <c r="Y12" s="3348"/>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2"/>
      <c r="Q13" s="1147">
        <f t="shared" si="6"/>
        <v>111</v>
      </c>
      <c r="R13" s="1553" t="s">
        <v>8</v>
      </c>
      <c r="S13" s="1554">
        <f t="shared" si="0"/>
        <v>100</v>
      </c>
      <c r="T13" s="1553" t="s">
        <v>8</v>
      </c>
      <c r="U13" s="1554">
        <f t="shared" si="1"/>
        <v>100</v>
      </c>
      <c r="V13" s="1553" t="s">
        <v>8</v>
      </c>
      <c r="W13" s="1554">
        <f t="shared" si="2"/>
        <v>100</v>
      </c>
      <c r="X13" s="1555"/>
      <c r="Y13" s="3348"/>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2"/>
      <c r="Q14" s="1147">
        <f t="shared" si="6"/>
        <v>111</v>
      </c>
      <c r="R14" s="1553" t="s">
        <v>8</v>
      </c>
      <c r="S14" s="1554">
        <f t="shared" si="0"/>
        <v>100</v>
      </c>
      <c r="T14" s="1553" t="s">
        <v>8</v>
      </c>
      <c r="U14" s="1554">
        <f t="shared" si="1"/>
        <v>100</v>
      </c>
      <c r="V14" s="1553" t="s">
        <v>8</v>
      </c>
      <c r="W14" s="1554">
        <f t="shared" si="2"/>
        <v>100</v>
      </c>
      <c r="X14" s="1555"/>
      <c r="Y14" s="3348"/>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36" t="s">
        <v>539</v>
      </c>
      <c r="Q15" s="1557" t="str">
        <f t="shared" si="6"/>
        <v>办公集聚程度</v>
      </c>
      <c r="R15" s="1558" t="s">
        <v>8</v>
      </c>
      <c r="S15" s="1559">
        <f t="shared" si="0"/>
        <v>100</v>
      </c>
      <c r="T15" s="1558" t="s">
        <v>8</v>
      </c>
      <c r="U15" s="1559">
        <f t="shared" si="1"/>
        <v>100</v>
      </c>
      <c r="V15" s="1558" t="s">
        <v>8</v>
      </c>
      <c r="W15" s="1559">
        <f t="shared" si="2"/>
        <v>100</v>
      </c>
      <c r="X15" s="1552"/>
      <c r="Y15" s="3436"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37"/>
      <c r="Q16" s="1557"/>
      <c r="R16" s="1558"/>
      <c r="S16" s="1559"/>
      <c r="T16" s="1558"/>
      <c r="U16" s="1559"/>
      <c r="V16" s="1558"/>
      <c r="W16" s="1559"/>
      <c r="X16" s="1552"/>
      <c r="Y16" s="3437"/>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37"/>
      <c r="Q17" s="1557" t="str">
        <f>B17</f>
        <v>交通便捷度</v>
      </c>
      <c r="R17" s="1558" t="s">
        <v>8</v>
      </c>
      <c r="S17" s="1559">
        <f>F17</f>
        <v>100</v>
      </c>
      <c r="T17" s="1558" t="s">
        <v>8</v>
      </c>
      <c r="U17" s="1559">
        <f>H17</f>
        <v>100</v>
      </c>
      <c r="V17" s="1558" t="s">
        <v>8</v>
      </c>
      <c r="W17" s="1559">
        <f>J17</f>
        <v>100</v>
      </c>
      <c r="X17" s="1552"/>
      <c r="Y17" s="343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37"/>
      <c r="Q18" s="1557"/>
      <c r="R18" s="1558"/>
      <c r="S18" s="1559"/>
      <c r="T18" s="1558"/>
      <c r="U18" s="1559"/>
      <c r="V18" s="1558"/>
      <c r="W18" s="1559"/>
      <c r="X18" s="1552"/>
      <c r="Y18" s="3437"/>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37"/>
      <c r="Q19" s="1557" t="str">
        <f>B19</f>
        <v>公共配套设施</v>
      </c>
      <c r="R19" s="1558" t="s">
        <v>8</v>
      </c>
      <c r="S19" s="1559">
        <f>F19</f>
        <v>100</v>
      </c>
      <c r="T19" s="1558" t="s">
        <v>8</v>
      </c>
      <c r="U19" s="1559">
        <f>H19</f>
        <v>100</v>
      </c>
      <c r="V19" s="1558" t="s">
        <v>8</v>
      </c>
      <c r="W19" s="1559">
        <f>J19</f>
        <v>100</v>
      </c>
      <c r="X19" s="1552"/>
      <c r="Y19" s="343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37"/>
      <c r="Q20" s="1557"/>
      <c r="R20" s="1558"/>
      <c r="S20" s="1559"/>
      <c r="T20" s="1558"/>
      <c r="U20" s="1559"/>
      <c r="V20" s="1558"/>
      <c r="W20" s="1559"/>
      <c r="X20" s="1552"/>
      <c r="Y20" s="3437"/>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37"/>
      <c r="Q21" s="2542" t="str">
        <f>B21</f>
        <v>基础设施水平</v>
      </c>
      <c r="R21" s="1558" t="s">
        <v>8</v>
      </c>
      <c r="S21" s="1559">
        <f>F21</f>
        <v>100</v>
      </c>
      <c r="T21" s="1558" t="s">
        <v>8</v>
      </c>
      <c r="U21" s="1559">
        <f>H21</f>
        <v>100</v>
      </c>
      <c r="V21" s="1558" t="s">
        <v>8</v>
      </c>
      <c r="W21" s="1559">
        <f>J21</f>
        <v>100</v>
      </c>
      <c r="X21" s="2544"/>
      <c r="Y21" s="343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37"/>
      <c r="Q22" s="2542"/>
      <c r="R22" s="1558"/>
      <c r="S22" s="1559"/>
      <c r="T22" s="1558"/>
      <c r="U22" s="1559"/>
      <c r="V22" s="1558"/>
      <c r="W22" s="1559"/>
      <c r="X22" s="2544"/>
      <c r="Y22" s="3437"/>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37"/>
      <c r="Q23" s="1557" t="str">
        <f>B23</f>
        <v>环境质量</v>
      </c>
      <c r="R23" s="1558" t="s">
        <v>8</v>
      </c>
      <c r="S23" s="1559">
        <f>F23</f>
        <v>100</v>
      </c>
      <c r="T23" s="1558" t="s">
        <v>8</v>
      </c>
      <c r="U23" s="1559">
        <f>H23</f>
        <v>100</v>
      </c>
      <c r="V23" s="1558" t="s">
        <v>8</v>
      </c>
      <c r="W23" s="1559">
        <f>J23</f>
        <v>100</v>
      </c>
      <c r="X23" s="1552"/>
      <c r="Y23" s="343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37"/>
      <c r="Q24" s="1557"/>
      <c r="R24" s="1558"/>
      <c r="S24" s="1559"/>
      <c r="T24" s="1558"/>
      <c r="U24" s="1559"/>
      <c r="V24" s="1558"/>
      <c r="W24" s="1559"/>
      <c r="X24" s="1552"/>
      <c r="Y24" s="3437"/>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37"/>
      <c r="Q25" s="1557" t="str">
        <f>B25</f>
        <v>毗邻道路的类型与等级</v>
      </c>
      <c r="R25" s="1558" t="s">
        <v>8</v>
      </c>
      <c r="S25" s="1559">
        <f>F25</f>
        <v>100</v>
      </c>
      <c r="T25" s="1558" t="s">
        <v>8</v>
      </c>
      <c r="U25" s="1559">
        <f>H25</f>
        <v>100</v>
      </c>
      <c r="V25" s="1558" t="s">
        <v>8</v>
      </c>
      <c r="W25" s="1559">
        <f>J25</f>
        <v>100</v>
      </c>
      <c r="X25" s="1552"/>
      <c r="Y25" s="343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37"/>
      <c r="Q26" s="1557"/>
      <c r="R26" s="1558"/>
      <c r="S26" s="1559"/>
      <c r="T26" s="1558"/>
      <c r="U26" s="1559"/>
      <c r="V26" s="1558"/>
      <c r="W26" s="1559"/>
      <c r="X26" s="1552"/>
      <c r="Y26" s="3437"/>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37"/>
      <c r="Q27" s="1557" t="str">
        <f t="shared" ref="Q27:Q47" si="11">B27</f>
        <v>楼层</v>
      </c>
      <c r="R27" s="1558" t="s">
        <v>8</v>
      </c>
      <c r="S27" s="1559">
        <f>F27</f>
        <v>100</v>
      </c>
      <c r="T27" s="1558" t="s">
        <v>8</v>
      </c>
      <c r="U27" s="1559">
        <f>H27</f>
        <v>100</v>
      </c>
      <c r="V27" s="1558" t="s">
        <v>8</v>
      </c>
      <c r="W27" s="1559">
        <f>J27</f>
        <v>100</v>
      </c>
      <c r="X27" s="1552"/>
      <c r="Y27" s="3437"/>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37"/>
      <c r="Q28" s="1147" t="str">
        <f t="shared" si="11"/>
        <v>朝向</v>
      </c>
      <c r="R28" s="1553" t="s">
        <v>8</v>
      </c>
      <c r="S28" s="1554">
        <f>F28</f>
        <v>100</v>
      </c>
      <c r="T28" s="1553" t="s">
        <v>8</v>
      </c>
      <c r="U28" s="1554">
        <f>H28</f>
        <v>100</v>
      </c>
      <c r="V28" s="1553" t="s">
        <v>8</v>
      </c>
      <c r="W28" s="1554">
        <f>J28</f>
        <v>100</v>
      </c>
      <c r="X28" s="1555"/>
      <c r="Y28" s="3437"/>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37"/>
      <c r="Q29" s="1557">
        <f t="shared" si="11"/>
        <v>111</v>
      </c>
      <c r="R29" s="1558" t="s">
        <v>8</v>
      </c>
      <c r="S29" s="1559">
        <f t="shared" ref="S29:S47" si="12">F29</f>
        <v>100</v>
      </c>
      <c r="T29" s="1558" t="s">
        <v>8</v>
      </c>
      <c r="U29" s="1559">
        <f t="shared" ref="U29:U47" si="13">H29</f>
        <v>100</v>
      </c>
      <c r="V29" s="1558" t="s">
        <v>8</v>
      </c>
      <c r="W29" s="1559">
        <f t="shared" ref="W29:W47" si="14">J29</f>
        <v>100</v>
      </c>
      <c r="X29" s="1552"/>
      <c r="Y29" s="3437"/>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37"/>
      <c r="Q30" s="1557">
        <f t="shared" si="11"/>
        <v>111</v>
      </c>
      <c r="R30" s="1558" t="s">
        <v>8</v>
      </c>
      <c r="S30" s="1559">
        <f t="shared" si="12"/>
        <v>100</v>
      </c>
      <c r="T30" s="1558" t="s">
        <v>8</v>
      </c>
      <c r="U30" s="1559">
        <f t="shared" si="13"/>
        <v>100</v>
      </c>
      <c r="V30" s="1558" t="s">
        <v>8</v>
      </c>
      <c r="W30" s="1559">
        <f t="shared" si="14"/>
        <v>100</v>
      </c>
      <c r="X30" s="1552"/>
      <c r="Y30" s="3437"/>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37"/>
      <c r="Q31" s="1557">
        <f t="shared" si="11"/>
        <v>111</v>
      </c>
      <c r="R31" s="1558" t="s">
        <v>8</v>
      </c>
      <c r="S31" s="1559">
        <f t="shared" si="12"/>
        <v>100</v>
      </c>
      <c r="T31" s="1558" t="s">
        <v>8</v>
      </c>
      <c r="U31" s="1559">
        <f t="shared" si="13"/>
        <v>100</v>
      </c>
      <c r="V31" s="1558" t="s">
        <v>8</v>
      </c>
      <c r="W31" s="1559">
        <f t="shared" si="14"/>
        <v>100</v>
      </c>
      <c r="X31" s="1552"/>
      <c r="Y31" s="3437"/>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37"/>
      <c r="Q32" s="1557">
        <f t="shared" si="11"/>
        <v>111</v>
      </c>
      <c r="R32" s="1558" t="s">
        <v>8</v>
      </c>
      <c r="S32" s="1559">
        <f t="shared" si="12"/>
        <v>100</v>
      </c>
      <c r="T32" s="1558" t="s">
        <v>8</v>
      </c>
      <c r="U32" s="1559">
        <f t="shared" si="13"/>
        <v>100</v>
      </c>
      <c r="V32" s="1558" t="s">
        <v>8</v>
      </c>
      <c r="W32" s="1559">
        <f t="shared" si="14"/>
        <v>100</v>
      </c>
      <c r="X32" s="1552"/>
      <c r="Y32" s="3437"/>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38" t="s">
        <v>549</v>
      </c>
      <c r="Q33" s="1557" t="str">
        <f t="shared" si="11"/>
        <v>建筑类型</v>
      </c>
      <c r="R33" s="1558" t="s">
        <v>8</v>
      </c>
      <c r="S33" s="1559">
        <f t="shared" si="12"/>
        <v>100</v>
      </c>
      <c r="T33" s="1558" t="s">
        <v>8</v>
      </c>
      <c r="U33" s="1559">
        <f t="shared" si="13"/>
        <v>100</v>
      </c>
      <c r="V33" s="1558" t="s">
        <v>8</v>
      </c>
      <c r="W33" s="1559">
        <f t="shared" si="14"/>
        <v>100</v>
      </c>
      <c r="X33" s="1552"/>
      <c r="Y33" s="3439"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39"/>
      <c r="Q34" s="1589" t="str">
        <f t="shared" si="11"/>
        <v>项目建筑规模</v>
      </c>
      <c r="R34" s="1562" t="s">
        <v>8</v>
      </c>
      <c r="S34" s="1563" t="e">
        <f t="shared" si="12"/>
        <v>#N/A</v>
      </c>
      <c r="T34" s="1562" t="s">
        <v>8</v>
      </c>
      <c r="U34" s="1563" t="e">
        <f t="shared" si="13"/>
        <v>#N/A</v>
      </c>
      <c r="V34" s="1562" t="s">
        <v>8</v>
      </c>
      <c r="W34" s="1563" t="e">
        <f t="shared" si="14"/>
        <v>#N/A</v>
      </c>
      <c r="X34" s="1564"/>
      <c r="Y34" s="3439"/>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39"/>
      <c r="Q35" s="1557" t="str">
        <f t="shared" si="11"/>
        <v>建筑结构</v>
      </c>
      <c r="R35" s="1558" t="s">
        <v>8</v>
      </c>
      <c r="S35" s="1559">
        <f t="shared" si="12"/>
        <v>100</v>
      </c>
      <c r="T35" s="1558" t="s">
        <v>8</v>
      </c>
      <c r="U35" s="1559">
        <f t="shared" si="13"/>
        <v>100</v>
      </c>
      <c r="V35" s="1558" t="s">
        <v>8</v>
      </c>
      <c r="W35" s="1559">
        <f t="shared" si="14"/>
        <v>100</v>
      </c>
      <c r="X35" s="1552"/>
      <c r="Y35" s="3439"/>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39"/>
      <c r="Q36" s="1557" t="str">
        <f t="shared" si="11"/>
        <v>公共部分装修</v>
      </c>
      <c r="R36" s="1558" t="s">
        <v>8</v>
      </c>
      <c r="S36" s="1559">
        <f t="shared" si="12"/>
        <v>100</v>
      </c>
      <c r="T36" s="1558" t="s">
        <v>8</v>
      </c>
      <c r="U36" s="1559">
        <f t="shared" si="13"/>
        <v>100</v>
      </c>
      <c r="V36" s="1558" t="s">
        <v>8</v>
      </c>
      <c r="W36" s="1559">
        <f t="shared" si="14"/>
        <v>100</v>
      </c>
      <c r="X36" s="1552"/>
      <c r="Y36" s="3439"/>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39"/>
      <c r="Q37" s="1557" t="str">
        <f t="shared" si="11"/>
        <v>成新度</v>
      </c>
      <c r="R37" s="1558" t="s">
        <v>8</v>
      </c>
      <c r="S37" s="1559" t="e">
        <f t="shared" si="12"/>
        <v>#N/A</v>
      </c>
      <c r="T37" s="1558" t="s">
        <v>8</v>
      </c>
      <c r="U37" s="1559" t="e">
        <f t="shared" si="13"/>
        <v>#N/A</v>
      </c>
      <c r="V37" s="1558" t="s">
        <v>8</v>
      </c>
      <c r="W37" s="1559" t="e">
        <f t="shared" si="14"/>
        <v>#N/A</v>
      </c>
      <c r="X37" s="1552"/>
      <c r="Y37" s="3439"/>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39"/>
      <c r="Q38" s="1147" t="str">
        <f t="shared" si="11"/>
        <v>写字楼等级</v>
      </c>
      <c r="R38" s="1553" t="s">
        <v>8</v>
      </c>
      <c r="S38" s="1554">
        <f t="shared" si="12"/>
        <v>100</v>
      </c>
      <c r="T38" s="1553" t="s">
        <v>8</v>
      </c>
      <c r="U38" s="1554">
        <f t="shared" si="13"/>
        <v>100</v>
      </c>
      <c r="V38" s="1553" t="s">
        <v>8</v>
      </c>
      <c r="W38" s="1554">
        <f t="shared" si="14"/>
        <v>100</v>
      </c>
      <c r="X38" s="1555"/>
      <c r="Y38" s="3439"/>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39" t="s">
        <v>549</v>
      </c>
      <c r="Q39" s="1557" t="str">
        <f t="shared" si="11"/>
        <v>物业管理</v>
      </c>
      <c r="R39" s="1558" t="s">
        <v>8</v>
      </c>
      <c r="S39" s="1559">
        <f t="shared" si="12"/>
        <v>100</v>
      </c>
      <c r="T39" s="1558" t="s">
        <v>8</v>
      </c>
      <c r="U39" s="1559">
        <f t="shared" si="13"/>
        <v>100</v>
      </c>
      <c r="V39" s="1558" t="s">
        <v>8</v>
      </c>
      <c r="W39" s="1559">
        <f t="shared" si="14"/>
        <v>100</v>
      </c>
      <c r="X39" s="1552"/>
      <c r="Y39" s="3439"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39"/>
      <c r="Q40" s="1557" t="str">
        <f t="shared" si="11"/>
        <v>市政基础设施</v>
      </c>
      <c r="R40" s="1558" t="s">
        <v>8</v>
      </c>
      <c r="S40" s="1559">
        <f t="shared" si="12"/>
        <v>100</v>
      </c>
      <c r="T40" s="1558" t="s">
        <v>8</v>
      </c>
      <c r="U40" s="1559">
        <f t="shared" si="13"/>
        <v>100</v>
      </c>
      <c r="V40" s="1558" t="s">
        <v>8</v>
      </c>
      <c r="W40" s="1559">
        <f t="shared" si="14"/>
        <v>100</v>
      </c>
      <c r="X40" s="1552"/>
      <c r="Y40" s="3439"/>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39"/>
      <c r="Q41" s="1557" t="str">
        <f t="shared" si="11"/>
        <v>层高</v>
      </c>
      <c r="R41" s="1558" t="s">
        <v>8</v>
      </c>
      <c r="S41" s="1559">
        <f t="shared" si="12"/>
        <v>100</v>
      </c>
      <c r="T41" s="1558" t="s">
        <v>8</v>
      </c>
      <c r="U41" s="1559">
        <f t="shared" si="13"/>
        <v>100</v>
      </c>
      <c r="V41" s="1558" t="s">
        <v>8</v>
      </c>
      <c r="W41" s="1559">
        <f t="shared" si="14"/>
        <v>100</v>
      </c>
      <c r="X41" s="1552"/>
      <c r="Y41" s="3439"/>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39"/>
      <c r="Q42" s="1589" t="str">
        <f t="shared" si="11"/>
        <v>单套建筑面积</v>
      </c>
      <c r="R42" s="1562" t="s">
        <v>8</v>
      </c>
      <c r="S42" s="1563">
        <f t="shared" si="12"/>
        <v>100</v>
      </c>
      <c r="T42" s="1562" t="s">
        <v>8</v>
      </c>
      <c r="U42" s="1563">
        <f t="shared" si="13"/>
        <v>100</v>
      </c>
      <c r="V42" s="1562" t="s">
        <v>8</v>
      </c>
      <c r="W42" s="1563">
        <f t="shared" si="14"/>
        <v>100</v>
      </c>
      <c r="X42" s="1564"/>
      <c r="Y42" s="3439"/>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39"/>
      <c r="Q43" s="1557" t="str">
        <f t="shared" si="11"/>
        <v>内部装修</v>
      </c>
      <c r="R43" s="1558" t="s">
        <v>8</v>
      </c>
      <c r="S43" s="1559">
        <f t="shared" si="12"/>
        <v>100</v>
      </c>
      <c r="T43" s="1558" t="s">
        <v>8</v>
      </c>
      <c r="U43" s="1559">
        <f t="shared" si="13"/>
        <v>100</v>
      </c>
      <c r="V43" s="1558" t="s">
        <v>8</v>
      </c>
      <c r="W43" s="1559">
        <f t="shared" si="14"/>
        <v>100</v>
      </c>
      <c r="X43" s="1552"/>
      <c r="Y43" s="3439"/>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39"/>
      <c r="Q44" s="1557" t="str">
        <f t="shared" si="11"/>
        <v>内部装修维护情况</v>
      </c>
      <c r="R44" s="1558" t="s">
        <v>8</v>
      </c>
      <c r="S44" s="1559">
        <f t="shared" si="12"/>
        <v>100</v>
      </c>
      <c r="T44" s="1558" t="s">
        <v>8</v>
      </c>
      <c r="U44" s="1559">
        <f t="shared" si="13"/>
        <v>100</v>
      </c>
      <c r="V44" s="1558" t="s">
        <v>8</v>
      </c>
      <c r="W44" s="1559">
        <f t="shared" si="14"/>
        <v>100</v>
      </c>
      <c r="X44" s="1552"/>
      <c r="Y44" s="3439"/>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39"/>
      <c r="Q45" s="1147">
        <f t="shared" si="11"/>
        <v>111</v>
      </c>
      <c r="R45" s="1553" t="s">
        <v>8</v>
      </c>
      <c r="S45" s="1554">
        <f t="shared" si="12"/>
        <v>100</v>
      </c>
      <c r="T45" s="1553" t="s">
        <v>8</v>
      </c>
      <c r="U45" s="1554">
        <f t="shared" si="13"/>
        <v>100</v>
      </c>
      <c r="V45" s="1553" t="s">
        <v>8</v>
      </c>
      <c r="W45" s="1554">
        <f t="shared" si="14"/>
        <v>100</v>
      </c>
      <c r="X45" s="1555"/>
      <c r="Y45" s="3439"/>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39"/>
      <c r="Q46" s="1557">
        <f t="shared" si="11"/>
        <v>111</v>
      </c>
      <c r="R46" s="1558" t="s">
        <v>8</v>
      </c>
      <c r="S46" s="1559">
        <f t="shared" si="12"/>
        <v>100</v>
      </c>
      <c r="T46" s="1558" t="s">
        <v>8</v>
      </c>
      <c r="U46" s="1559">
        <f t="shared" si="13"/>
        <v>100</v>
      </c>
      <c r="V46" s="1558" t="s">
        <v>8</v>
      </c>
      <c r="W46" s="1559">
        <f t="shared" si="14"/>
        <v>100</v>
      </c>
      <c r="X46" s="1552"/>
      <c r="Y46" s="3439"/>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0"/>
      <c r="Q47" s="1557">
        <f t="shared" si="11"/>
        <v>111</v>
      </c>
      <c r="R47" s="1558" t="s">
        <v>8</v>
      </c>
      <c r="S47" s="1559">
        <f t="shared" si="12"/>
        <v>100</v>
      </c>
      <c r="T47" s="1558" t="s">
        <v>8</v>
      </c>
      <c r="U47" s="1559">
        <f t="shared" si="13"/>
        <v>100</v>
      </c>
      <c r="V47" s="1558" t="s">
        <v>8</v>
      </c>
      <c r="W47" s="1559">
        <f t="shared" si="14"/>
        <v>100</v>
      </c>
      <c r="X47" s="1552"/>
      <c r="Y47" s="3520"/>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400" t="str">
        <f>A48</f>
        <v>成交单价（元/平方米）</v>
      </c>
      <c r="Q48" s="3402"/>
      <c r="R48" s="3519">
        <f>E48</f>
        <v>0</v>
      </c>
      <c r="S48" s="3519"/>
      <c r="T48" s="3519">
        <f>G48</f>
        <v>0</v>
      </c>
      <c r="U48" s="3519"/>
      <c r="V48" s="3519">
        <f>I48</f>
        <v>0</v>
      </c>
      <c r="W48" s="3519"/>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00" t="str">
        <f>A49</f>
        <v>比较价格（元/平方米）</v>
      </c>
      <c r="Q49" s="3402"/>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23" t="str">
        <f>A50</f>
        <v>估价对象XX用房的比较价格（楼面单价，元/平方米）</v>
      </c>
      <c r="Q50" s="3400"/>
      <c r="R50" s="3518" t="e">
        <f>IF(F1="售价",ROUND(AVERAGE(R49:V49),0),ROUND(AVERAGE(R49:V49),1))</f>
        <v>#DIV/0!</v>
      </c>
      <c r="S50" s="3518"/>
      <c r="T50" s="3518"/>
      <c r="U50" s="3518"/>
      <c r="V50" s="3518"/>
      <c r="W50" s="351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08" t="s">
        <v>521</v>
      </c>
      <c r="D4" s="3409"/>
      <c r="E4" s="3442" t="s">
        <v>522</v>
      </c>
      <c r="F4" s="3443"/>
      <c r="G4" s="3408" t="s">
        <v>523</v>
      </c>
      <c r="H4" s="3409"/>
      <c r="I4" s="3408" t="s">
        <v>524</v>
      </c>
      <c r="J4" s="3409"/>
      <c r="K4" s="514" t="s">
        <v>525</v>
      </c>
      <c r="L4" s="2117"/>
      <c r="M4" s="2118"/>
      <c r="N4" s="2118"/>
      <c r="O4" s="2118"/>
      <c r="P4" s="3410" t="s">
        <v>526</v>
      </c>
      <c r="Q4" s="3411"/>
      <c r="R4" s="3416" t="s">
        <v>522</v>
      </c>
      <c r="S4" s="3417"/>
      <c r="T4" s="3416" t="s">
        <v>523</v>
      </c>
      <c r="U4" s="3417"/>
      <c r="V4" s="3403" t="s">
        <v>524</v>
      </c>
      <c r="W4" s="3403"/>
      <c r="X4" s="1552"/>
      <c r="Y4" s="3416" t="s">
        <v>526</v>
      </c>
      <c r="Z4" s="3417"/>
      <c r="AA4" s="3405" t="s">
        <v>522</v>
      </c>
      <c r="AB4" s="3406" t="s">
        <v>523</v>
      </c>
      <c r="AC4" s="3405" t="s">
        <v>524</v>
      </c>
    </row>
    <row r="5" spans="1:29" ht="15">
      <c r="A5" s="515"/>
      <c r="B5" s="516"/>
      <c r="C5" s="3424" t="s">
        <v>2919</v>
      </c>
      <c r="D5" s="3425"/>
      <c r="E5" s="3444" t="s">
        <v>2920</v>
      </c>
      <c r="F5" s="3445"/>
      <c r="G5" s="3424" t="s">
        <v>2921</v>
      </c>
      <c r="H5" s="3425"/>
      <c r="I5" s="3424" t="s">
        <v>2922</v>
      </c>
      <c r="J5" s="3425"/>
      <c r="K5" s="514"/>
      <c r="L5" s="2117"/>
      <c r="M5" s="2118"/>
      <c r="N5" s="2118"/>
      <c r="O5" s="2118"/>
      <c r="P5" s="3412"/>
      <c r="Q5" s="3413"/>
      <c r="R5" s="3418"/>
      <c r="S5" s="3419"/>
      <c r="T5" s="3418"/>
      <c r="U5" s="3419"/>
      <c r="V5" s="3403"/>
      <c r="W5" s="3403"/>
      <c r="X5" s="1552"/>
      <c r="Y5" s="3418"/>
      <c r="Z5" s="3419"/>
      <c r="AA5" s="3406"/>
      <c r="AB5" s="3406"/>
      <c r="AC5" s="3406"/>
    </row>
    <row r="6" spans="1:29" ht="15.75" thickBot="1">
      <c r="A6" s="517"/>
      <c r="B6" s="518"/>
      <c r="C6" s="3422" t="s">
        <v>2923</v>
      </c>
      <c r="D6" s="3423"/>
      <c r="E6" s="3440" t="s">
        <v>2923</v>
      </c>
      <c r="F6" s="3441"/>
      <c r="G6" s="3422" t="s">
        <v>2923</v>
      </c>
      <c r="H6" s="3423"/>
      <c r="I6" s="3422" t="s">
        <v>2923</v>
      </c>
      <c r="J6" s="3423"/>
      <c r="K6" s="514" t="s">
        <v>527</v>
      </c>
      <c r="L6" s="2117"/>
      <c r="M6" s="2118"/>
      <c r="N6" s="2118"/>
      <c r="O6" s="2118"/>
      <c r="P6" s="3414"/>
      <c r="Q6" s="3415"/>
      <c r="R6" s="3418"/>
      <c r="S6" s="3419"/>
      <c r="T6" s="3420"/>
      <c r="U6" s="3421"/>
      <c r="V6" s="3403"/>
      <c r="W6" s="3403"/>
      <c r="X6" s="1552"/>
      <c r="Y6" s="3420"/>
      <c r="Z6" s="3421"/>
      <c r="AA6" s="3407"/>
      <c r="AB6" s="3407"/>
      <c r="AC6" s="3407"/>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33" t="s">
        <v>529</v>
      </c>
      <c r="Q7" s="3435"/>
      <c r="R7" s="1553" t="s">
        <v>8</v>
      </c>
      <c r="S7" s="1554">
        <f t="shared" ref="S7:S15" si="0">F7</f>
        <v>0</v>
      </c>
      <c r="T7" s="1553" t="s">
        <v>8</v>
      </c>
      <c r="U7" s="1554">
        <f t="shared" ref="U7:U15" si="1">H7</f>
        <v>0</v>
      </c>
      <c r="V7" s="1553" t="s">
        <v>8</v>
      </c>
      <c r="W7" s="1554">
        <f t="shared" ref="W7:W15" si="2">J7</f>
        <v>0</v>
      </c>
      <c r="X7" s="1555"/>
      <c r="Y7" s="3433" t="s">
        <v>529</v>
      </c>
      <c r="Z7" s="3434"/>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33" t="s">
        <v>532</v>
      </c>
      <c r="Q8" s="3434"/>
      <c r="R8" s="1553" t="s">
        <v>8</v>
      </c>
      <c r="S8" s="1554">
        <f t="shared" si="0"/>
        <v>0</v>
      </c>
      <c r="T8" s="1553" t="s">
        <v>8</v>
      </c>
      <c r="U8" s="1554">
        <f t="shared" si="1"/>
        <v>0</v>
      </c>
      <c r="V8" s="1553" t="s">
        <v>8</v>
      </c>
      <c r="W8" s="1554">
        <f t="shared" si="2"/>
        <v>0</v>
      </c>
      <c r="X8" s="1555"/>
      <c r="Y8" s="3433" t="s">
        <v>532</v>
      </c>
      <c r="Z8" s="3434"/>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2" t="s">
        <v>534</v>
      </c>
      <c r="Q9" s="1147" t="str">
        <f t="shared" ref="Q9:Q15" si="6">B9</f>
        <v>用途</v>
      </c>
      <c r="R9" s="1553" t="s">
        <v>8</v>
      </c>
      <c r="S9" s="1554">
        <f t="shared" si="0"/>
        <v>100</v>
      </c>
      <c r="T9" s="1553" t="s">
        <v>8</v>
      </c>
      <c r="U9" s="1554">
        <f t="shared" si="1"/>
        <v>100</v>
      </c>
      <c r="V9" s="1553" t="s">
        <v>8</v>
      </c>
      <c r="W9" s="1554">
        <f t="shared" si="2"/>
        <v>100</v>
      </c>
      <c r="X9" s="1555"/>
      <c r="Y9" s="3348"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2"/>
      <c r="Q10" s="1147" t="str">
        <f t="shared" si="6"/>
        <v>土地使用年限（年）</v>
      </c>
      <c r="R10" s="1553" t="s">
        <v>8</v>
      </c>
      <c r="S10" s="1554">
        <f t="shared" si="0"/>
        <v>100</v>
      </c>
      <c r="T10" s="1553" t="s">
        <v>8</v>
      </c>
      <c r="U10" s="1554">
        <f t="shared" si="1"/>
        <v>100</v>
      </c>
      <c r="V10" s="1553" t="s">
        <v>8</v>
      </c>
      <c r="W10" s="1554">
        <f t="shared" si="2"/>
        <v>100</v>
      </c>
      <c r="X10" s="1555"/>
      <c r="Y10" s="3348"/>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2"/>
      <c r="Q11" s="1147" t="str">
        <f t="shared" si="6"/>
        <v>容积率</v>
      </c>
      <c r="R11" s="1553" t="s">
        <v>8</v>
      </c>
      <c r="S11" s="1554" t="e">
        <f t="shared" si="0"/>
        <v>#N/A</v>
      </c>
      <c r="T11" s="1553" t="s">
        <v>8</v>
      </c>
      <c r="U11" s="1554" t="e">
        <f t="shared" si="1"/>
        <v>#N/A</v>
      </c>
      <c r="V11" s="1553" t="s">
        <v>8</v>
      </c>
      <c r="W11" s="1554" t="e">
        <f t="shared" si="2"/>
        <v>#N/A</v>
      </c>
      <c r="X11" s="1555"/>
      <c r="Y11" s="3348"/>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2"/>
      <c r="Q12" s="1147">
        <f t="shared" si="6"/>
        <v>111</v>
      </c>
      <c r="R12" s="1553" t="s">
        <v>8</v>
      </c>
      <c r="S12" s="1554">
        <f t="shared" si="0"/>
        <v>100</v>
      </c>
      <c r="T12" s="1553" t="s">
        <v>8</v>
      </c>
      <c r="U12" s="1554">
        <f t="shared" si="1"/>
        <v>100</v>
      </c>
      <c r="V12" s="1553" t="s">
        <v>8</v>
      </c>
      <c r="W12" s="1554">
        <f t="shared" si="2"/>
        <v>100</v>
      </c>
      <c r="X12" s="1555"/>
      <c r="Y12" s="3348"/>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2"/>
      <c r="Q13" s="1147">
        <f t="shared" si="6"/>
        <v>111</v>
      </c>
      <c r="R13" s="1553" t="s">
        <v>8</v>
      </c>
      <c r="S13" s="1554">
        <f t="shared" si="0"/>
        <v>100</v>
      </c>
      <c r="T13" s="1553" t="s">
        <v>8</v>
      </c>
      <c r="U13" s="1554">
        <f t="shared" si="1"/>
        <v>100</v>
      </c>
      <c r="V13" s="1553" t="s">
        <v>8</v>
      </c>
      <c r="W13" s="1554">
        <f t="shared" si="2"/>
        <v>100</v>
      </c>
      <c r="X13" s="1555"/>
      <c r="Y13" s="3348"/>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2"/>
      <c r="Q14" s="1147">
        <f t="shared" si="6"/>
        <v>111</v>
      </c>
      <c r="R14" s="1553" t="s">
        <v>8</v>
      </c>
      <c r="S14" s="1554">
        <f t="shared" si="0"/>
        <v>100</v>
      </c>
      <c r="T14" s="1553" t="s">
        <v>8</v>
      </c>
      <c r="U14" s="1554">
        <f t="shared" si="1"/>
        <v>100</v>
      </c>
      <c r="V14" s="1553" t="s">
        <v>8</v>
      </c>
      <c r="W14" s="1554">
        <f t="shared" si="2"/>
        <v>100</v>
      </c>
      <c r="X14" s="1555"/>
      <c r="Y14" s="3348"/>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36" t="s">
        <v>539</v>
      </c>
      <c r="Q15" s="1557" t="str">
        <f t="shared" si="6"/>
        <v>产业集聚程度</v>
      </c>
      <c r="R15" s="1558" t="s">
        <v>8</v>
      </c>
      <c r="S15" s="1559">
        <f t="shared" si="0"/>
        <v>100</v>
      </c>
      <c r="T15" s="1558" t="s">
        <v>8</v>
      </c>
      <c r="U15" s="1559">
        <f t="shared" si="1"/>
        <v>100</v>
      </c>
      <c r="V15" s="1558" t="s">
        <v>8</v>
      </c>
      <c r="W15" s="1559">
        <f t="shared" si="2"/>
        <v>100</v>
      </c>
      <c r="X15" s="1552"/>
      <c r="Y15" s="3436"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7"/>
      <c r="Q16" s="1557"/>
      <c r="R16" s="1558"/>
      <c r="S16" s="1559"/>
      <c r="T16" s="1558"/>
      <c r="U16" s="1559"/>
      <c r="V16" s="1558"/>
      <c r="W16" s="1559"/>
      <c r="X16" s="1552"/>
      <c r="Y16" s="3437"/>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37"/>
      <c r="Q17" s="1557" t="str">
        <f>B17</f>
        <v>交通便捷度</v>
      </c>
      <c r="R17" s="1558" t="s">
        <v>8</v>
      </c>
      <c r="S17" s="1559">
        <f>F17</f>
        <v>100</v>
      </c>
      <c r="T17" s="1558" t="s">
        <v>8</v>
      </c>
      <c r="U17" s="1559">
        <f>H17</f>
        <v>100</v>
      </c>
      <c r="V17" s="1558" t="s">
        <v>8</v>
      </c>
      <c r="W17" s="1559">
        <f>J17</f>
        <v>100</v>
      </c>
      <c r="X17" s="1552"/>
      <c r="Y17" s="343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7"/>
      <c r="Q18" s="1557"/>
      <c r="R18" s="1558"/>
      <c r="S18" s="1559"/>
      <c r="T18" s="1558"/>
      <c r="U18" s="1559"/>
      <c r="V18" s="1558"/>
      <c r="W18" s="1559"/>
      <c r="X18" s="1552"/>
      <c r="Y18" s="3437"/>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37"/>
      <c r="Q19" s="1557" t="str">
        <f>B19</f>
        <v>公共配套设施</v>
      </c>
      <c r="R19" s="1558" t="s">
        <v>8</v>
      </c>
      <c r="S19" s="1559">
        <f>F19</f>
        <v>100</v>
      </c>
      <c r="T19" s="1558" t="s">
        <v>8</v>
      </c>
      <c r="U19" s="1559">
        <f>H19</f>
        <v>100</v>
      </c>
      <c r="V19" s="1558" t="s">
        <v>8</v>
      </c>
      <c r="W19" s="1559">
        <f>J19</f>
        <v>100</v>
      </c>
      <c r="X19" s="1552"/>
      <c r="Y19" s="343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37"/>
      <c r="Q20" s="1557"/>
      <c r="R20" s="1558"/>
      <c r="S20" s="1559"/>
      <c r="T20" s="1558"/>
      <c r="U20" s="1559"/>
      <c r="V20" s="1558"/>
      <c r="W20" s="1559"/>
      <c r="X20" s="1552"/>
      <c r="Y20" s="3437"/>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37"/>
      <c r="Q21" s="2542" t="str">
        <f>B21</f>
        <v>基础设施水平</v>
      </c>
      <c r="R21" s="1558" t="s">
        <v>8</v>
      </c>
      <c r="S21" s="1559">
        <f>F21</f>
        <v>100</v>
      </c>
      <c r="T21" s="1558" t="s">
        <v>8</v>
      </c>
      <c r="U21" s="1559">
        <f>H21</f>
        <v>100</v>
      </c>
      <c r="V21" s="1558" t="s">
        <v>8</v>
      </c>
      <c r="W21" s="1559">
        <f>J21</f>
        <v>100</v>
      </c>
      <c r="X21" s="2544"/>
      <c r="Y21" s="3437"/>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37"/>
      <c r="Q22" s="2542"/>
      <c r="R22" s="1558"/>
      <c r="S22" s="1559"/>
      <c r="T22" s="1558"/>
      <c r="U22" s="1559"/>
      <c r="V22" s="1558"/>
      <c r="W22" s="1559"/>
      <c r="X22" s="2544"/>
      <c r="Y22" s="3437"/>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37"/>
      <c r="Q23" s="1557" t="str">
        <f>B23</f>
        <v>环境质量</v>
      </c>
      <c r="R23" s="1558" t="s">
        <v>8</v>
      </c>
      <c r="S23" s="1559">
        <f>F23</f>
        <v>100</v>
      </c>
      <c r="T23" s="1558" t="s">
        <v>8</v>
      </c>
      <c r="U23" s="1559">
        <f>H23</f>
        <v>100</v>
      </c>
      <c r="V23" s="1558" t="s">
        <v>8</v>
      </c>
      <c r="W23" s="1559">
        <f>J23</f>
        <v>100</v>
      </c>
      <c r="X23" s="1552"/>
      <c r="Y23" s="3437"/>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37"/>
      <c r="Q24" s="1557"/>
      <c r="R24" s="1558"/>
      <c r="S24" s="1559"/>
      <c r="T24" s="1558"/>
      <c r="U24" s="1559"/>
      <c r="V24" s="1558"/>
      <c r="W24" s="1559"/>
      <c r="X24" s="1552"/>
      <c r="Y24" s="343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37"/>
      <c r="Q25" s="1557">
        <f>B25</f>
        <v>111</v>
      </c>
      <c r="R25" s="1558" t="s">
        <v>8</v>
      </c>
      <c r="S25" s="1559">
        <f>F25</f>
        <v>100</v>
      </c>
      <c r="T25" s="1558" t="s">
        <v>8</v>
      </c>
      <c r="U25" s="1559">
        <f>H25</f>
        <v>100</v>
      </c>
      <c r="V25" s="1558" t="s">
        <v>8</v>
      </c>
      <c r="W25" s="1559">
        <f>J25</f>
        <v>100</v>
      </c>
      <c r="X25" s="1552"/>
      <c r="Y25" s="343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37"/>
      <c r="Q26" s="1557">
        <f t="shared" ref="Q26:Q40" si="11">B26</f>
        <v>111</v>
      </c>
      <c r="R26" s="1558" t="s">
        <v>8</v>
      </c>
      <c r="S26" s="1559">
        <f>F26</f>
        <v>100</v>
      </c>
      <c r="T26" s="1558" t="s">
        <v>8</v>
      </c>
      <c r="U26" s="1559">
        <f>H26</f>
        <v>100</v>
      </c>
      <c r="V26" s="1558" t="s">
        <v>8</v>
      </c>
      <c r="W26" s="1559">
        <f>J26</f>
        <v>100</v>
      </c>
      <c r="X26" s="1552"/>
      <c r="Y26" s="3437"/>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37"/>
      <c r="Q27" s="1147">
        <f t="shared" si="11"/>
        <v>111</v>
      </c>
      <c r="R27" s="1553" t="s">
        <v>8</v>
      </c>
      <c r="S27" s="1554">
        <f>F27</f>
        <v>100</v>
      </c>
      <c r="T27" s="1553" t="s">
        <v>8</v>
      </c>
      <c r="U27" s="1554">
        <f>H27</f>
        <v>100</v>
      </c>
      <c r="V27" s="1553" t="s">
        <v>8</v>
      </c>
      <c r="W27" s="1554">
        <f>J27</f>
        <v>100</v>
      </c>
      <c r="X27" s="1555"/>
      <c r="Y27" s="3437"/>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37"/>
      <c r="Q28" s="1557">
        <f t="shared" si="11"/>
        <v>111</v>
      </c>
      <c r="R28" s="1558" t="s">
        <v>8</v>
      </c>
      <c r="S28" s="1559">
        <f t="shared" ref="S28:S40" si="12">F28</f>
        <v>100</v>
      </c>
      <c r="T28" s="1558" t="s">
        <v>8</v>
      </c>
      <c r="U28" s="1559">
        <f t="shared" ref="U28:U40" si="13">H28</f>
        <v>100</v>
      </c>
      <c r="V28" s="1558" t="s">
        <v>8</v>
      </c>
      <c r="W28" s="1559">
        <f t="shared" ref="W28:W40" si="14">J28</f>
        <v>100</v>
      </c>
      <c r="X28" s="1552"/>
      <c r="Y28" s="3437"/>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38" t="s">
        <v>549</v>
      </c>
      <c r="Q29" s="1557" t="str">
        <f t="shared" si="11"/>
        <v>建筑类型</v>
      </c>
      <c r="R29" s="1558" t="s">
        <v>8</v>
      </c>
      <c r="S29" s="1559">
        <f t="shared" si="12"/>
        <v>100</v>
      </c>
      <c r="T29" s="1558" t="s">
        <v>8</v>
      </c>
      <c r="U29" s="1559">
        <f t="shared" si="13"/>
        <v>100</v>
      </c>
      <c r="V29" s="1558" t="s">
        <v>8</v>
      </c>
      <c r="W29" s="1559">
        <f t="shared" si="14"/>
        <v>100</v>
      </c>
      <c r="X29" s="1552"/>
      <c r="Y29" s="3439"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39"/>
      <c r="Q30" s="1589" t="str">
        <f t="shared" si="11"/>
        <v>项目建筑规模</v>
      </c>
      <c r="R30" s="1562" t="s">
        <v>8</v>
      </c>
      <c r="S30" s="1563" t="e">
        <f t="shared" si="12"/>
        <v>#N/A</v>
      </c>
      <c r="T30" s="1562" t="s">
        <v>8</v>
      </c>
      <c r="U30" s="1563" t="e">
        <f t="shared" si="13"/>
        <v>#N/A</v>
      </c>
      <c r="V30" s="1562" t="s">
        <v>8</v>
      </c>
      <c r="W30" s="1563" t="e">
        <f t="shared" si="14"/>
        <v>#N/A</v>
      </c>
      <c r="X30" s="1564"/>
      <c r="Y30" s="3439"/>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39"/>
      <c r="Q31" s="1557" t="str">
        <f t="shared" si="11"/>
        <v>建筑结构</v>
      </c>
      <c r="R31" s="1558" t="s">
        <v>8</v>
      </c>
      <c r="S31" s="1559">
        <f t="shared" si="12"/>
        <v>100</v>
      </c>
      <c r="T31" s="1558" t="s">
        <v>8</v>
      </c>
      <c r="U31" s="1559">
        <f t="shared" si="13"/>
        <v>100</v>
      </c>
      <c r="V31" s="1558" t="s">
        <v>8</v>
      </c>
      <c r="W31" s="1559">
        <f t="shared" si="14"/>
        <v>100</v>
      </c>
      <c r="X31" s="1552"/>
      <c r="Y31" s="3439"/>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39"/>
      <c r="Q32" s="1557" t="str">
        <f t="shared" si="11"/>
        <v>公共部分装修</v>
      </c>
      <c r="R32" s="1558" t="s">
        <v>8</v>
      </c>
      <c r="S32" s="1559">
        <f t="shared" si="12"/>
        <v>100</v>
      </c>
      <c r="T32" s="1558" t="s">
        <v>8</v>
      </c>
      <c r="U32" s="1559">
        <f t="shared" si="13"/>
        <v>100</v>
      </c>
      <c r="V32" s="1558" t="s">
        <v>8</v>
      </c>
      <c r="W32" s="1559">
        <f t="shared" si="14"/>
        <v>100</v>
      </c>
      <c r="X32" s="1552"/>
      <c r="Y32" s="3439"/>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39"/>
      <c r="Q33" s="1557" t="str">
        <f t="shared" si="11"/>
        <v>成新度</v>
      </c>
      <c r="R33" s="1558" t="s">
        <v>8</v>
      </c>
      <c r="S33" s="1559" t="e">
        <f t="shared" si="12"/>
        <v>#N/A</v>
      </c>
      <c r="T33" s="1558" t="s">
        <v>8</v>
      </c>
      <c r="U33" s="1559" t="e">
        <f t="shared" si="13"/>
        <v>#N/A</v>
      </c>
      <c r="V33" s="1558" t="s">
        <v>8</v>
      </c>
      <c r="W33" s="1559" t="e">
        <f t="shared" si="14"/>
        <v>#N/A</v>
      </c>
      <c r="X33" s="1552"/>
      <c r="Y33" s="3439"/>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39"/>
      <c r="Q34" s="1147" t="str">
        <f t="shared" si="11"/>
        <v>物业管理</v>
      </c>
      <c r="R34" s="1553" t="s">
        <v>8</v>
      </c>
      <c r="S34" s="1554">
        <f t="shared" si="12"/>
        <v>100</v>
      </c>
      <c r="T34" s="1553" t="s">
        <v>8</v>
      </c>
      <c r="U34" s="1554">
        <f t="shared" si="13"/>
        <v>100</v>
      </c>
      <c r="V34" s="1553" t="s">
        <v>8</v>
      </c>
      <c r="W34" s="1554">
        <f t="shared" si="14"/>
        <v>100</v>
      </c>
      <c r="X34" s="1555"/>
      <c r="Y34" s="3439"/>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39" t="s">
        <v>549</v>
      </c>
      <c r="Q35" s="1557" t="str">
        <f t="shared" si="11"/>
        <v>市政基础设施</v>
      </c>
      <c r="R35" s="1558" t="s">
        <v>8</v>
      </c>
      <c r="S35" s="1559">
        <f t="shared" si="12"/>
        <v>100</v>
      </c>
      <c r="T35" s="1558" t="s">
        <v>8</v>
      </c>
      <c r="U35" s="1559">
        <f t="shared" si="13"/>
        <v>100</v>
      </c>
      <c r="V35" s="1558" t="s">
        <v>8</v>
      </c>
      <c r="W35" s="1559">
        <f t="shared" si="14"/>
        <v>100</v>
      </c>
      <c r="X35" s="1552"/>
      <c r="Y35" s="3439"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39"/>
      <c r="Q36" s="1557" t="str">
        <f t="shared" si="11"/>
        <v>内部装修</v>
      </c>
      <c r="R36" s="1558" t="s">
        <v>8</v>
      </c>
      <c r="S36" s="1559">
        <f t="shared" si="12"/>
        <v>100</v>
      </c>
      <c r="T36" s="1558" t="s">
        <v>8</v>
      </c>
      <c r="U36" s="1559">
        <f t="shared" si="13"/>
        <v>100</v>
      </c>
      <c r="V36" s="1558" t="s">
        <v>8</v>
      </c>
      <c r="W36" s="1559">
        <f t="shared" si="14"/>
        <v>100</v>
      </c>
      <c r="X36" s="1552"/>
      <c r="Y36" s="3439"/>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39"/>
      <c r="Q37" s="1557" t="str">
        <f t="shared" si="11"/>
        <v>内部装修状况</v>
      </c>
      <c r="R37" s="1558" t="s">
        <v>8</v>
      </c>
      <c r="S37" s="1559">
        <f t="shared" si="12"/>
        <v>100</v>
      </c>
      <c r="T37" s="1558" t="s">
        <v>8</v>
      </c>
      <c r="U37" s="1559">
        <f t="shared" si="13"/>
        <v>100</v>
      </c>
      <c r="V37" s="1558" t="s">
        <v>8</v>
      </c>
      <c r="W37" s="1559">
        <f t="shared" si="14"/>
        <v>100</v>
      </c>
      <c r="X37" s="1552"/>
      <c r="Y37" s="3439"/>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39"/>
      <c r="Q38" s="1589">
        <f t="shared" si="11"/>
        <v>111</v>
      </c>
      <c r="R38" s="1562" t="s">
        <v>8</v>
      </c>
      <c r="S38" s="1563">
        <f t="shared" si="12"/>
        <v>100</v>
      </c>
      <c r="T38" s="1562" t="s">
        <v>8</v>
      </c>
      <c r="U38" s="1563">
        <f t="shared" si="13"/>
        <v>100</v>
      </c>
      <c r="V38" s="1562" t="s">
        <v>8</v>
      </c>
      <c r="W38" s="1563">
        <f t="shared" si="14"/>
        <v>100</v>
      </c>
      <c r="X38" s="1564"/>
      <c r="Y38" s="3439"/>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39"/>
      <c r="Q39" s="1557">
        <f t="shared" si="11"/>
        <v>111</v>
      </c>
      <c r="R39" s="1558" t="s">
        <v>8</v>
      </c>
      <c r="S39" s="1559">
        <f t="shared" si="12"/>
        <v>100</v>
      </c>
      <c r="T39" s="1558" t="s">
        <v>8</v>
      </c>
      <c r="U39" s="1559">
        <f t="shared" si="13"/>
        <v>100</v>
      </c>
      <c r="V39" s="1558" t="s">
        <v>8</v>
      </c>
      <c r="W39" s="1559">
        <f t="shared" si="14"/>
        <v>100</v>
      </c>
      <c r="X39" s="1552"/>
      <c r="Y39" s="3439"/>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20"/>
      <c r="Q40" s="1557">
        <f t="shared" si="11"/>
        <v>111</v>
      </c>
      <c r="R40" s="1558" t="s">
        <v>8</v>
      </c>
      <c r="S40" s="1559">
        <f t="shared" si="12"/>
        <v>100</v>
      </c>
      <c r="T40" s="1558" t="s">
        <v>8</v>
      </c>
      <c r="U40" s="1559">
        <f t="shared" si="13"/>
        <v>100</v>
      </c>
      <c r="V40" s="1558" t="s">
        <v>8</v>
      </c>
      <c r="W40" s="1559">
        <f t="shared" si="14"/>
        <v>100</v>
      </c>
      <c r="X40" s="1552"/>
      <c r="Y40" s="3520"/>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02" t="str">
        <f>A41</f>
        <v>成交单价（元/平方米）</v>
      </c>
      <c r="Q41" s="3402"/>
      <c r="R41" s="3519">
        <f>E41</f>
        <v>0</v>
      </c>
      <c r="S41" s="3519"/>
      <c r="T41" s="3519">
        <f>G41</f>
        <v>0</v>
      </c>
      <c r="U41" s="3519"/>
      <c r="V41" s="3519">
        <f>I41</f>
        <v>0</v>
      </c>
      <c r="W41" s="3519"/>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02" t="str">
        <f>A42</f>
        <v>比较价格（元/平方米）</v>
      </c>
      <c r="Q42" s="3402"/>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399" t="str">
        <f>A43</f>
        <v>估价对象XX用房的比较价格（楼面单价，元/平方米）</v>
      </c>
      <c r="Q43" s="3400"/>
      <c r="R43" s="3518" t="e">
        <f>IF(F1="售价",ROUND(AVERAGE(R42:V42),0),ROUND(AVERAGE(R42:V42),1))</f>
        <v>#DIV/0!</v>
      </c>
      <c r="S43" s="3518"/>
      <c r="T43" s="3518"/>
      <c r="U43" s="3518"/>
      <c r="V43" s="3518"/>
      <c r="W43" s="351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08" t="s">
        <v>797</v>
      </c>
      <c r="D4" s="3409"/>
      <c r="E4" s="3408" t="s">
        <v>798</v>
      </c>
      <c r="F4" s="3409"/>
      <c r="G4" s="3408" t="s">
        <v>799</v>
      </c>
      <c r="H4" s="3409"/>
      <c r="I4" s="3408" t="s">
        <v>800</v>
      </c>
      <c r="J4" s="3409"/>
      <c r="K4" s="514" t="s">
        <v>801</v>
      </c>
      <c r="L4" s="2117"/>
      <c r="M4" s="2118"/>
      <c r="N4" s="2118"/>
      <c r="O4" s="2118"/>
      <c r="P4" s="3410" t="s">
        <v>802</v>
      </c>
      <c r="Q4" s="3411"/>
      <c r="R4" s="3416" t="s">
        <v>798</v>
      </c>
      <c r="S4" s="3417"/>
      <c r="T4" s="3416" t="s">
        <v>799</v>
      </c>
      <c r="U4" s="3417"/>
      <c r="V4" s="3403" t="s">
        <v>800</v>
      </c>
      <c r="W4" s="3403"/>
      <c r="X4" s="1552"/>
      <c r="Y4" s="3416" t="s">
        <v>802</v>
      </c>
      <c r="Z4" s="3417"/>
      <c r="AA4" s="3405" t="s">
        <v>798</v>
      </c>
      <c r="AB4" s="3406" t="s">
        <v>799</v>
      </c>
      <c r="AC4" s="3405" t="s">
        <v>800</v>
      </c>
    </row>
    <row r="5" spans="1:29" ht="15">
      <c r="A5" s="515"/>
      <c r="B5" s="516"/>
      <c r="C5" s="3424" t="s">
        <v>2919</v>
      </c>
      <c r="D5" s="3425"/>
      <c r="E5" s="3424" t="s">
        <v>2920</v>
      </c>
      <c r="F5" s="3425"/>
      <c r="G5" s="3424" t="s">
        <v>2921</v>
      </c>
      <c r="H5" s="3425"/>
      <c r="I5" s="3424" t="s">
        <v>2922</v>
      </c>
      <c r="J5" s="3425"/>
      <c r="K5" s="514"/>
      <c r="L5" s="2117"/>
      <c r="M5" s="2118"/>
      <c r="N5" s="2118"/>
      <c r="O5" s="2118"/>
      <c r="P5" s="3412"/>
      <c r="Q5" s="3413"/>
      <c r="R5" s="3418"/>
      <c r="S5" s="3419"/>
      <c r="T5" s="3418"/>
      <c r="U5" s="3419"/>
      <c r="V5" s="3403"/>
      <c r="W5" s="3403"/>
      <c r="X5" s="1552"/>
      <c r="Y5" s="3418"/>
      <c r="Z5" s="3419"/>
      <c r="AA5" s="3406"/>
      <c r="AB5" s="3406"/>
      <c r="AC5" s="3406"/>
    </row>
    <row r="6" spans="1:29" ht="15.75" thickBot="1">
      <c r="A6" s="517"/>
      <c r="B6" s="518"/>
      <c r="C6" s="3422" t="s">
        <v>2923</v>
      </c>
      <c r="D6" s="3423"/>
      <c r="E6" s="3426" t="s">
        <v>2923</v>
      </c>
      <c r="F6" s="3427"/>
      <c r="G6" s="3422" t="s">
        <v>2923</v>
      </c>
      <c r="H6" s="3423"/>
      <c r="I6" s="3422" t="s">
        <v>2923</v>
      </c>
      <c r="J6" s="3423"/>
      <c r="K6" s="514" t="s">
        <v>527</v>
      </c>
      <c r="L6" s="2117"/>
      <c r="M6" s="2118"/>
      <c r="N6" s="2118"/>
      <c r="O6" s="2118"/>
      <c r="P6" s="3414"/>
      <c r="Q6" s="3415"/>
      <c r="R6" s="3418"/>
      <c r="S6" s="3419"/>
      <c r="T6" s="3420"/>
      <c r="U6" s="3421"/>
      <c r="V6" s="3403"/>
      <c r="W6" s="3403"/>
      <c r="X6" s="1552"/>
      <c r="Y6" s="3420"/>
      <c r="Z6" s="3421"/>
      <c r="AA6" s="3407"/>
      <c r="AB6" s="3407"/>
      <c r="AC6" s="3407"/>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33" t="s">
        <v>529</v>
      </c>
      <c r="Q7" s="3435"/>
      <c r="R7" s="1553" t="s">
        <v>8</v>
      </c>
      <c r="S7" s="1554">
        <f t="shared" ref="S7:S14" si="0">F7</f>
        <v>0</v>
      </c>
      <c r="T7" s="1553" t="s">
        <v>8</v>
      </c>
      <c r="U7" s="1554">
        <f t="shared" ref="U7:U14" si="1">H7</f>
        <v>0</v>
      </c>
      <c r="V7" s="1553" t="s">
        <v>8</v>
      </c>
      <c r="W7" s="1554">
        <f t="shared" ref="W7:W14" si="2">J7</f>
        <v>0</v>
      </c>
      <c r="X7" s="1555"/>
      <c r="Y7" s="3433" t="s">
        <v>529</v>
      </c>
      <c r="Z7" s="3434"/>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33" t="s">
        <v>532</v>
      </c>
      <c r="Q8" s="3434"/>
      <c r="R8" s="1553" t="s">
        <v>8</v>
      </c>
      <c r="S8" s="1554">
        <f t="shared" si="0"/>
        <v>0</v>
      </c>
      <c r="T8" s="1553" t="s">
        <v>8</v>
      </c>
      <c r="U8" s="1554">
        <f t="shared" si="1"/>
        <v>0</v>
      </c>
      <c r="V8" s="1553" t="s">
        <v>8</v>
      </c>
      <c r="W8" s="1554">
        <f t="shared" si="2"/>
        <v>0</v>
      </c>
      <c r="X8" s="1555"/>
      <c r="Y8" s="3433" t="s">
        <v>532</v>
      </c>
      <c r="Z8" s="3434"/>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2" t="s">
        <v>534</v>
      </c>
      <c r="Q9" s="1147" t="str">
        <f t="shared" ref="Q9:Q14" si="6">B9</f>
        <v>用途</v>
      </c>
      <c r="R9" s="1553" t="s">
        <v>8</v>
      </c>
      <c r="S9" s="1554">
        <f t="shared" si="0"/>
        <v>100</v>
      </c>
      <c r="T9" s="1553" t="s">
        <v>8</v>
      </c>
      <c r="U9" s="1554">
        <f t="shared" si="1"/>
        <v>100</v>
      </c>
      <c r="V9" s="1553" t="s">
        <v>8</v>
      </c>
      <c r="W9" s="1554">
        <f t="shared" si="2"/>
        <v>100</v>
      </c>
      <c r="X9" s="1555"/>
      <c r="Y9" s="3348"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2"/>
      <c r="Q10" s="1147" t="str">
        <f t="shared" si="6"/>
        <v>土地使用年限（年）</v>
      </c>
      <c r="R10" s="1553" t="s">
        <v>8</v>
      </c>
      <c r="S10" s="1554">
        <f t="shared" si="0"/>
        <v>100</v>
      </c>
      <c r="T10" s="1553" t="s">
        <v>8</v>
      </c>
      <c r="U10" s="1554">
        <f t="shared" si="1"/>
        <v>100</v>
      </c>
      <c r="V10" s="1553" t="s">
        <v>8</v>
      </c>
      <c r="W10" s="1554">
        <f t="shared" si="2"/>
        <v>100</v>
      </c>
      <c r="X10" s="1555"/>
      <c r="Y10" s="3348"/>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2"/>
      <c r="Q11" s="1147">
        <f t="shared" si="6"/>
        <v>111</v>
      </c>
      <c r="R11" s="1553" t="s">
        <v>8</v>
      </c>
      <c r="S11" s="1554">
        <f t="shared" si="0"/>
        <v>100</v>
      </c>
      <c r="T11" s="1553" t="s">
        <v>8</v>
      </c>
      <c r="U11" s="1554">
        <f t="shared" si="1"/>
        <v>100</v>
      </c>
      <c r="V11" s="1553" t="s">
        <v>8</v>
      </c>
      <c r="W11" s="1554">
        <f t="shared" si="2"/>
        <v>100</v>
      </c>
      <c r="X11" s="1555"/>
      <c r="Y11" s="3348"/>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2"/>
      <c r="Q12" s="1147">
        <f t="shared" si="6"/>
        <v>111</v>
      </c>
      <c r="R12" s="1553" t="s">
        <v>8</v>
      </c>
      <c r="S12" s="1554">
        <f t="shared" si="0"/>
        <v>100</v>
      </c>
      <c r="T12" s="1553" t="s">
        <v>8</v>
      </c>
      <c r="U12" s="1554">
        <f t="shared" si="1"/>
        <v>100</v>
      </c>
      <c r="V12" s="1553" t="s">
        <v>8</v>
      </c>
      <c r="W12" s="1554">
        <f t="shared" si="2"/>
        <v>100</v>
      </c>
      <c r="X12" s="1555"/>
      <c r="Y12" s="3348"/>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2"/>
      <c r="Q13" s="1147">
        <f t="shared" si="6"/>
        <v>111</v>
      </c>
      <c r="R13" s="1553" t="s">
        <v>8</v>
      </c>
      <c r="S13" s="1554">
        <f t="shared" si="0"/>
        <v>100</v>
      </c>
      <c r="T13" s="1553" t="s">
        <v>8</v>
      </c>
      <c r="U13" s="1554">
        <f t="shared" si="1"/>
        <v>100</v>
      </c>
      <c r="V13" s="1553" t="s">
        <v>8</v>
      </c>
      <c r="W13" s="1554">
        <f t="shared" si="2"/>
        <v>100</v>
      </c>
      <c r="X13" s="1555"/>
      <c r="Y13" s="3348"/>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36" t="s">
        <v>539</v>
      </c>
      <c r="Q14" s="1557" t="str">
        <f t="shared" si="6"/>
        <v>交通便捷度</v>
      </c>
      <c r="R14" s="1558" t="s">
        <v>8</v>
      </c>
      <c r="S14" s="1559">
        <f t="shared" si="0"/>
        <v>100</v>
      </c>
      <c r="T14" s="1558" t="s">
        <v>8</v>
      </c>
      <c r="U14" s="1559">
        <f t="shared" si="1"/>
        <v>100</v>
      </c>
      <c r="V14" s="1558" t="s">
        <v>8</v>
      </c>
      <c r="W14" s="1559">
        <f t="shared" si="2"/>
        <v>100</v>
      </c>
      <c r="X14" s="1552"/>
      <c r="Y14" s="3436"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37"/>
      <c r="Q15" s="1557"/>
      <c r="R15" s="1558"/>
      <c r="S15" s="1559"/>
      <c r="T15" s="1558"/>
      <c r="U15" s="1559"/>
      <c r="V15" s="1558"/>
      <c r="W15" s="1559"/>
      <c r="X15" s="1552"/>
      <c r="Y15" s="3437"/>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37"/>
      <c r="Q16" s="1557" t="str">
        <f>B16</f>
        <v>公共配套设施</v>
      </c>
      <c r="R16" s="1558" t="s">
        <v>8</v>
      </c>
      <c r="S16" s="1559">
        <f>F16</f>
        <v>100</v>
      </c>
      <c r="T16" s="1558" t="s">
        <v>8</v>
      </c>
      <c r="U16" s="1559">
        <f>H16</f>
        <v>100</v>
      </c>
      <c r="V16" s="1558" t="s">
        <v>8</v>
      </c>
      <c r="W16" s="1559">
        <f>J16</f>
        <v>100</v>
      </c>
      <c r="X16" s="1552"/>
      <c r="Y16" s="343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37"/>
      <c r="Q17" s="1557"/>
      <c r="R17" s="1558"/>
      <c r="S17" s="1559"/>
      <c r="T17" s="1558"/>
      <c r="U17" s="1559"/>
      <c r="V17" s="1558"/>
      <c r="W17" s="1559"/>
      <c r="X17" s="1552"/>
      <c r="Y17" s="3437"/>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37"/>
      <c r="Q18" s="2542" t="str">
        <f>B18</f>
        <v>基础设施水平</v>
      </c>
      <c r="R18" s="1558" t="s">
        <v>8</v>
      </c>
      <c r="S18" s="1559">
        <f>F18</f>
        <v>100</v>
      </c>
      <c r="T18" s="1558" t="s">
        <v>8</v>
      </c>
      <c r="U18" s="1559">
        <f>H18</f>
        <v>100</v>
      </c>
      <c r="V18" s="1558" t="s">
        <v>8</v>
      </c>
      <c r="W18" s="1559">
        <f>J18</f>
        <v>100</v>
      </c>
      <c r="X18" s="2544"/>
      <c r="Y18" s="3437"/>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37"/>
      <c r="Q19" s="2542"/>
      <c r="R19" s="1558"/>
      <c r="S19" s="1559"/>
      <c r="T19" s="1558"/>
      <c r="U19" s="1559"/>
      <c r="V19" s="1558"/>
      <c r="W19" s="1559"/>
      <c r="X19" s="2544"/>
      <c r="Y19" s="3437"/>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37"/>
      <c r="Q20" s="1557" t="str">
        <f>B20</f>
        <v>自然及人文环境</v>
      </c>
      <c r="R20" s="1558" t="s">
        <v>8</v>
      </c>
      <c r="S20" s="1559">
        <f>F20</f>
        <v>100</v>
      </c>
      <c r="T20" s="1558" t="s">
        <v>8</v>
      </c>
      <c r="U20" s="1559">
        <f>H20</f>
        <v>100</v>
      </c>
      <c r="V20" s="1558" t="s">
        <v>8</v>
      </c>
      <c r="W20" s="1559">
        <f>J20</f>
        <v>100</v>
      </c>
      <c r="X20" s="1552"/>
      <c r="Y20" s="343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37"/>
      <c r="Q21" s="1557"/>
      <c r="R21" s="1558"/>
      <c r="S21" s="1559"/>
      <c r="T21" s="1558"/>
      <c r="U21" s="1559"/>
      <c r="V21" s="1558"/>
      <c r="W21" s="1559"/>
      <c r="X21" s="1552"/>
      <c r="Y21" s="3437"/>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37"/>
      <c r="Q22" s="1557" t="str">
        <f>B22</f>
        <v>楼层</v>
      </c>
      <c r="R22" s="1558" t="s">
        <v>8</v>
      </c>
      <c r="S22" s="1559">
        <f>F22</f>
        <v>100</v>
      </c>
      <c r="T22" s="1558" t="s">
        <v>8</v>
      </c>
      <c r="U22" s="1559">
        <f>H22</f>
        <v>100</v>
      </c>
      <c r="V22" s="1558" t="s">
        <v>8</v>
      </c>
      <c r="W22" s="1559">
        <f>J22</f>
        <v>100</v>
      </c>
      <c r="X22" s="1552"/>
      <c r="Y22" s="3437"/>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37"/>
      <c r="Q23" s="1557">
        <f>B23</f>
        <v>111</v>
      </c>
      <c r="R23" s="1558" t="s">
        <v>8</v>
      </c>
      <c r="S23" s="1559">
        <f>F23</f>
        <v>100</v>
      </c>
      <c r="T23" s="1558" t="s">
        <v>8</v>
      </c>
      <c r="U23" s="1559">
        <f>H23</f>
        <v>100</v>
      </c>
      <c r="V23" s="1558" t="s">
        <v>8</v>
      </c>
      <c r="W23" s="1559">
        <f>J23</f>
        <v>100</v>
      </c>
      <c r="X23" s="1552"/>
      <c r="Y23" s="3437"/>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37"/>
      <c r="Q24" s="1557">
        <f t="shared" ref="Q24:Q36" si="11">B24</f>
        <v>111</v>
      </c>
      <c r="R24" s="1558" t="s">
        <v>8</v>
      </c>
      <c r="S24" s="1559">
        <f>F24</f>
        <v>100</v>
      </c>
      <c r="T24" s="1558" t="s">
        <v>8</v>
      </c>
      <c r="U24" s="1559">
        <f>H24</f>
        <v>100</v>
      </c>
      <c r="V24" s="1558" t="s">
        <v>8</v>
      </c>
      <c r="W24" s="1559">
        <f>J24</f>
        <v>100</v>
      </c>
      <c r="X24" s="1552"/>
      <c r="Y24" s="3437"/>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37"/>
      <c r="Q25" s="1147">
        <f t="shared" si="11"/>
        <v>111</v>
      </c>
      <c r="R25" s="1553" t="s">
        <v>8</v>
      </c>
      <c r="S25" s="1554">
        <f>F25</f>
        <v>100</v>
      </c>
      <c r="T25" s="1553" t="s">
        <v>8</v>
      </c>
      <c r="U25" s="1554">
        <f>H25</f>
        <v>100</v>
      </c>
      <c r="V25" s="1553" t="s">
        <v>8</v>
      </c>
      <c r="W25" s="1554">
        <f>J25</f>
        <v>100</v>
      </c>
      <c r="X25" s="1555"/>
      <c r="Y25" s="3437"/>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38"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9"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39"/>
      <c r="Q27" s="1589" t="str">
        <f t="shared" si="11"/>
        <v>项目停车位配比</v>
      </c>
      <c r="R27" s="1562" t="s">
        <v>8</v>
      </c>
      <c r="S27" s="1563">
        <f t="shared" si="12"/>
        <v>100</v>
      </c>
      <c r="T27" s="1562" t="s">
        <v>8</v>
      </c>
      <c r="U27" s="1563">
        <f t="shared" si="13"/>
        <v>100</v>
      </c>
      <c r="V27" s="1562" t="s">
        <v>8</v>
      </c>
      <c r="W27" s="1563">
        <f t="shared" si="14"/>
        <v>100</v>
      </c>
      <c r="X27" s="1564"/>
      <c r="Y27" s="3439"/>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39"/>
      <c r="Q28" s="1557" t="str">
        <f t="shared" si="11"/>
        <v>公共部分装修</v>
      </c>
      <c r="R28" s="1558" t="s">
        <v>8</v>
      </c>
      <c r="S28" s="1559">
        <f t="shared" si="12"/>
        <v>100</v>
      </c>
      <c r="T28" s="1558" t="s">
        <v>8</v>
      </c>
      <c r="U28" s="1559">
        <f t="shared" si="13"/>
        <v>100</v>
      </c>
      <c r="V28" s="1558" t="s">
        <v>8</v>
      </c>
      <c r="W28" s="1559">
        <f t="shared" si="14"/>
        <v>100</v>
      </c>
      <c r="X28" s="1552"/>
      <c r="Y28" s="3439"/>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39"/>
      <c r="Q29" s="1557" t="str">
        <f t="shared" si="11"/>
        <v>成新率</v>
      </c>
      <c r="R29" s="1558" t="s">
        <v>8</v>
      </c>
      <c r="S29" s="1559" t="e">
        <f t="shared" si="12"/>
        <v>#N/A</v>
      </c>
      <c r="T29" s="1558" t="s">
        <v>8</v>
      </c>
      <c r="U29" s="1559" t="e">
        <f t="shared" si="13"/>
        <v>#N/A</v>
      </c>
      <c r="V29" s="1558" t="s">
        <v>8</v>
      </c>
      <c r="W29" s="1559" t="e">
        <f t="shared" si="14"/>
        <v>#N/A</v>
      </c>
      <c r="X29" s="1552"/>
      <c r="Y29" s="3439"/>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39"/>
      <c r="Q30" s="1557" t="str">
        <f t="shared" si="11"/>
        <v>物业等级</v>
      </c>
      <c r="R30" s="1558" t="s">
        <v>8</v>
      </c>
      <c r="S30" s="1559">
        <f t="shared" si="12"/>
        <v>100</v>
      </c>
      <c r="T30" s="1558" t="s">
        <v>8</v>
      </c>
      <c r="U30" s="1559">
        <f t="shared" si="13"/>
        <v>100</v>
      </c>
      <c r="V30" s="1558" t="s">
        <v>8</v>
      </c>
      <c r="W30" s="1559">
        <f t="shared" si="14"/>
        <v>100</v>
      </c>
      <c r="X30" s="1552"/>
      <c r="Y30" s="3439"/>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39"/>
      <c r="Q31" s="1147" t="str">
        <f t="shared" si="11"/>
        <v>停车位面积</v>
      </c>
      <c r="R31" s="1553" t="s">
        <v>8</v>
      </c>
      <c r="S31" s="1554" t="e">
        <f t="shared" si="12"/>
        <v>#N/A</v>
      </c>
      <c r="T31" s="1553" t="s">
        <v>8</v>
      </c>
      <c r="U31" s="1554" t="e">
        <f t="shared" si="13"/>
        <v>#N/A</v>
      </c>
      <c r="V31" s="1553" t="s">
        <v>8</v>
      </c>
      <c r="W31" s="1554" t="e">
        <f t="shared" si="14"/>
        <v>#N/A</v>
      </c>
      <c r="X31" s="1555"/>
      <c r="Y31" s="3439"/>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39" t="s">
        <v>549</v>
      </c>
      <c r="Q32" s="1557" t="str">
        <f t="shared" si="11"/>
        <v>车位类型</v>
      </c>
      <c r="R32" s="1558" t="s">
        <v>8</v>
      </c>
      <c r="S32" s="1559">
        <f t="shared" si="12"/>
        <v>100</v>
      </c>
      <c r="T32" s="1558" t="s">
        <v>8</v>
      </c>
      <c r="U32" s="1559">
        <f t="shared" si="13"/>
        <v>100</v>
      </c>
      <c r="V32" s="1558" t="s">
        <v>8</v>
      </c>
      <c r="W32" s="1559">
        <f t="shared" si="14"/>
        <v>100</v>
      </c>
      <c r="X32" s="1552"/>
      <c r="Y32" s="3439"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39"/>
      <c r="Q33" s="1557" t="str">
        <f t="shared" si="11"/>
        <v>是否直接入户</v>
      </c>
      <c r="R33" s="1558" t="s">
        <v>8</v>
      </c>
      <c r="S33" s="1559">
        <f t="shared" si="12"/>
        <v>100</v>
      </c>
      <c r="T33" s="1558" t="s">
        <v>8</v>
      </c>
      <c r="U33" s="1559">
        <f t="shared" si="13"/>
        <v>100</v>
      </c>
      <c r="V33" s="1558" t="s">
        <v>8</v>
      </c>
      <c r="W33" s="1559">
        <f t="shared" si="14"/>
        <v>100</v>
      </c>
      <c r="X33" s="1552"/>
      <c r="Y33" s="3439"/>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39"/>
      <c r="Q34" s="1557">
        <f t="shared" si="11"/>
        <v>111</v>
      </c>
      <c r="R34" s="1558" t="s">
        <v>8</v>
      </c>
      <c r="S34" s="1559">
        <f t="shared" si="12"/>
        <v>100</v>
      </c>
      <c r="T34" s="1558" t="s">
        <v>8</v>
      </c>
      <c r="U34" s="1559">
        <f t="shared" si="13"/>
        <v>100</v>
      </c>
      <c r="V34" s="1558" t="s">
        <v>8</v>
      </c>
      <c r="W34" s="1559">
        <f t="shared" si="14"/>
        <v>100</v>
      </c>
      <c r="X34" s="1552"/>
      <c r="Y34" s="3439"/>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39"/>
      <c r="Q35" s="1589">
        <f t="shared" si="11"/>
        <v>111</v>
      </c>
      <c r="R35" s="1562" t="s">
        <v>8</v>
      </c>
      <c r="S35" s="1563">
        <f t="shared" si="12"/>
        <v>100</v>
      </c>
      <c r="T35" s="1562" t="s">
        <v>8</v>
      </c>
      <c r="U35" s="1563">
        <f t="shared" si="13"/>
        <v>100</v>
      </c>
      <c r="V35" s="1562" t="s">
        <v>8</v>
      </c>
      <c r="W35" s="1563">
        <f t="shared" si="14"/>
        <v>100</v>
      </c>
      <c r="X35" s="1564"/>
      <c r="Y35" s="3439"/>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39"/>
      <c r="Q36" s="1557">
        <f t="shared" si="11"/>
        <v>111</v>
      </c>
      <c r="R36" s="1558" t="s">
        <v>8</v>
      </c>
      <c r="S36" s="1559">
        <f t="shared" si="12"/>
        <v>100</v>
      </c>
      <c r="T36" s="1558" t="s">
        <v>8</v>
      </c>
      <c r="U36" s="1559">
        <f t="shared" si="13"/>
        <v>100</v>
      </c>
      <c r="V36" s="1558" t="s">
        <v>8</v>
      </c>
      <c r="W36" s="1559">
        <f t="shared" si="14"/>
        <v>100</v>
      </c>
      <c r="X36" s="1552"/>
      <c r="Y36" s="3439"/>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2" t="str">
        <f>A37</f>
        <v>成交单价</v>
      </c>
      <c r="Q37" s="3402"/>
      <c r="R37" s="3519">
        <f>E37</f>
        <v>0</v>
      </c>
      <c r="S37" s="3519"/>
      <c r="T37" s="3519">
        <f>G37</f>
        <v>0</v>
      </c>
      <c r="U37" s="3519"/>
      <c r="V37" s="3519">
        <f>I37</f>
        <v>0</v>
      </c>
      <c r="W37" s="3519"/>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02" t="str">
        <f>A38</f>
        <v>比较价格（元/平方米）</v>
      </c>
      <c r="Q38" s="3402"/>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399" t="str">
        <f>A39</f>
        <v>估价对象XX用房的比较价格（楼面单价，元/平方米）</v>
      </c>
      <c r="Q39" s="3400"/>
      <c r="R39" s="3518" t="e">
        <f>IF(F1="售价",ROUND(AVERAGE(R38:V38),0),ROUND(AVERAGE(R38:V38),1))</f>
        <v>#DIV/0!</v>
      </c>
      <c r="S39" s="3518"/>
      <c r="T39" s="3518"/>
      <c r="U39" s="3518"/>
      <c r="V39" s="3518"/>
      <c r="W39" s="351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08" t="s">
        <v>797</v>
      </c>
      <c r="D4" s="3409"/>
      <c r="E4" s="3442" t="s">
        <v>798</v>
      </c>
      <c r="F4" s="3443"/>
      <c r="G4" s="3408" t="s">
        <v>799</v>
      </c>
      <c r="H4" s="3409"/>
      <c r="I4" s="3408" t="s">
        <v>800</v>
      </c>
      <c r="J4" s="3409"/>
      <c r="K4" s="514" t="s">
        <v>801</v>
      </c>
      <c r="L4" s="2117"/>
      <c r="M4" s="2118"/>
      <c r="N4" s="2118"/>
      <c r="O4" s="2118"/>
      <c r="P4" s="3410" t="s">
        <v>802</v>
      </c>
      <c r="Q4" s="3411"/>
      <c r="R4" s="3416" t="s">
        <v>798</v>
      </c>
      <c r="S4" s="3417"/>
      <c r="T4" s="3416" t="s">
        <v>799</v>
      </c>
      <c r="U4" s="3417"/>
      <c r="V4" s="3403" t="s">
        <v>800</v>
      </c>
      <c r="W4" s="3403"/>
      <c r="X4" s="1552"/>
      <c r="Y4" s="3416" t="s">
        <v>802</v>
      </c>
      <c r="Z4" s="3417"/>
      <c r="AA4" s="3405" t="s">
        <v>798</v>
      </c>
      <c r="AB4" s="3406" t="s">
        <v>799</v>
      </c>
      <c r="AC4" s="3405" t="s">
        <v>800</v>
      </c>
    </row>
    <row r="5" spans="1:29" ht="15">
      <c r="A5" s="515"/>
      <c r="B5" s="516"/>
      <c r="C5" s="3424" t="s">
        <v>2919</v>
      </c>
      <c r="D5" s="3425"/>
      <c r="E5" s="3444" t="s">
        <v>2920</v>
      </c>
      <c r="F5" s="3445"/>
      <c r="G5" s="3424" t="s">
        <v>2921</v>
      </c>
      <c r="H5" s="3425"/>
      <c r="I5" s="3424" t="s">
        <v>2922</v>
      </c>
      <c r="J5" s="3425"/>
      <c r="K5" s="514"/>
      <c r="L5" s="2117"/>
      <c r="M5" s="2118"/>
      <c r="N5" s="2118"/>
      <c r="O5" s="2118"/>
      <c r="P5" s="3412"/>
      <c r="Q5" s="3413"/>
      <c r="R5" s="3418"/>
      <c r="S5" s="3419"/>
      <c r="T5" s="3418"/>
      <c r="U5" s="3419"/>
      <c r="V5" s="3403"/>
      <c r="W5" s="3403"/>
      <c r="X5" s="1552"/>
      <c r="Y5" s="3418"/>
      <c r="Z5" s="3419"/>
      <c r="AA5" s="3406"/>
      <c r="AB5" s="3406"/>
      <c r="AC5" s="3406"/>
    </row>
    <row r="6" spans="1:29" ht="15.75" thickBot="1">
      <c r="A6" s="517"/>
      <c r="B6" s="518"/>
      <c r="C6" s="3422" t="s">
        <v>2923</v>
      </c>
      <c r="D6" s="3423"/>
      <c r="E6" s="3440" t="s">
        <v>2923</v>
      </c>
      <c r="F6" s="3441"/>
      <c r="G6" s="3422" t="s">
        <v>2923</v>
      </c>
      <c r="H6" s="3423"/>
      <c r="I6" s="3422" t="s">
        <v>2923</v>
      </c>
      <c r="J6" s="3423"/>
      <c r="K6" s="514" t="s">
        <v>527</v>
      </c>
      <c r="L6" s="2117"/>
      <c r="M6" s="2118"/>
      <c r="N6" s="2118"/>
      <c r="O6" s="2118"/>
      <c r="P6" s="3414"/>
      <c r="Q6" s="3415"/>
      <c r="R6" s="3418"/>
      <c r="S6" s="3419"/>
      <c r="T6" s="3420"/>
      <c r="U6" s="3421"/>
      <c r="V6" s="3403"/>
      <c r="W6" s="3403"/>
      <c r="X6" s="1552"/>
      <c r="Y6" s="3420"/>
      <c r="Z6" s="3421"/>
      <c r="AA6" s="3407"/>
      <c r="AB6" s="3407"/>
      <c r="AC6" s="3407"/>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33" t="s">
        <v>529</v>
      </c>
      <c r="Q7" s="3435"/>
      <c r="R7" s="1553" t="s">
        <v>8</v>
      </c>
      <c r="S7" s="1554">
        <f t="shared" ref="S7:S14" si="0">F7</f>
        <v>0</v>
      </c>
      <c r="T7" s="1553" t="s">
        <v>8</v>
      </c>
      <c r="U7" s="1554">
        <f t="shared" ref="U7:U14" si="1">H7</f>
        <v>0</v>
      </c>
      <c r="V7" s="1553" t="s">
        <v>8</v>
      </c>
      <c r="W7" s="1554">
        <f t="shared" ref="W7:W14" si="2">J7</f>
        <v>0</v>
      </c>
      <c r="X7" s="1555"/>
      <c r="Y7" s="3433" t="s">
        <v>529</v>
      </c>
      <c r="Z7" s="3434"/>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33" t="s">
        <v>532</v>
      </c>
      <c r="Q8" s="3434"/>
      <c r="R8" s="1553" t="s">
        <v>8</v>
      </c>
      <c r="S8" s="1554">
        <f t="shared" si="0"/>
        <v>0</v>
      </c>
      <c r="T8" s="1553" t="s">
        <v>8</v>
      </c>
      <c r="U8" s="1554">
        <f t="shared" si="1"/>
        <v>0</v>
      </c>
      <c r="V8" s="1553" t="s">
        <v>8</v>
      </c>
      <c r="W8" s="1554">
        <f t="shared" si="2"/>
        <v>0</v>
      </c>
      <c r="X8" s="1555"/>
      <c r="Y8" s="3433" t="s">
        <v>532</v>
      </c>
      <c r="Z8" s="3434"/>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2" t="s">
        <v>534</v>
      </c>
      <c r="Q9" s="1147" t="str">
        <f t="shared" ref="Q9:Q14" si="6">B9</f>
        <v>用途</v>
      </c>
      <c r="R9" s="1553" t="s">
        <v>8</v>
      </c>
      <c r="S9" s="1554">
        <f t="shared" si="0"/>
        <v>100</v>
      </c>
      <c r="T9" s="1553" t="s">
        <v>8</v>
      </c>
      <c r="U9" s="1554">
        <f t="shared" si="1"/>
        <v>100</v>
      </c>
      <c r="V9" s="1553" t="s">
        <v>8</v>
      </c>
      <c r="W9" s="1554">
        <f t="shared" si="2"/>
        <v>100</v>
      </c>
      <c r="X9" s="1555"/>
      <c r="Y9" s="3348"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2"/>
      <c r="Q10" s="1147" t="str">
        <f t="shared" si="6"/>
        <v>土地使用年限（年）</v>
      </c>
      <c r="R10" s="1553" t="s">
        <v>8</v>
      </c>
      <c r="S10" s="1554">
        <f t="shared" si="0"/>
        <v>100</v>
      </c>
      <c r="T10" s="1553" t="s">
        <v>8</v>
      </c>
      <c r="U10" s="1554">
        <f t="shared" si="1"/>
        <v>100</v>
      </c>
      <c r="V10" s="1553" t="s">
        <v>8</v>
      </c>
      <c r="W10" s="1554">
        <f t="shared" si="2"/>
        <v>100</v>
      </c>
      <c r="X10" s="1555"/>
      <c r="Y10" s="3348"/>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2"/>
      <c r="Q11" s="1147">
        <f t="shared" si="6"/>
        <v>111</v>
      </c>
      <c r="R11" s="1553" t="s">
        <v>8</v>
      </c>
      <c r="S11" s="1554">
        <f t="shared" si="0"/>
        <v>100</v>
      </c>
      <c r="T11" s="1553" t="s">
        <v>8</v>
      </c>
      <c r="U11" s="1554">
        <f t="shared" si="1"/>
        <v>100</v>
      </c>
      <c r="V11" s="1553" t="s">
        <v>8</v>
      </c>
      <c r="W11" s="1554">
        <f t="shared" si="2"/>
        <v>100</v>
      </c>
      <c r="X11" s="1555"/>
      <c r="Y11" s="3348"/>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2"/>
      <c r="Q12" s="1147">
        <f t="shared" si="6"/>
        <v>111</v>
      </c>
      <c r="R12" s="1553" t="s">
        <v>8</v>
      </c>
      <c r="S12" s="1554">
        <f t="shared" si="0"/>
        <v>100</v>
      </c>
      <c r="T12" s="1553" t="s">
        <v>8</v>
      </c>
      <c r="U12" s="1554">
        <f t="shared" si="1"/>
        <v>100</v>
      </c>
      <c r="V12" s="1553" t="s">
        <v>8</v>
      </c>
      <c r="W12" s="1554">
        <f t="shared" si="2"/>
        <v>100</v>
      </c>
      <c r="X12" s="1555"/>
      <c r="Y12" s="3348"/>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2"/>
      <c r="Q13" s="1147">
        <f t="shared" si="6"/>
        <v>111</v>
      </c>
      <c r="R13" s="1553" t="s">
        <v>8</v>
      </c>
      <c r="S13" s="1554">
        <f t="shared" si="0"/>
        <v>100</v>
      </c>
      <c r="T13" s="1553" t="s">
        <v>8</v>
      </c>
      <c r="U13" s="1554">
        <f t="shared" si="1"/>
        <v>100</v>
      </c>
      <c r="V13" s="1553" t="s">
        <v>8</v>
      </c>
      <c r="W13" s="1554">
        <f t="shared" si="2"/>
        <v>100</v>
      </c>
      <c r="X13" s="1555"/>
      <c r="Y13" s="3348"/>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36" t="s">
        <v>539</v>
      </c>
      <c r="Q14" s="1557" t="str">
        <f t="shared" si="6"/>
        <v>交通便捷度</v>
      </c>
      <c r="R14" s="1558" t="s">
        <v>8</v>
      </c>
      <c r="S14" s="1559">
        <f t="shared" si="0"/>
        <v>100</v>
      </c>
      <c r="T14" s="1558" t="s">
        <v>8</v>
      </c>
      <c r="U14" s="1559">
        <f t="shared" si="1"/>
        <v>100</v>
      </c>
      <c r="V14" s="1558" t="s">
        <v>8</v>
      </c>
      <c r="W14" s="1559">
        <f t="shared" si="2"/>
        <v>100</v>
      </c>
      <c r="X14" s="1552"/>
      <c r="Y14" s="3436"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37"/>
      <c r="Q15" s="1557"/>
      <c r="R15" s="1558"/>
      <c r="S15" s="1559"/>
      <c r="T15" s="1558"/>
      <c r="U15" s="1559"/>
      <c r="V15" s="1558"/>
      <c r="W15" s="1559"/>
      <c r="X15" s="1552"/>
      <c r="Y15" s="3437"/>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37"/>
      <c r="Q16" s="1557" t="str">
        <f>B16</f>
        <v>公共配套设施</v>
      </c>
      <c r="R16" s="1558" t="s">
        <v>8</v>
      </c>
      <c r="S16" s="1559">
        <f>F16</f>
        <v>100</v>
      </c>
      <c r="T16" s="1558" t="s">
        <v>8</v>
      </c>
      <c r="U16" s="1559">
        <f>H16</f>
        <v>100</v>
      </c>
      <c r="V16" s="1558" t="s">
        <v>8</v>
      </c>
      <c r="W16" s="1559">
        <f>J16</f>
        <v>100</v>
      </c>
      <c r="X16" s="1552"/>
      <c r="Y16" s="343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37"/>
      <c r="Q17" s="1557"/>
      <c r="R17" s="1558"/>
      <c r="S17" s="1559"/>
      <c r="T17" s="1558"/>
      <c r="U17" s="1559"/>
      <c r="V17" s="1558"/>
      <c r="W17" s="1559"/>
      <c r="X17" s="1552"/>
      <c r="Y17" s="3437"/>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37"/>
      <c r="Q18" s="2542" t="str">
        <f>B18</f>
        <v>基础设施水平</v>
      </c>
      <c r="R18" s="1558" t="s">
        <v>8</v>
      </c>
      <c r="S18" s="1559">
        <f>F18</f>
        <v>100</v>
      </c>
      <c r="T18" s="1558" t="s">
        <v>8</v>
      </c>
      <c r="U18" s="1559">
        <f>H18</f>
        <v>100</v>
      </c>
      <c r="V18" s="1558" t="s">
        <v>8</v>
      </c>
      <c r="W18" s="1559">
        <f>J18</f>
        <v>100</v>
      </c>
      <c r="X18" s="2544"/>
      <c r="Y18" s="3437"/>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37"/>
      <c r="Q19" s="2542"/>
      <c r="R19" s="1558"/>
      <c r="S19" s="1559"/>
      <c r="T19" s="1558"/>
      <c r="U19" s="1559"/>
      <c r="V19" s="1558"/>
      <c r="W19" s="1559"/>
      <c r="X19" s="2544"/>
      <c r="Y19" s="3437"/>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37"/>
      <c r="Q20" s="1557" t="str">
        <f>B20</f>
        <v>自然及人文环境</v>
      </c>
      <c r="R20" s="1558" t="s">
        <v>8</v>
      </c>
      <c r="S20" s="1559">
        <f>F20</f>
        <v>100</v>
      </c>
      <c r="T20" s="1558" t="s">
        <v>8</v>
      </c>
      <c r="U20" s="1559">
        <f>H20</f>
        <v>100</v>
      </c>
      <c r="V20" s="1558" t="s">
        <v>8</v>
      </c>
      <c r="W20" s="1559">
        <f>J20</f>
        <v>100</v>
      </c>
      <c r="X20" s="1552"/>
      <c r="Y20" s="343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37"/>
      <c r="Q21" s="1557"/>
      <c r="R21" s="1558"/>
      <c r="S21" s="1559"/>
      <c r="T21" s="1558"/>
      <c r="U21" s="1559"/>
      <c r="V21" s="1558"/>
      <c r="W21" s="1559"/>
      <c r="X21" s="1552"/>
      <c r="Y21" s="3437"/>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37"/>
      <c r="Q22" s="1557" t="str">
        <f>B22</f>
        <v>楼层</v>
      </c>
      <c r="R22" s="1558" t="s">
        <v>8</v>
      </c>
      <c r="S22" s="1559">
        <f>F22</f>
        <v>100</v>
      </c>
      <c r="T22" s="1558" t="s">
        <v>8</v>
      </c>
      <c r="U22" s="1559">
        <f>H22</f>
        <v>100</v>
      </c>
      <c r="V22" s="1558" t="s">
        <v>8</v>
      </c>
      <c r="W22" s="1559">
        <f>J22</f>
        <v>100</v>
      </c>
      <c r="X22" s="1552"/>
      <c r="Y22" s="343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37"/>
      <c r="Q23" s="1557">
        <f>B23</f>
        <v>111</v>
      </c>
      <c r="R23" s="1558" t="s">
        <v>8</v>
      </c>
      <c r="S23" s="1559">
        <f>F23</f>
        <v>100</v>
      </c>
      <c r="T23" s="1558" t="s">
        <v>8</v>
      </c>
      <c r="U23" s="1559">
        <f>H23</f>
        <v>100</v>
      </c>
      <c r="V23" s="1558" t="s">
        <v>8</v>
      </c>
      <c r="W23" s="1559">
        <f>J23</f>
        <v>100</v>
      </c>
      <c r="X23" s="1552"/>
      <c r="Y23" s="343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37"/>
      <c r="Q24" s="1557">
        <f t="shared" ref="Q24:Q34" si="11">B24</f>
        <v>111</v>
      </c>
      <c r="R24" s="1558" t="s">
        <v>8</v>
      </c>
      <c r="S24" s="1559">
        <f>F24</f>
        <v>100</v>
      </c>
      <c r="T24" s="1558" t="s">
        <v>8</v>
      </c>
      <c r="U24" s="1559">
        <f>H24</f>
        <v>100</v>
      </c>
      <c r="V24" s="1558" t="s">
        <v>8</v>
      </c>
      <c r="W24" s="1559">
        <f>J24</f>
        <v>100</v>
      </c>
      <c r="X24" s="1552"/>
      <c r="Y24" s="3437"/>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37"/>
      <c r="Q25" s="1147">
        <f t="shared" si="11"/>
        <v>111</v>
      </c>
      <c r="R25" s="1553" t="s">
        <v>8</v>
      </c>
      <c r="S25" s="1554">
        <f>F25</f>
        <v>100</v>
      </c>
      <c r="T25" s="1553" t="s">
        <v>8</v>
      </c>
      <c r="U25" s="1554">
        <f>H25</f>
        <v>100</v>
      </c>
      <c r="V25" s="1553" t="s">
        <v>8</v>
      </c>
      <c r="W25" s="1554">
        <f>J25</f>
        <v>100</v>
      </c>
      <c r="X25" s="1555"/>
      <c r="Y25" s="3437"/>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38"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9"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39"/>
      <c r="Q27" s="1589" t="str">
        <f t="shared" si="11"/>
        <v>成新率</v>
      </c>
      <c r="R27" s="1562" t="s">
        <v>8</v>
      </c>
      <c r="S27" s="1563" t="e">
        <f t="shared" si="12"/>
        <v>#N/A</v>
      </c>
      <c r="T27" s="1562" t="s">
        <v>8</v>
      </c>
      <c r="U27" s="1563" t="e">
        <f t="shared" si="13"/>
        <v>#N/A</v>
      </c>
      <c r="V27" s="1562" t="s">
        <v>8</v>
      </c>
      <c r="W27" s="1563" t="e">
        <f t="shared" si="14"/>
        <v>#N/A</v>
      </c>
      <c r="X27" s="1564"/>
      <c r="Y27" s="3439"/>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39"/>
      <c r="Q28" s="1557" t="str">
        <f t="shared" si="11"/>
        <v>物业等级</v>
      </c>
      <c r="R28" s="1558" t="s">
        <v>8</v>
      </c>
      <c r="S28" s="1559">
        <f t="shared" si="12"/>
        <v>100</v>
      </c>
      <c r="T28" s="1558" t="s">
        <v>8</v>
      </c>
      <c r="U28" s="1559">
        <f t="shared" si="13"/>
        <v>100</v>
      </c>
      <c r="V28" s="1558" t="s">
        <v>8</v>
      </c>
      <c r="W28" s="1559">
        <f t="shared" si="14"/>
        <v>100</v>
      </c>
      <c r="X28" s="1552"/>
      <c r="Y28" s="3439"/>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39"/>
      <c r="Q29" s="1557" t="str">
        <f t="shared" si="11"/>
        <v>有无电梯</v>
      </c>
      <c r="R29" s="1558" t="s">
        <v>8</v>
      </c>
      <c r="S29" s="1559">
        <f t="shared" si="12"/>
        <v>100</v>
      </c>
      <c r="T29" s="1558" t="s">
        <v>8</v>
      </c>
      <c r="U29" s="1559">
        <f t="shared" si="13"/>
        <v>100</v>
      </c>
      <c r="V29" s="1558" t="s">
        <v>8</v>
      </c>
      <c r="W29" s="1559">
        <f t="shared" si="14"/>
        <v>100</v>
      </c>
      <c r="X29" s="1552"/>
      <c r="Y29" s="3439"/>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39"/>
      <c r="Q30" s="1557" t="str">
        <f t="shared" si="11"/>
        <v>建筑面积</v>
      </c>
      <c r="R30" s="1558" t="s">
        <v>8</v>
      </c>
      <c r="S30" s="1559" t="e">
        <f t="shared" si="12"/>
        <v>#N/A</v>
      </c>
      <c r="T30" s="1558" t="s">
        <v>8</v>
      </c>
      <c r="U30" s="1559" t="e">
        <f t="shared" si="13"/>
        <v>#N/A</v>
      </c>
      <c r="V30" s="1558" t="s">
        <v>8</v>
      </c>
      <c r="W30" s="1559" t="e">
        <f t="shared" si="14"/>
        <v>#N/A</v>
      </c>
      <c r="X30" s="1552"/>
      <c r="Y30" s="3439"/>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39"/>
      <c r="Q31" s="1147" t="str">
        <f t="shared" si="11"/>
        <v>是否封闭</v>
      </c>
      <c r="R31" s="1553" t="s">
        <v>8</v>
      </c>
      <c r="S31" s="1554">
        <f t="shared" si="12"/>
        <v>100</v>
      </c>
      <c r="T31" s="1553" t="s">
        <v>8</v>
      </c>
      <c r="U31" s="1554">
        <f t="shared" si="13"/>
        <v>100</v>
      </c>
      <c r="V31" s="1553" t="s">
        <v>8</v>
      </c>
      <c r="W31" s="1554">
        <f t="shared" si="14"/>
        <v>100</v>
      </c>
      <c r="X31" s="1555"/>
      <c r="Y31" s="3439"/>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39" t="s">
        <v>549</v>
      </c>
      <c r="Q32" s="1557">
        <f t="shared" si="11"/>
        <v>111</v>
      </c>
      <c r="R32" s="1558" t="s">
        <v>8</v>
      </c>
      <c r="S32" s="1559">
        <f t="shared" si="12"/>
        <v>100</v>
      </c>
      <c r="T32" s="1558" t="s">
        <v>8</v>
      </c>
      <c r="U32" s="1559">
        <f t="shared" si="13"/>
        <v>100</v>
      </c>
      <c r="V32" s="1558" t="s">
        <v>8</v>
      </c>
      <c r="W32" s="1559">
        <f t="shared" si="14"/>
        <v>100</v>
      </c>
      <c r="X32" s="1552"/>
      <c r="Y32" s="3439"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39"/>
      <c r="Q33" s="1557">
        <f t="shared" si="11"/>
        <v>111</v>
      </c>
      <c r="R33" s="1558" t="s">
        <v>8</v>
      </c>
      <c r="S33" s="1559">
        <f t="shared" si="12"/>
        <v>100</v>
      </c>
      <c r="T33" s="1558" t="s">
        <v>8</v>
      </c>
      <c r="U33" s="1559">
        <f t="shared" si="13"/>
        <v>100</v>
      </c>
      <c r="V33" s="1558" t="s">
        <v>8</v>
      </c>
      <c r="W33" s="1559">
        <f t="shared" si="14"/>
        <v>100</v>
      </c>
      <c r="X33" s="1552"/>
      <c r="Y33" s="3439"/>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39"/>
      <c r="Q34" s="1557">
        <f t="shared" si="11"/>
        <v>111</v>
      </c>
      <c r="R34" s="1558" t="s">
        <v>8</v>
      </c>
      <c r="S34" s="1559">
        <f t="shared" si="12"/>
        <v>100</v>
      </c>
      <c r="T34" s="1558" t="s">
        <v>8</v>
      </c>
      <c r="U34" s="1559">
        <f t="shared" si="13"/>
        <v>100</v>
      </c>
      <c r="V34" s="1558" t="s">
        <v>8</v>
      </c>
      <c r="W34" s="1559">
        <f t="shared" si="14"/>
        <v>100</v>
      </c>
      <c r="X34" s="1552"/>
      <c r="Y34" s="3439"/>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02" t="str">
        <f>A35</f>
        <v>成交单价（元/平方米）</v>
      </c>
      <c r="Q35" s="3402"/>
      <c r="R35" s="3519">
        <f>E35</f>
        <v>0</v>
      </c>
      <c r="S35" s="3519"/>
      <c r="T35" s="3519">
        <f>G35</f>
        <v>0</v>
      </c>
      <c r="U35" s="3519"/>
      <c r="V35" s="3519">
        <f>I35</f>
        <v>0</v>
      </c>
      <c r="W35" s="3519"/>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02" t="str">
        <f>A36</f>
        <v>比较价格（元/平方米）</v>
      </c>
      <c r="Q36" s="3402"/>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399" t="str">
        <f>A37</f>
        <v>估价对象XX用房的比较价格（楼面单价，元/平方米）</v>
      </c>
      <c r="Q37" s="3400"/>
      <c r="R37" s="3518" t="e">
        <f>IF(F1="售价",ROUND(AVERAGE(R36:V36),0),ROUND(AVERAGE(R36:V36),1))</f>
        <v>#DIV/0!</v>
      </c>
      <c r="S37" s="3518"/>
      <c r="T37" s="3518"/>
      <c r="U37" s="3518"/>
      <c r="V37" s="3518"/>
      <c r="W37" s="351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30" t="s">
        <v>2303</v>
      </c>
      <c r="D1" s="3531"/>
      <c r="E1" s="3531"/>
      <c r="F1" s="3531"/>
      <c r="G1" s="3531"/>
      <c r="H1" s="3531"/>
      <c r="I1" s="3531"/>
      <c r="J1" s="3531"/>
      <c r="K1" s="3531"/>
      <c r="L1" s="3531"/>
      <c r="M1" s="3531"/>
      <c r="N1" s="3531"/>
      <c r="O1" s="3531"/>
      <c r="P1" s="3531"/>
      <c r="Q1" s="3531"/>
      <c r="R1" s="3531"/>
      <c r="S1" s="3532"/>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H11" sqref="H11"/>
    </sheetView>
  </sheetViews>
  <sheetFormatPr defaultRowHeight="13.5"/>
  <sheetData>
    <row r="2" spans="1:1" ht="18.75">
      <c r="A2" s="3233" t="s">
        <v>3238</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2037</v>
      </c>
      <c r="B1" s="3235"/>
      <c r="C1" s="3235"/>
      <c r="D1" s="3235"/>
      <c r="E1" s="3235"/>
      <c r="F1" s="3235"/>
      <c r="G1" s="3235"/>
      <c r="H1" s="3235"/>
      <c r="I1" s="3235"/>
      <c r="J1" s="3235"/>
      <c r="K1" s="3235"/>
      <c r="L1" s="3235"/>
      <c r="M1" s="3235"/>
      <c r="N1" s="3235"/>
      <c r="O1" s="3235"/>
      <c r="P1" s="3235"/>
      <c r="Q1" s="3235"/>
      <c r="R1" s="3235"/>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6" t="s">
        <v>2028</v>
      </c>
      <c r="B3" s="3236" t="s">
        <v>2729</v>
      </c>
      <c r="C3" s="3237" t="s">
        <v>2029</v>
      </c>
      <c r="D3" s="3236" t="s">
        <v>2733</v>
      </c>
      <c r="E3" s="3239" t="s">
        <v>2030</v>
      </c>
      <c r="F3" s="3239"/>
      <c r="G3" s="3239"/>
      <c r="H3" s="3239" t="s">
        <v>2031</v>
      </c>
      <c r="I3" s="3239"/>
      <c r="J3" s="3239"/>
      <c r="K3" s="3237" t="s">
        <v>2032</v>
      </c>
      <c r="L3" s="3237" t="s">
        <v>2033</v>
      </c>
      <c r="M3" s="3236" t="s">
        <v>2730</v>
      </c>
      <c r="N3" s="3238" t="str">
        <f>"（分摊）"&amp;项目基本情况!B16&amp;"国有建设用地使用权面积/㎡"</f>
        <v>（分摊）出让国有建设用地使用权面积/㎡</v>
      </c>
      <c r="O3" s="3236" t="s">
        <v>2062</v>
      </c>
      <c r="P3" s="3237" t="s">
        <v>2042</v>
      </c>
      <c r="Q3" s="3237" t="s">
        <v>2063</v>
      </c>
      <c r="R3" s="3237" t="s">
        <v>2034</v>
      </c>
    </row>
    <row r="4" spans="1:18" ht="36.75" customHeight="1">
      <c r="A4" s="3236"/>
      <c r="B4" s="3236"/>
      <c r="C4" s="3237"/>
      <c r="D4" s="3236"/>
      <c r="E4" s="2612" t="s">
        <v>2041</v>
      </c>
      <c r="F4" s="2612" t="s">
        <v>2742</v>
      </c>
      <c r="G4" s="2612" t="s">
        <v>2035</v>
      </c>
      <c r="H4" s="2612" t="s">
        <v>2036</v>
      </c>
      <c r="I4" s="2612" t="s">
        <v>2743</v>
      </c>
      <c r="J4" s="2612" t="s">
        <v>2035</v>
      </c>
      <c r="K4" s="3237"/>
      <c r="L4" s="3237"/>
      <c r="M4" s="3236"/>
      <c r="N4" s="3238"/>
      <c r="O4" s="3236"/>
      <c r="P4" s="3237"/>
      <c r="Q4" s="3237"/>
      <c r="R4" s="3237"/>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10728</v>
      </c>
      <c r="Q5" s="1794">
        <f ca="1">结果表!D42</f>
        <v>2401</v>
      </c>
      <c r="R5" s="1795">
        <f ca="1">结果表!C42</f>
        <v>77238</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796">
        <f ca="1">结果表!O39</f>
        <v>76237</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796" t="str">
        <f>结果表!O40</f>
        <v>——</v>
      </c>
    </row>
    <row r="8" spans="1:18">
      <c r="A8" s="3240" t="str">
        <f>IF(项目基本情况!B9="市场价格","——",项目基本情况!E9)</f>
        <v>抵押净值</v>
      </c>
      <c r="B8" s="3241"/>
      <c r="C8" s="3241"/>
      <c r="D8" s="3241"/>
      <c r="E8" s="3241"/>
      <c r="F8" s="3241"/>
      <c r="G8" s="3241"/>
      <c r="H8" s="3241"/>
      <c r="I8" s="3241"/>
      <c r="J8" s="3241"/>
      <c r="K8" s="3241"/>
      <c r="L8" s="3241"/>
      <c r="M8" s="3241"/>
      <c r="N8" s="3241"/>
      <c r="O8" s="3241"/>
      <c r="P8" s="3241"/>
      <c r="Q8" s="3242"/>
      <c r="R8" s="1796">
        <f ca="1">结果表!O41</f>
        <v>64323</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4" t="s">
        <v>2064</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2065</v>
      </c>
      <c r="B5" s="3243"/>
      <c r="C5" s="3243"/>
      <c r="D5" s="3243"/>
    </row>
    <row r="6" spans="1:4">
      <c r="A6" s="3244" t="s">
        <v>2043</v>
      </c>
      <c r="B6" s="3244"/>
      <c r="C6" s="3244"/>
      <c r="D6" s="3244"/>
    </row>
    <row r="7" spans="1:4" ht="33" customHeight="1">
      <c r="A7" s="3244" t="s">
        <v>2573</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3" t="s">
        <v>2067</v>
      </c>
      <c r="B12" s="3243"/>
      <c r="C12" s="3243"/>
      <c r="D12" s="3243"/>
    </row>
    <row r="13" spans="1:4">
      <c r="A13" s="3247" t="s">
        <v>2744</v>
      </c>
      <c r="B13" s="3247"/>
      <c r="C13" s="3247"/>
      <c r="D13" s="3247"/>
    </row>
    <row r="14" spans="1:4">
      <c r="A14" s="3246" t="str">
        <f>IF(项目基本情况!B8="抵押","综上，"&amp;结果表!K47,"——")</f>
        <v>综上，本次评估估价师知悉的法定优先受偿款为人民币1001万元整。</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2700</v>
      </c>
      <c r="B17" s="3244"/>
      <c r="C17" s="3244"/>
      <c r="D17" s="3244"/>
    </row>
    <row r="18" spans="1:4">
      <c r="A18" s="3244" t="s">
        <v>2692</v>
      </c>
      <c r="B18" s="3244"/>
      <c r="C18" s="3244"/>
      <c r="D18" s="3244"/>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4" t="s">
        <v>2697</v>
      </c>
      <c r="B23" s="3244"/>
      <c r="C23" s="3244"/>
      <c r="D23" s="3244"/>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5" t="s">
        <v>53</v>
      </c>
      <c r="B15" s="3256" t="s">
        <v>845</v>
      </c>
      <c r="C15" s="3252"/>
    </row>
    <row r="16" spans="1:7" ht="14.25">
      <c r="A16" s="3255"/>
      <c r="B16" s="3253" t="s">
        <v>54</v>
      </c>
      <c r="C16" s="1168" t="s">
        <v>53</v>
      </c>
    </row>
    <row r="17" spans="1:3" ht="14.25">
      <c r="A17" s="3255"/>
      <c r="B17" s="3253"/>
      <c r="C17" s="1168" t="s">
        <v>55</v>
      </c>
    </row>
    <row r="18" spans="1:3" ht="14.25">
      <c r="A18" s="3255"/>
      <c r="B18" s="3253"/>
      <c r="C18" s="1168" t="s">
        <v>56</v>
      </c>
    </row>
    <row r="19" spans="1:3" ht="14.25">
      <c r="A19" s="3255"/>
      <c r="B19" s="3251" t="s">
        <v>57</v>
      </c>
      <c r="C19" s="3252"/>
    </row>
    <row r="20" spans="1:3" ht="14.25">
      <c r="A20" s="1169" t="s">
        <v>58</v>
      </c>
      <c r="B20" s="1170"/>
      <c r="C20" s="1171"/>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2" t="s">
        <v>836</v>
      </c>
    </row>
    <row r="25" spans="1:3" ht="14.25">
      <c r="A25" s="3254"/>
      <c r="B25" s="3258"/>
      <c r="C25" s="1172" t="s">
        <v>837</v>
      </c>
    </row>
    <row r="26" spans="1:3" ht="14.25">
      <c r="A26" s="3254"/>
      <c r="B26" s="3258"/>
      <c r="C26" s="1172" t="s">
        <v>838</v>
      </c>
    </row>
    <row r="27" spans="1:3" ht="14.25">
      <c r="A27" s="3254"/>
      <c r="B27" s="3258"/>
      <c r="C27" s="1172" t="s">
        <v>839</v>
      </c>
    </row>
    <row r="28" spans="1:3" ht="14.25">
      <c r="A28" s="3254"/>
      <c r="B28" s="3258"/>
      <c r="C28" s="1172" t="s">
        <v>840</v>
      </c>
    </row>
    <row r="29" spans="1:3" ht="14.25">
      <c r="A29" s="3254"/>
      <c r="B29" s="3258"/>
      <c r="C29" s="1172" t="s">
        <v>841</v>
      </c>
    </row>
    <row r="30" spans="1:3" ht="14.25">
      <c r="A30" s="3254"/>
      <c r="B30" s="3258"/>
      <c r="C30" s="1172" t="s">
        <v>842</v>
      </c>
    </row>
    <row r="31" spans="1:3" ht="14.25">
      <c r="A31" s="3254"/>
      <c r="B31" s="3258"/>
      <c r="C31" s="1172" t="s">
        <v>843</v>
      </c>
    </row>
    <row r="32" spans="1:3" ht="14.25">
      <c r="A32" s="3254"/>
      <c r="B32" s="3258"/>
      <c r="C32" s="1172" t="s">
        <v>1645</v>
      </c>
    </row>
    <row r="33" spans="1:3" ht="14.25">
      <c r="A33" s="3254"/>
      <c r="B33" s="3248" t="s">
        <v>1651</v>
      </c>
      <c r="C33" s="1172" t="s">
        <v>1646</v>
      </c>
    </row>
    <row r="34" spans="1:3" ht="14.25">
      <c r="A34" s="3254"/>
      <c r="B34" s="3249"/>
      <c r="C34" s="1177" t="s">
        <v>1647</v>
      </c>
    </row>
    <row r="35" spans="1:3" ht="14.25">
      <c r="A35" s="3254"/>
      <c r="B35" s="3249"/>
      <c r="C35" s="1178" t="s">
        <v>1648</v>
      </c>
    </row>
    <row r="36" spans="1:3" ht="14.25">
      <c r="A36" s="3254"/>
      <c r="B36" s="3249"/>
      <c r="C36" s="1178" t="s">
        <v>1649</v>
      </c>
    </row>
    <row r="37" spans="1:3" ht="14.25">
      <c r="A37" s="3254"/>
      <c r="B37" s="325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43658</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9" t="s">
        <v>1925</v>
      </c>
      <c r="B25" s="3259"/>
      <c r="C25" s="3259"/>
      <c r="D25" s="3259"/>
      <c r="E25" s="3259"/>
      <c r="F25" s="3259"/>
      <c r="G25" s="3259"/>
    </row>
    <row r="26" spans="1:7" ht="20.25" customHeight="1">
      <c r="A26" s="3260" t="s">
        <v>1926</v>
      </c>
      <c r="B26" s="3260"/>
      <c r="C26" s="3260"/>
      <c r="D26" s="3260" t="s">
        <v>1927</v>
      </c>
      <c r="E26" s="3260"/>
      <c r="F26" s="3260"/>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1"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1"/>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1"/>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1"/>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1"/>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Sheet1</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2019-07-12T09:31:57Z</dcterms:modified>
</cp:coreProperties>
</file>