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明细" sheetId="79"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酒店收入计算" sheetId="66"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收益法（汇总）" sheetId="70" state="hidden" r:id="rId30"/>
    <sheet name="土地比较法-住宅、综合" sheetId="39" state="hidden" r:id="rId31"/>
    <sheet name="收益法 (元)" sheetId="67" r:id="rId32"/>
    <sheet name="收益法" sheetId="15" state="hidden" r:id="rId33"/>
    <sheet name="收益法 (车库)" sheetId="78"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7" r:id="rId47"/>
    <sheet name="Sheet1" sheetId="80" r:id="rId48"/>
    <sheet name="分套价值" sheetId="81" r:id="rId49"/>
  </sheets>
  <externalReferences>
    <externalReference r:id="rId5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2">收益法!$A$1:$AK$69</definedName>
    <definedName name="_xlnm.Print_Area" localSheetId="33">'收益法 (车库)'!$A$1:$AK$69</definedName>
    <definedName name="_xlnm.Print_Area" localSheetId="31">'收益法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52" i="81" l="1"/>
  <c r="C52" i="81"/>
  <c r="B52" i="81"/>
  <c r="C19"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2" i="67"/>
  <c r="D19" i="9"/>
  <c r="G19" i="9"/>
  <c r="C32" i="9"/>
  <c r="H118" i="9"/>
  <c r="I118" i="9"/>
  <c r="R24" i="31"/>
  <c r="C20" i="9"/>
  <c r="B3" i="67"/>
  <c r="D20" i="9"/>
  <c r="G20" i="9"/>
  <c r="C17" i="9"/>
  <c r="D14" i="9"/>
  <c r="D17" i="9"/>
  <c r="C18" i="9"/>
  <c r="D18" i="9"/>
  <c r="S24" i="31"/>
  <c r="O25" i="31"/>
  <c r="M25" i="31"/>
  <c r="Q25" i="31"/>
  <c r="R25" i="31"/>
  <c r="S25" i="31"/>
  <c r="O26" i="31"/>
  <c r="M26" i="31"/>
  <c r="Q26" i="31"/>
  <c r="R26" i="31"/>
  <c r="S26" i="31"/>
  <c r="O27" i="31"/>
  <c r="M27" i="31"/>
  <c r="Q27" i="31"/>
  <c r="R27" i="31"/>
  <c r="S27" i="31"/>
  <c r="O28" i="31"/>
  <c r="M28" i="31"/>
  <c r="Q28" i="31"/>
  <c r="R28" i="31"/>
  <c r="S28" i="31"/>
  <c r="O29" i="31"/>
  <c r="M29" i="31"/>
  <c r="Q29" i="31"/>
  <c r="R29" i="31"/>
  <c r="S29" i="31"/>
  <c r="O30" i="31"/>
  <c r="M30" i="31"/>
  <c r="Q30" i="31"/>
  <c r="R30" i="31"/>
  <c r="S30" i="31"/>
  <c r="O31" i="31"/>
  <c r="M31" i="31"/>
  <c r="Q31" i="31"/>
  <c r="R31" i="31"/>
  <c r="S31" i="31"/>
  <c r="O32" i="31"/>
  <c r="M32" i="31"/>
  <c r="Q32" i="31"/>
  <c r="R32" i="31"/>
  <c r="S32" i="31"/>
  <c r="O33" i="31"/>
  <c r="M33" i="31"/>
  <c r="Q33" i="31"/>
  <c r="R33" i="31"/>
  <c r="S33" i="31"/>
  <c r="O34" i="31"/>
  <c r="M34" i="31"/>
  <c r="Q34" i="31"/>
  <c r="R34" i="31"/>
  <c r="S34" i="31"/>
  <c r="O35" i="31"/>
  <c r="M35" i="31"/>
  <c r="Q35" i="31"/>
  <c r="R35" i="31"/>
  <c r="S35" i="31"/>
  <c r="O36" i="31"/>
  <c r="M36" i="31"/>
  <c r="Q36" i="31"/>
  <c r="R36" i="31"/>
  <c r="S36" i="31"/>
  <c r="O37" i="31"/>
  <c r="M37" i="31"/>
  <c r="Q37" i="31"/>
  <c r="R37" i="31"/>
  <c r="S37" i="31"/>
  <c r="O38" i="31"/>
  <c r="M38" i="31"/>
  <c r="Q38" i="31"/>
  <c r="R38" i="31"/>
  <c r="S38" i="31"/>
  <c r="O39" i="31"/>
  <c r="M39" i="31"/>
  <c r="Q39" i="31"/>
  <c r="R39" i="31"/>
  <c r="S39" i="31"/>
  <c r="O40" i="31"/>
  <c r="M40" i="31"/>
  <c r="Q40" i="31"/>
  <c r="R40" i="31"/>
  <c r="S40" i="31"/>
  <c r="O41" i="31"/>
  <c r="M41" i="31"/>
  <c r="Q41" i="31"/>
  <c r="R41" i="31"/>
  <c r="S41" i="31"/>
  <c r="O42" i="31"/>
  <c r="M42" i="31"/>
  <c r="Q42" i="31"/>
  <c r="R42" i="31"/>
  <c r="S42" i="31"/>
  <c r="O43" i="31"/>
  <c r="M43" i="31"/>
  <c r="Q43" i="31"/>
  <c r="R43" i="31"/>
  <c r="S43" i="31"/>
  <c r="O44" i="31"/>
  <c r="M44" i="31"/>
  <c r="Q44" i="31"/>
  <c r="R44" i="31"/>
  <c r="S44" i="31"/>
  <c r="O45" i="31"/>
  <c r="M45" i="31"/>
  <c r="Q45" i="31"/>
  <c r="R45" i="31"/>
  <c r="S45" i="31"/>
  <c r="O46" i="31"/>
  <c r="M46" i="31"/>
  <c r="Q46" i="31"/>
  <c r="R46" i="31"/>
  <c r="S46" i="31"/>
  <c r="O47" i="31"/>
  <c r="M47" i="31"/>
  <c r="Q47" i="31"/>
  <c r="R47" i="31"/>
  <c r="S47" i="31"/>
  <c r="O48" i="31"/>
  <c r="M48" i="31"/>
  <c r="Q48" i="31"/>
  <c r="R48" i="31"/>
  <c r="S48" i="31"/>
  <c r="O49" i="31"/>
  <c r="M49" i="31"/>
  <c r="Q49" i="31"/>
  <c r="R49" i="31"/>
  <c r="S49" i="31"/>
  <c r="O50" i="31"/>
  <c r="M50" i="31"/>
  <c r="Q50" i="31"/>
  <c r="R50" i="31"/>
  <c r="S50" i="31"/>
  <c r="O51" i="31"/>
  <c r="M51" i="31"/>
  <c r="Q51" i="31"/>
  <c r="R51" i="31"/>
  <c r="S51" i="31"/>
  <c r="O52" i="31"/>
  <c r="M52" i="31"/>
  <c r="Q52" i="31"/>
  <c r="R52" i="31"/>
  <c r="S52" i="31"/>
  <c r="O53" i="31"/>
  <c r="M53" i="31"/>
  <c r="Q53" i="31"/>
  <c r="R53" i="31"/>
  <c r="S53" i="31"/>
  <c r="O54" i="31"/>
  <c r="M54" i="31"/>
  <c r="Q54" i="31"/>
  <c r="R54" i="31"/>
  <c r="S54" i="31"/>
  <c r="O55" i="31"/>
  <c r="M55" i="31"/>
  <c r="Q55" i="31"/>
  <c r="R55" i="31"/>
  <c r="S55" i="31"/>
  <c r="O56" i="31"/>
  <c r="M56" i="31"/>
  <c r="Q56" i="31"/>
  <c r="R56" i="31"/>
  <c r="S56" i="31"/>
  <c r="O57" i="31"/>
  <c r="M57" i="31"/>
  <c r="Q57" i="31"/>
  <c r="R57" i="31"/>
  <c r="S57" i="31"/>
  <c r="O58" i="31"/>
  <c r="M58" i="31"/>
  <c r="Q58" i="31"/>
  <c r="R58" i="31"/>
  <c r="S58" i="31"/>
  <c r="O59" i="31"/>
  <c r="M59" i="31"/>
  <c r="Q59" i="31"/>
  <c r="R59" i="31"/>
  <c r="S59" i="31"/>
  <c r="O60" i="31"/>
  <c r="M60" i="31"/>
  <c r="Q60" i="31"/>
  <c r="R60" i="31"/>
  <c r="S60" i="31"/>
  <c r="O61" i="31"/>
  <c r="M61" i="31"/>
  <c r="Q61" i="31"/>
  <c r="R61" i="31"/>
  <c r="S61" i="31"/>
  <c r="O62" i="31"/>
  <c r="M62" i="31"/>
  <c r="Q62" i="31"/>
  <c r="R62" i="31"/>
  <c r="S62" i="31"/>
  <c r="O63" i="31"/>
  <c r="M63" i="31"/>
  <c r="Q63" i="31"/>
  <c r="R63" i="31"/>
  <c r="S63" i="31"/>
  <c r="O64" i="31"/>
  <c r="M64" i="31"/>
  <c r="Q64" i="31"/>
  <c r="R64" i="31"/>
  <c r="S64" i="31"/>
  <c r="O65" i="31"/>
  <c r="M65" i="31"/>
  <c r="Q65" i="31"/>
  <c r="R65" i="31"/>
  <c r="S65" i="31"/>
  <c r="O66" i="31"/>
  <c r="M66" i="31"/>
  <c r="Q66" i="31"/>
  <c r="R66" i="31"/>
  <c r="S66" i="31"/>
  <c r="O67" i="31"/>
  <c r="M67" i="31"/>
  <c r="Q67" i="31"/>
  <c r="R67" i="31"/>
  <c r="S67" i="31"/>
  <c r="O68" i="31"/>
  <c r="M68" i="31"/>
  <c r="Q68" i="31"/>
  <c r="R68" i="31"/>
  <c r="S68" i="31"/>
  <c r="O69" i="31"/>
  <c r="M69" i="31"/>
  <c r="Q69" i="31"/>
  <c r="R69" i="31"/>
  <c r="S69" i="31"/>
  <c r="O70" i="31"/>
  <c r="M70" i="31"/>
  <c r="Q70" i="31"/>
  <c r="R70" i="31"/>
  <c r="S70" i="31"/>
  <c r="O71" i="31"/>
  <c r="M71" i="31"/>
  <c r="Q71" i="31"/>
  <c r="R71" i="31"/>
  <c r="S71" i="31"/>
  <c r="O72" i="31"/>
  <c r="M72" i="31"/>
  <c r="Q72"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U39" i="31"/>
  <c r="D123" i="33"/>
  <c r="E123" i="33"/>
  <c r="F123" i="33"/>
  <c r="F42" i="33"/>
  <c r="AA42" i="33"/>
  <c r="F38" i="33"/>
  <c r="AA38" i="33"/>
  <c r="D117" i="33"/>
  <c r="F39" i="33"/>
  <c r="AA39" i="33"/>
  <c r="F34" i="33"/>
  <c r="AA34" i="33"/>
  <c r="D108" i="33"/>
  <c r="F35" i="33"/>
  <c r="AA35" i="33"/>
  <c r="D111" i="33"/>
  <c r="E111" i="33"/>
  <c r="F111" i="33"/>
  <c r="G111" i="33"/>
  <c r="F36" i="33"/>
  <c r="AA36" i="33"/>
  <c r="D113" i="33"/>
  <c r="E113" i="33"/>
  <c r="F37" i="33"/>
  <c r="AA37" i="33"/>
  <c r="R48" i="33"/>
  <c r="H42" i="33"/>
  <c r="AB42" i="33"/>
  <c r="H33" i="33"/>
  <c r="AB33" i="33"/>
  <c r="T47" i="33"/>
  <c r="H38" i="33"/>
  <c r="AB38" i="33"/>
  <c r="H39" i="33"/>
  <c r="AB39" i="33"/>
  <c r="H34" i="33"/>
  <c r="AB34" i="33"/>
  <c r="H35" i="33"/>
  <c r="AB35" i="33"/>
  <c r="H36" i="33"/>
  <c r="AB36" i="33"/>
  <c r="H37" i="33"/>
  <c r="AB37" i="33"/>
  <c r="T48" i="33"/>
  <c r="J42" i="33"/>
  <c r="AC42" i="33"/>
  <c r="D115" i="33"/>
  <c r="J38" i="33"/>
  <c r="AC38" i="33"/>
  <c r="J39" i="33"/>
  <c r="AC39" i="33"/>
  <c r="J34" i="33"/>
  <c r="AC34" i="33"/>
  <c r="J35" i="33"/>
  <c r="AC35" i="33"/>
  <c r="J36" i="33"/>
  <c r="AC36" i="33"/>
  <c r="J37" i="33"/>
  <c r="AC37" i="33"/>
  <c r="V48" i="33"/>
  <c r="R49" i="33"/>
  <c r="C49" i="33"/>
  <c r="B3" i="33"/>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M47" i="67"/>
  <c r="F41" i="15"/>
  <c r="C40" i="15"/>
  <c r="M6" i="15"/>
  <c r="M8" i="15"/>
  <c r="M7" i="15"/>
  <c r="M9" i="15"/>
  <c r="J6" i="15"/>
  <c r="M11" i="15"/>
  <c r="J10" i="15"/>
  <c r="J5" i="15"/>
  <c r="J26" i="15"/>
  <c r="J29" i="15"/>
  <c r="J57" i="15"/>
  <c r="J55" i="15"/>
  <c r="J58" i="15"/>
  <c r="J59" i="15"/>
  <c r="J60" i="15"/>
  <c r="L46" i="15"/>
  <c r="B2" i="15"/>
  <c r="B3" i="15"/>
  <c r="K25" i="31"/>
  <c r="D10" i="31"/>
  <c r="E10" i="31"/>
  <c r="F10" i="31"/>
  <c r="I25" i="31"/>
  <c r="G25" i="31"/>
  <c r="E25" i="31"/>
  <c r="K26" i="31"/>
  <c r="I26" i="31"/>
  <c r="G26" i="31"/>
  <c r="E26" i="31"/>
  <c r="K27" i="31"/>
  <c r="I27" i="31"/>
  <c r="G27" i="31"/>
  <c r="E27" i="31"/>
  <c r="K28" i="31"/>
  <c r="I28" i="31"/>
  <c r="G28" i="31"/>
  <c r="E28" i="31"/>
  <c r="K29" i="31"/>
  <c r="I29" i="31"/>
  <c r="G29" i="31"/>
  <c r="E29" i="31"/>
  <c r="K30" i="31"/>
  <c r="I30" i="31"/>
  <c r="G30" i="31"/>
  <c r="E30" i="31"/>
  <c r="K31" i="31"/>
  <c r="I31" i="31"/>
  <c r="G31" i="31"/>
  <c r="E31" i="31"/>
  <c r="K32" i="31"/>
  <c r="I32" i="31"/>
  <c r="G32" i="31"/>
  <c r="E32" i="31"/>
  <c r="K33" i="31"/>
  <c r="I33" i="31"/>
  <c r="G33" i="31"/>
  <c r="E33" i="31"/>
  <c r="K34" i="31"/>
  <c r="I34" i="31"/>
  <c r="G34" i="31"/>
  <c r="E34" i="31"/>
  <c r="K35" i="31"/>
  <c r="I35" i="31"/>
  <c r="G35" i="31"/>
  <c r="E35" i="31"/>
  <c r="K36" i="31"/>
  <c r="I36" i="31"/>
  <c r="G36" i="31"/>
  <c r="E36" i="31"/>
  <c r="K37" i="31"/>
  <c r="I37" i="31"/>
  <c r="G37" i="31"/>
  <c r="E37" i="31"/>
  <c r="K38" i="31"/>
  <c r="I38" i="31"/>
  <c r="G38" i="31"/>
  <c r="E38" i="31"/>
  <c r="K39" i="31"/>
  <c r="I39" i="31"/>
  <c r="G39" i="31"/>
  <c r="E39" i="31"/>
  <c r="K40" i="31"/>
  <c r="I40" i="31"/>
  <c r="G40" i="31"/>
  <c r="E40" i="31"/>
  <c r="K41" i="31"/>
  <c r="I41" i="31"/>
  <c r="G41" i="31"/>
  <c r="E41" i="31"/>
  <c r="K42" i="31"/>
  <c r="I42" i="31"/>
  <c r="G42" i="31"/>
  <c r="E42" i="31"/>
  <c r="K43" i="31"/>
  <c r="I43" i="31"/>
  <c r="G43" i="31"/>
  <c r="E43" i="31"/>
  <c r="K44" i="31"/>
  <c r="I44" i="31"/>
  <c r="G44" i="31"/>
  <c r="E44" i="31"/>
  <c r="K45" i="31"/>
  <c r="I45" i="31"/>
  <c r="G45" i="31"/>
  <c r="E45" i="31"/>
  <c r="K46" i="31"/>
  <c r="I46" i="31"/>
  <c r="G46" i="31"/>
  <c r="E46" i="31"/>
  <c r="K47" i="31"/>
  <c r="I47" i="31"/>
  <c r="G47" i="31"/>
  <c r="E47" i="31"/>
  <c r="K48" i="31"/>
  <c r="I48" i="31"/>
  <c r="G48" i="31"/>
  <c r="E48" i="31"/>
  <c r="K49" i="31"/>
  <c r="I49" i="31"/>
  <c r="G49" i="31"/>
  <c r="E49" i="31"/>
  <c r="K50" i="31"/>
  <c r="I50" i="31"/>
  <c r="G50" i="31"/>
  <c r="E50" i="31"/>
  <c r="K51" i="31"/>
  <c r="I51" i="31"/>
  <c r="G51" i="31"/>
  <c r="E51" i="31"/>
  <c r="K52" i="31"/>
  <c r="I52" i="31"/>
  <c r="G52" i="31"/>
  <c r="E52" i="31"/>
  <c r="K53" i="31"/>
  <c r="I53" i="31"/>
  <c r="G53" i="31"/>
  <c r="E53" i="31"/>
  <c r="K54" i="31"/>
  <c r="I54" i="31"/>
  <c r="G54" i="31"/>
  <c r="E54" i="31"/>
  <c r="K55" i="31"/>
  <c r="I55" i="31"/>
  <c r="G55" i="31"/>
  <c r="E55" i="31"/>
  <c r="K56" i="31"/>
  <c r="I56" i="31"/>
  <c r="G56" i="31"/>
  <c r="E56" i="31"/>
  <c r="K57" i="31"/>
  <c r="I57" i="31"/>
  <c r="G57" i="31"/>
  <c r="E57" i="31"/>
  <c r="K58" i="31"/>
  <c r="I58" i="31"/>
  <c r="G58" i="31"/>
  <c r="E58" i="31"/>
  <c r="K59" i="31"/>
  <c r="I59" i="31"/>
  <c r="G59" i="31"/>
  <c r="E59" i="31"/>
  <c r="K60" i="31"/>
  <c r="I60" i="31"/>
  <c r="G60" i="31"/>
  <c r="E60" i="31"/>
  <c r="K61" i="31"/>
  <c r="I61" i="31"/>
  <c r="G61" i="31"/>
  <c r="E61" i="31"/>
  <c r="K62" i="31"/>
  <c r="I62" i="31"/>
  <c r="G62" i="31"/>
  <c r="E62" i="31"/>
  <c r="K63" i="31"/>
  <c r="I63" i="31"/>
  <c r="G63" i="31"/>
  <c r="E63" i="31"/>
  <c r="K64" i="31"/>
  <c r="I64" i="31"/>
  <c r="G64" i="31"/>
  <c r="E64" i="31"/>
  <c r="K65" i="31"/>
  <c r="I65" i="31"/>
  <c r="G65" i="31"/>
  <c r="E65" i="31"/>
  <c r="K66" i="31"/>
  <c r="I66" i="31"/>
  <c r="G66" i="31"/>
  <c r="E66" i="31"/>
  <c r="K67" i="31"/>
  <c r="I67" i="31"/>
  <c r="G67" i="31"/>
  <c r="E67" i="31"/>
  <c r="K68" i="31"/>
  <c r="I68" i="31"/>
  <c r="G68" i="31"/>
  <c r="E68" i="31"/>
  <c r="K69" i="31"/>
  <c r="I69" i="31"/>
  <c r="G69" i="31"/>
  <c r="E69" i="31"/>
  <c r="K70" i="31"/>
  <c r="I70" i="31"/>
  <c r="G70" i="31"/>
  <c r="E70" i="31"/>
  <c r="K71" i="31"/>
  <c r="I71" i="31"/>
  <c r="G71" i="31"/>
  <c r="E71" i="31"/>
  <c r="K72" i="31"/>
  <c r="I72" i="31"/>
  <c r="G72" i="31"/>
  <c r="E72" i="31"/>
  <c r="C33" i="33"/>
  <c r="D77" i="33"/>
  <c r="E77" i="33"/>
  <c r="F15" i="33"/>
  <c r="AA15" i="33"/>
  <c r="D79" i="33"/>
  <c r="E79" i="33"/>
  <c r="F17" i="33"/>
  <c r="AA17" i="33"/>
  <c r="D81" i="33"/>
  <c r="E81" i="33"/>
  <c r="F19" i="33"/>
  <c r="AA19" i="33"/>
  <c r="D85" i="33"/>
  <c r="E85" i="33"/>
  <c r="F23" i="33"/>
  <c r="AA23" i="33"/>
  <c r="F26" i="33"/>
  <c r="AA26" i="33"/>
  <c r="D91" i="33"/>
  <c r="E91" i="33"/>
  <c r="F27" i="33"/>
  <c r="AA27" i="33"/>
  <c r="F33" i="33"/>
  <c r="AA33" i="33"/>
  <c r="R47" i="33"/>
  <c r="F10" i="33"/>
  <c r="AA10" i="33"/>
  <c r="F11" i="33"/>
  <c r="AA11" i="33"/>
  <c r="D83" i="33"/>
  <c r="F21" i="33"/>
  <c r="AA21" i="33"/>
  <c r="D101" i="33"/>
  <c r="E101" i="33"/>
  <c r="F32" i="33"/>
  <c r="AA32" i="33"/>
  <c r="H15" i="33"/>
  <c r="AB15" i="33"/>
  <c r="H17" i="33"/>
  <c r="AB17" i="33"/>
  <c r="H19" i="33"/>
  <c r="AB19" i="33"/>
  <c r="H23" i="33"/>
  <c r="AB23" i="33"/>
  <c r="H26" i="33"/>
  <c r="AB26" i="33"/>
  <c r="H27" i="33"/>
  <c r="AB27" i="33"/>
  <c r="H32" i="33"/>
  <c r="AB32" i="33"/>
  <c r="H10" i="33"/>
  <c r="AB10" i="33"/>
  <c r="H11" i="33"/>
  <c r="AB11" i="33"/>
  <c r="H21" i="33"/>
  <c r="AB21" i="33"/>
  <c r="J15" i="33"/>
  <c r="AC15" i="33"/>
  <c r="J17" i="33"/>
  <c r="AC17" i="33"/>
  <c r="J19" i="33"/>
  <c r="AC19" i="33"/>
  <c r="J23" i="33"/>
  <c r="AC23" i="33"/>
  <c r="J26" i="33"/>
  <c r="AC26" i="33"/>
  <c r="J27" i="33"/>
  <c r="AC27" i="33"/>
  <c r="F101" i="33"/>
  <c r="G101" i="33"/>
  <c r="J32" i="33"/>
  <c r="AC32" i="33"/>
  <c r="J40" i="33"/>
  <c r="AC40" i="33"/>
  <c r="J33" i="33"/>
  <c r="AC33" i="33"/>
  <c r="J10" i="33"/>
  <c r="AC10" i="33"/>
  <c r="J11" i="33"/>
  <c r="AC11" i="33"/>
  <c r="J21" i="33"/>
  <c r="AC21" i="33"/>
  <c r="C63" i="33"/>
  <c r="F9" i="33"/>
  <c r="AA9" i="33"/>
  <c r="F25" i="33"/>
  <c r="AA25" i="33"/>
  <c r="F28" i="33"/>
  <c r="AA28" i="33"/>
  <c r="H9" i="33"/>
  <c r="AB9" i="33"/>
  <c r="H25" i="33"/>
  <c r="AB25" i="33"/>
  <c r="H28" i="33"/>
  <c r="AB28" i="33"/>
  <c r="J9" i="33"/>
  <c r="AC9" i="33"/>
  <c r="J25" i="33"/>
  <c r="AC25" i="33"/>
  <c r="J28" i="33"/>
  <c r="AC28" i="33"/>
  <c r="V47" i="33"/>
  <c r="K6" i="1"/>
  <c r="BB14" i="3"/>
  <c r="BA14" i="3"/>
  <c r="AZ14" i="3"/>
  <c r="BB15" i="3"/>
  <c r="BA15" i="3"/>
  <c r="AZ15" i="3"/>
  <c r="BB16" i="3"/>
  <c r="BA16" i="3"/>
  <c r="AZ16" i="3"/>
  <c r="BB17" i="3"/>
  <c r="BA17" i="3"/>
  <c r="AZ17" i="3"/>
  <c r="BB18" i="3"/>
  <c r="BA18" i="3"/>
  <c r="AZ18" i="3"/>
  <c r="BB19" i="3"/>
  <c r="BA19" i="3"/>
  <c r="AZ19" i="3"/>
  <c r="BB20" i="3"/>
  <c r="BA20" i="3"/>
  <c r="AZ20" i="3"/>
  <c r="BB21" i="3"/>
  <c r="BA21" i="3"/>
  <c r="AZ21" i="3"/>
  <c r="BB22" i="3"/>
  <c r="BA22" i="3"/>
  <c r="AZ22" i="3"/>
  <c r="BB23" i="3"/>
  <c r="BA23" i="3"/>
  <c r="AZ23" i="3"/>
  <c r="BB24" i="3"/>
  <c r="BA24" i="3"/>
  <c r="AZ24" i="3"/>
  <c r="BB25" i="3"/>
  <c r="BA25" i="3"/>
  <c r="AZ25" i="3"/>
  <c r="BB26" i="3"/>
  <c r="BA26" i="3"/>
  <c r="AZ26" i="3"/>
  <c r="BB27" i="3"/>
  <c r="BA27" i="3"/>
  <c r="AZ27" i="3"/>
  <c r="BB28" i="3"/>
  <c r="BA28" i="3"/>
  <c r="AZ28" i="3"/>
  <c r="BB29" i="3"/>
  <c r="BA29" i="3"/>
  <c r="AZ29" i="3"/>
  <c r="BB30" i="3"/>
  <c r="BA30" i="3"/>
  <c r="AZ30" i="3"/>
  <c r="BB31" i="3"/>
  <c r="BA31" i="3"/>
  <c r="AZ31" i="3"/>
  <c r="BB32" i="3"/>
  <c r="BA32" i="3"/>
  <c r="AZ32" i="3"/>
  <c r="BB33" i="3"/>
  <c r="BA33" i="3"/>
  <c r="AZ33" i="3"/>
  <c r="BB34" i="3"/>
  <c r="BA34" i="3"/>
  <c r="AZ34" i="3"/>
  <c r="BB35" i="3"/>
  <c r="BA35" i="3"/>
  <c r="AZ35" i="3"/>
  <c r="BB36" i="3"/>
  <c r="BA36" i="3"/>
  <c r="AZ36" i="3"/>
  <c r="BB37" i="3"/>
  <c r="BA37" i="3"/>
  <c r="AZ37" i="3"/>
  <c r="BB38" i="3"/>
  <c r="BA38" i="3"/>
  <c r="AZ38" i="3"/>
  <c r="BB39" i="3"/>
  <c r="BA39" i="3"/>
  <c r="AZ39" i="3"/>
  <c r="BB40" i="3"/>
  <c r="BA40" i="3"/>
  <c r="AZ40" i="3"/>
  <c r="BB41" i="3"/>
  <c r="BA41" i="3"/>
  <c r="AZ41" i="3"/>
  <c r="BB42" i="3"/>
  <c r="BA42" i="3"/>
  <c r="AZ42" i="3"/>
  <c r="BB43" i="3"/>
  <c r="BA43" i="3"/>
  <c r="AZ43" i="3"/>
  <c r="BB44" i="3"/>
  <c r="BA44" i="3"/>
  <c r="AZ44" i="3"/>
  <c r="BB45" i="3"/>
  <c r="BA45" i="3"/>
  <c r="AZ45" i="3"/>
  <c r="BB46" i="3"/>
  <c r="BA46" i="3"/>
  <c r="AZ46" i="3"/>
  <c r="BB47" i="3"/>
  <c r="BA47" i="3"/>
  <c r="AZ47" i="3"/>
  <c r="BB48" i="3"/>
  <c r="BA48" i="3"/>
  <c r="AZ48" i="3"/>
  <c r="BB49" i="3"/>
  <c r="BA49" i="3"/>
  <c r="AZ49" i="3"/>
  <c r="BB50" i="3"/>
  <c r="BA50" i="3"/>
  <c r="AZ50" i="3"/>
  <c r="BB51" i="3"/>
  <c r="BA51" i="3"/>
  <c r="AZ51" i="3"/>
  <c r="BB52" i="3"/>
  <c r="BA52" i="3"/>
  <c r="AZ52" i="3"/>
  <c r="BB53" i="3"/>
  <c r="BA53" i="3"/>
  <c r="AZ53" i="3"/>
  <c r="BB54" i="3"/>
  <c r="BA54" i="3"/>
  <c r="AZ54" i="3"/>
  <c r="BB55" i="3"/>
  <c r="BA55" i="3"/>
  <c r="AZ55" i="3"/>
  <c r="BB56" i="3"/>
  <c r="BA56" i="3"/>
  <c r="AZ56" i="3"/>
  <c r="BB57" i="3"/>
  <c r="BA57" i="3"/>
  <c r="AZ57" i="3"/>
  <c r="BB58" i="3"/>
  <c r="BA58" i="3"/>
  <c r="AZ58" i="3"/>
  <c r="BB59" i="3"/>
  <c r="BA59" i="3"/>
  <c r="AZ59" i="3"/>
  <c r="BB60" i="3"/>
  <c r="BA60" i="3"/>
  <c r="AZ60" i="3"/>
  <c r="BB61" i="3"/>
  <c r="BA61" i="3"/>
  <c r="AZ61" i="3"/>
  <c r="BB62" i="3"/>
  <c r="BA62" i="3"/>
  <c r="AZ62" i="3"/>
  <c r="BB63" i="3"/>
  <c r="BA63" i="3"/>
  <c r="AZ63" i="3"/>
  <c r="BB64" i="3"/>
  <c r="BA64" i="3"/>
  <c r="AZ64" i="3"/>
  <c r="BB65" i="3"/>
  <c r="BA65" i="3"/>
  <c r="AZ65" i="3"/>
  <c r="BB66" i="3"/>
  <c r="BA66" i="3"/>
  <c r="AZ66" i="3"/>
  <c r="BB67" i="3"/>
  <c r="BA67" i="3"/>
  <c r="AZ67" i="3"/>
  <c r="BB68" i="3"/>
  <c r="BA68" i="3"/>
  <c r="AZ68" i="3"/>
  <c r="BB69" i="3"/>
  <c r="BA69" i="3"/>
  <c r="AZ69" i="3"/>
  <c r="BB70" i="3"/>
  <c r="BA70" i="3"/>
  <c r="AZ70" i="3"/>
  <c r="BB71" i="3"/>
  <c r="BA71" i="3"/>
  <c r="AZ71" i="3"/>
  <c r="BB72" i="3"/>
  <c r="BA72" i="3"/>
  <c r="AZ72" i="3"/>
  <c r="BB73" i="3"/>
  <c r="BA73" i="3"/>
  <c r="AZ73" i="3"/>
  <c r="BB74" i="3"/>
  <c r="BA74" i="3"/>
  <c r="AZ74" i="3"/>
  <c r="BB75" i="3"/>
  <c r="BA75" i="3"/>
  <c r="AZ75" i="3"/>
  <c r="BB76" i="3"/>
  <c r="BA76" i="3"/>
  <c r="AZ76" i="3"/>
  <c r="BB77" i="3"/>
  <c r="BA77" i="3"/>
  <c r="AZ77" i="3"/>
  <c r="BB78" i="3"/>
  <c r="BA78" i="3"/>
  <c r="AZ78" i="3"/>
  <c r="BB79" i="3"/>
  <c r="BA79" i="3"/>
  <c r="AZ79" i="3"/>
  <c r="BB80" i="3"/>
  <c r="BA80" i="3"/>
  <c r="AZ80" i="3"/>
  <c r="BB81" i="3"/>
  <c r="BA81" i="3"/>
  <c r="AZ81" i="3"/>
  <c r="BB82" i="3"/>
  <c r="BA82" i="3"/>
  <c r="AZ82" i="3"/>
  <c r="BB83" i="3"/>
  <c r="BA83" i="3"/>
  <c r="AZ83" i="3"/>
  <c r="BB84" i="3"/>
  <c r="BA84" i="3"/>
  <c r="AZ84" i="3"/>
  <c r="BB85" i="3"/>
  <c r="BA85" i="3"/>
  <c r="AZ85" i="3"/>
  <c r="BB86" i="3"/>
  <c r="BA86" i="3"/>
  <c r="AZ86" i="3"/>
  <c r="BB87" i="3"/>
  <c r="BA87" i="3"/>
  <c r="AZ87" i="3"/>
  <c r="BB88" i="3"/>
  <c r="BA88" i="3"/>
  <c r="AZ88" i="3"/>
  <c r="BB89" i="3"/>
  <c r="BA89" i="3"/>
  <c r="AZ89" i="3"/>
  <c r="BB90" i="3"/>
  <c r="BA90" i="3"/>
  <c r="AZ90" i="3"/>
  <c r="BB91" i="3"/>
  <c r="BA91" i="3"/>
  <c r="AZ91" i="3"/>
  <c r="BB92" i="3"/>
  <c r="BA92" i="3"/>
  <c r="AZ92" i="3"/>
  <c r="BB93" i="3"/>
  <c r="BA93" i="3"/>
  <c r="AZ93" i="3"/>
  <c r="BB94" i="3"/>
  <c r="BA94" i="3"/>
  <c r="AZ94" i="3"/>
  <c r="BB95" i="3"/>
  <c r="BA95" i="3"/>
  <c r="AZ95" i="3"/>
  <c r="BB96" i="3"/>
  <c r="BA96" i="3"/>
  <c r="AZ96" i="3"/>
  <c r="BB97" i="3"/>
  <c r="BA97" i="3"/>
  <c r="AZ97" i="3"/>
  <c r="BB98" i="3"/>
  <c r="BA98" i="3"/>
  <c r="AZ98" i="3"/>
  <c r="BB99" i="3"/>
  <c r="BA99" i="3"/>
  <c r="AZ99" i="3"/>
  <c r="BB100" i="3"/>
  <c r="BA100" i="3"/>
  <c r="AZ100" i="3"/>
  <c r="BB101" i="3"/>
  <c r="BA101" i="3"/>
  <c r="AZ101" i="3"/>
  <c r="BB102" i="3"/>
  <c r="BA102" i="3"/>
  <c r="AZ102" i="3"/>
  <c r="BB103" i="3"/>
  <c r="BA103" i="3"/>
  <c r="AZ103" i="3"/>
  <c r="BB104" i="3"/>
  <c r="BA104" i="3"/>
  <c r="AZ104" i="3"/>
  <c r="BB105" i="3"/>
  <c r="BA105" i="3"/>
  <c r="AZ105" i="3"/>
  <c r="BB106" i="3"/>
  <c r="BA106" i="3"/>
  <c r="AZ106" i="3"/>
  <c r="BB107" i="3"/>
  <c r="BA107" i="3"/>
  <c r="AZ107" i="3"/>
  <c r="BB108" i="3"/>
  <c r="BA108" i="3"/>
  <c r="AZ108" i="3"/>
  <c r="BB109" i="3"/>
  <c r="BA109" i="3"/>
  <c r="AZ109" i="3"/>
  <c r="BB110" i="3"/>
  <c r="BA110" i="3"/>
  <c r="AZ110" i="3"/>
  <c r="BB111" i="3"/>
  <c r="BA111" i="3"/>
  <c r="AZ111" i="3"/>
  <c r="BB112" i="3"/>
  <c r="BA112" i="3"/>
  <c r="AZ112" i="3"/>
  <c r="BB113" i="3"/>
  <c r="BA113" i="3"/>
  <c r="AZ113" i="3"/>
  <c r="BB114" i="3"/>
  <c r="BA114" i="3"/>
  <c r="AZ114" i="3"/>
  <c r="BB115" i="3"/>
  <c r="BA115" i="3"/>
  <c r="AZ115" i="3"/>
  <c r="BB116" i="3"/>
  <c r="BA116" i="3"/>
  <c r="AZ116" i="3"/>
  <c r="BB117" i="3"/>
  <c r="BA117" i="3"/>
  <c r="AZ117" i="3"/>
  <c r="BB118" i="3"/>
  <c r="BA118" i="3"/>
  <c r="AZ118" i="3"/>
  <c r="BB119" i="3"/>
  <c r="BA119" i="3"/>
  <c r="AZ119" i="3"/>
  <c r="BB120" i="3"/>
  <c r="BA120" i="3"/>
  <c r="AZ120" i="3"/>
  <c r="BB121" i="3"/>
  <c r="BA121" i="3"/>
  <c r="AZ121" i="3"/>
  <c r="BB122" i="3"/>
  <c r="BA122" i="3"/>
  <c r="AZ122" i="3"/>
  <c r="BB123" i="3"/>
  <c r="BA123" i="3"/>
  <c r="AZ123" i="3"/>
  <c r="BB124" i="3"/>
  <c r="BA124" i="3"/>
  <c r="AZ124" i="3"/>
  <c r="BB125" i="3"/>
  <c r="BA125" i="3"/>
  <c r="AZ125" i="3"/>
  <c r="BB126" i="3"/>
  <c r="BA126" i="3"/>
  <c r="AZ126" i="3"/>
  <c r="BB127" i="3"/>
  <c r="BA127" i="3"/>
  <c r="AZ127" i="3"/>
  <c r="BB128" i="3"/>
  <c r="BA128" i="3"/>
  <c r="AZ128" i="3"/>
  <c r="BB129" i="3"/>
  <c r="BA129" i="3"/>
  <c r="AZ129" i="3"/>
  <c r="BB130" i="3"/>
  <c r="BA130" i="3"/>
  <c r="AZ130" i="3"/>
  <c r="BB131" i="3"/>
  <c r="BA131" i="3"/>
  <c r="AZ131" i="3"/>
  <c r="BB132" i="3"/>
  <c r="BA132" i="3"/>
  <c r="AZ132" i="3"/>
  <c r="BB133" i="3"/>
  <c r="BA133" i="3"/>
  <c r="AZ133" i="3"/>
  <c r="BB134" i="3"/>
  <c r="BA134" i="3"/>
  <c r="AZ134" i="3"/>
  <c r="BB135" i="3"/>
  <c r="BA135" i="3"/>
  <c r="AZ135" i="3"/>
  <c r="BB136" i="3"/>
  <c r="BA136" i="3"/>
  <c r="AZ136" i="3"/>
  <c r="BB137" i="3"/>
  <c r="BA137" i="3"/>
  <c r="AZ137" i="3"/>
  <c r="BB138" i="3"/>
  <c r="BA138" i="3"/>
  <c r="AZ138" i="3"/>
  <c r="BB139" i="3"/>
  <c r="BA139" i="3"/>
  <c r="AZ139" i="3"/>
  <c r="BB140" i="3"/>
  <c r="BA140" i="3"/>
  <c r="AZ140" i="3"/>
  <c r="BB141" i="3"/>
  <c r="BA141" i="3"/>
  <c r="AZ141" i="3"/>
  <c r="BB142" i="3"/>
  <c r="BA142" i="3"/>
  <c r="AZ142" i="3"/>
  <c r="BB143" i="3"/>
  <c r="BA143" i="3"/>
  <c r="AZ143" i="3"/>
  <c r="BB144" i="3"/>
  <c r="BA144" i="3"/>
  <c r="AZ144" i="3"/>
  <c r="BB145" i="3"/>
  <c r="BA145" i="3"/>
  <c r="AZ145" i="3"/>
  <c r="BB146" i="3"/>
  <c r="BA146" i="3"/>
  <c r="AZ146" i="3"/>
  <c r="BB147" i="3"/>
  <c r="BA147" i="3"/>
  <c r="AZ147" i="3"/>
  <c r="BB148" i="3"/>
  <c r="BA148" i="3"/>
  <c r="AZ148" i="3"/>
  <c r="BB149" i="3"/>
  <c r="BA149" i="3"/>
  <c r="AZ149" i="3"/>
  <c r="BB150" i="3"/>
  <c r="BA150" i="3"/>
  <c r="AZ150" i="3"/>
  <c r="BB151" i="3"/>
  <c r="BA151" i="3"/>
  <c r="AZ151" i="3"/>
  <c r="BB152" i="3"/>
  <c r="BA152" i="3"/>
  <c r="AZ152" i="3"/>
  <c r="BB153" i="3"/>
  <c r="BA153" i="3"/>
  <c r="AZ153" i="3"/>
  <c r="BB154" i="3"/>
  <c r="BA154" i="3"/>
  <c r="AZ154" i="3"/>
  <c r="BB155" i="3"/>
  <c r="BA155" i="3"/>
  <c r="AZ155" i="3"/>
  <c r="BB156" i="3"/>
  <c r="BA156" i="3"/>
  <c r="AZ156" i="3"/>
  <c r="BB157" i="3"/>
  <c r="BA157" i="3"/>
  <c r="AZ157" i="3"/>
  <c r="BB158" i="3"/>
  <c r="BA158" i="3"/>
  <c r="AZ158" i="3"/>
  <c r="BB159" i="3"/>
  <c r="BA159" i="3"/>
  <c r="AZ159" i="3"/>
  <c r="BB160" i="3"/>
  <c r="BA160" i="3"/>
  <c r="AZ160" i="3"/>
  <c r="BB161" i="3"/>
  <c r="BA161" i="3"/>
  <c r="AZ161" i="3"/>
  <c r="BB162" i="3"/>
  <c r="BA162" i="3"/>
  <c r="AZ162" i="3"/>
  <c r="BB163" i="3"/>
  <c r="BA163" i="3"/>
  <c r="AZ163" i="3"/>
  <c r="BB164" i="3"/>
  <c r="BA164" i="3"/>
  <c r="AZ164" i="3"/>
  <c r="BB165" i="3"/>
  <c r="BA165" i="3"/>
  <c r="AZ165" i="3"/>
  <c r="BB166" i="3"/>
  <c r="BA166" i="3"/>
  <c r="AZ166" i="3"/>
  <c r="BB167" i="3"/>
  <c r="BA167" i="3"/>
  <c r="AZ167" i="3"/>
  <c r="BB168" i="3"/>
  <c r="BA168" i="3"/>
  <c r="AZ168" i="3"/>
  <c r="BB169" i="3"/>
  <c r="BA169" i="3"/>
  <c r="AZ169" i="3"/>
  <c r="BB170" i="3"/>
  <c r="BA170" i="3"/>
  <c r="AZ170" i="3"/>
  <c r="BB171" i="3"/>
  <c r="BA171" i="3"/>
  <c r="AZ171" i="3"/>
  <c r="BB172" i="3"/>
  <c r="BA172" i="3"/>
  <c r="AZ172" i="3"/>
  <c r="BB173" i="3"/>
  <c r="BA173" i="3"/>
  <c r="AZ173" i="3"/>
  <c r="BB174" i="3"/>
  <c r="BA174" i="3"/>
  <c r="AZ174" i="3"/>
  <c r="BB175" i="3"/>
  <c r="BA175" i="3"/>
  <c r="AZ175" i="3"/>
  <c r="BB176" i="3"/>
  <c r="BA176" i="3"/>
  <c r="AZ176" i="3"/>
  <c r="BB177" i="3"/>
  <c r="BA177" i="3"/>
  <c r="AZ177" i="3"/>
  <c r="BB178" i="3"/>
  <c r="BA178" i="3"/>
  <c r="AZ178" i="3"/>
  <c r="BB179" i="3"/>
  <c r="BA179" i="3"/>
  <c r="AZ179" i="3"/>
  <c r="BB180" i="3"/>
  <c r="BA180" i="3"/>
  <c r="AZ180" i="3"/>
  <c r="BB181" i="3"/>
  <c r="BA181" i="3"/>
  <c r="AZ181" i="3"/>
  <c r="BB182" i="3"/>
  <c r="BA182" i="3"/>
  <c r="AZ182" i="3"/>
  <c r="BB183" i="3"/>
  <c r="BA183" i="3"/>
  <c r="AZ183" i="3"/>
  <c r="BB184" i="3"/>
  <c r="BA184" i="3"/>
  <c r="AZ184" i="3"/>
  <c r="BB185" i="3"/>
  <c r="BA185" i="3"/>
  <c r="AZ185" i="3"/>
  <c r="BB186" i="3"/>
  <c r="BA186" i="3"/>
  <c r="AZ186" i="3"/>
  <c r="BB187" i="3"/>
  <c r="BA187" i="3"/>
  <c r="AZ187" i="3"/>
  <c r="BB188" i="3"/>
  <c r="BA188" i="3"/>
  <c r="AZ188" i="3"/>
  <c r="BB189" i="3"/>
  <c r="BA189" i="3"/>
  <c r="AZ189" i="3"/>
  <c r="BB190" i="3"/>
  <c r="BA190" i="3"/>
  <c r="AZ190" i="3"/>
  <c r="BB191" i="3"/>
  <c r="BA191" i="3"/>
  <c r="AZ191" i="3"/>
  <c r="BB192" i="3"/>
  <c r="BA192" i="3"/>
  <c r="AZ192" i="3"/>
  <c r="BB193" i="3"/>
  <c r="BA193" i="3"/>
  <c r="AZ193" i="3"/>
  <c r="BB194" i="3"/>
  <c r="BA194" i="3"/>
  <c r="AZ194" i="3"/>
  <c r="BB195" i="3"/>
  <c r="BA195" i="3"/>
  <c r="AZ195" i="3"/>
  <c r="BB196" i="3"/>
  <c r="BA196" i="3"/>
  <c r="AZ196" i="3"/>
  <c r="BB197" i="3"/>
  <c r="BA197" i="3"/>
  <c r="AZ197" i="3"/>
  <c r="BB198" i="3"/>
  <c r="BA198" i="3"/>
  <c r="AZ198" i="3"/>
  <c r="AZ5"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G5" i="3"/>
  <c r="B3" i="3"/>
  <c r="AY6" i="3"/>
  <c r="D3" i="6"/>
  <c r="E3" i="6"/>
  <c r="D19" i="6"/>
  <c r="BA5" i="3"/>
  <c r="E27" i="6"/>
  <c r="K19" i="6"/>
  <c r="M19" i="6"/>
  <c r="I19" i="6"/>
  <c r="H19" i="6"/>
  <c r="R19" i="6"/>
  <c r="M6" i="1"/>
  <c r="S6" i="1"/>
  <c r="T6" i="1"/>
  <c r="T5" i="31"/>
  <c r="D3" i="4"/>
  <c r="B2" i="1"/>
  <c r="C7" i="33"/>
  <c r="C58" i="33"/>
  <c r="D58" i="33"/>
  <c r="E58" i="33"/>
  <c r="F58" i="33"/>
  <c r="G58" i="33"/>
  <c r="H58" i="33"/>
  <c r="I58" i="33"/>
  <c r="J58" i="33"/>
  <c r="K58" i="33"/>
  <c r="L58" i="33"/>
  <c r="M58" i="33"/>
  <c r="N58" i="33"/>
  <c r="O58" i="33"/>
  <c r="F7" i="33"/>
  <c r="AA7" i="33"/>
  <c r="H7" i="33"/>
  <c r="AB7" i="33"/>
  <c r="J7" i="33"/>
  <c r="AC7" i="33"/>
  <c r="C1" i="73"/>
  <c r="L1" i="73"/>
  <c r="C42" i="1"/>
  <c r="F20" i="15"/>
  <c r="J1" i="73"/>
  <c r="C28" i="15"/>
  <c r="E15" i="4"/>
  <c r="F6" i="1"/>
  <c r="J51" i="15"/>
  <c r="E5" i="6"/>
  <c r="E6" i="6"/>
  <c r="D10" i="68"/>
  <c r="C10" i="68"/>
  <c r="B29" i="1"/>
  <c r="C8" i="68"/>
  <c r="G6" i="1"/>
  <c r="F7" i="1"/>
  <c r="G7" i="1"/>
  <c r="F8" i="1"/>
  <c r="G8" i="1"/>
  <c r="F9" i="1"/>
  <c r="G9" i="1"/>
  <c r="F10" i="1"/>
  <c r="G10" i="1"/>
  <c r="F11" i="1"/>
  <c r="G11" i="1"/>
  <c r="F12" i="1"/>
  <c r="G12" i="1"/>
  <c r="F13" i="1"/>
  <c r="G13" i="1"/>
  <c r="K7" i="1"/>
  <c r="K8" i="1"/>
  <c r="K9" i="1"/>
  <c r="K10" i="1"/>
  <c r="K11" i="1"/>
  <c r="K12" i="1"/>
  <c r="K13" i="1"/>
  <c r="G16" i="1"/>
  <c r="F10" i="39"/>
  <c r="AA10" i="39"/>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1" i="43"/>
  <c r="B71" i="39"/>
  <c r="F7" i="39"/>
  <c r="AA7" i="39"/>
  <c r="D20" i="6"/>
  <c r="D21" i="6"/>
  <c r="D22" i="6"/>
  <c r="D23" i="6"/>
  <c r="D24" i="6"/>
  <c r="D25" i="6"/>
  <c r="D26" i="6"/>
  <c r="D27" i="6"/>
  <c r="D28" i="6"/>
  <c r="D29" i="6"/>
  <c r="D30" i="6"/>
  <c r="D31" i="6"/>
  <c r="E31" i="6"/>
  <c r="I5" i="6"/>
  <c r="C11" i="39"/>
  <c r="F11" i="39"/>
  <c r="AA11" i="39"/>
  <c r="R47" i="39"/>
  <c r="H10" i="39"/>
  <c r="AB10" i="39"/>
  <c r="H7" i="39"/>
  <c r="AB7" i="39"/>
  <c r="H11" i="39"/>
  <c r="AB11" i="39"/>
  <c r="T47" i="39"/>
  <c r="J10" i="39"/>
  <c r="AC10" i="39"/>
  <c r="J7" i="39"/>
  <c r="AC7" i="39"/>
  <c r="J11" i="39"/>
  <c r="AC11" i="39"/>
  <c r="V47" i="39"/>
  <c r="R48" i="39"/>
  <c r="C48" i="39"/>
  <c r="B56" i="39"/>
  <c r="BB5" i="3"/>
  <c r="E8" i="6"/>
  <c r="E56" i="39"/>
  <c r="F56" i="39"/>
  <c r="B57" i="39"/>
  <c r="F57" i="39"/>
  <c r="B58" i="39"/>
  <c r="F58" i="39"/>
  <c r="B59" i="39"/>
  <c r="F59" i="39"/>
  <c r="B60" i="39"/>
  <c r="F60" i="39"/>
  <c r="B61" i="39"/>
  <c r="E11" i="6"/>
  <c r="E61" i="39"/>
  <c r="F61" i="39"/>
  <c r="B62" i="39"/>
  <c r="E12" i="6"/>
  <c r="E62" i="39"/>
  <c r="F62" i="39"/>
  <c r="B63" i="39"/>
  <c r="E13" i="6"/>
  <c r="E63" i="39"/>
  <c r="F63" i="39"/>
  <c r="B64" i="39"/>
  <c r="E14" i="6"/>
  <c r="E64" i="39"/>
  <c r="F64" i="39"/>
  <c r="B65" i="39"/>
  <c r="E15" i="6"/>
  <c r="E65" i="39"/>
  <c r="F65" i="39"/>
  <c r="F66" i="39"/>
  <c r="C6" i="68"/>
  <c r="C7" i="68"/>
  <c r="C5" i="68"/>
  <c r="F20" i="68"/>
  <c r="C20" i="68"/>
  <c r="F22" i="68"/>
  <c r="C23" i="68"/>
  <c r="C24" i="68"/>
  <c r="C25" i="68"/>
  <c r="C22" i="68"/>
  <c r="Q16" i="1"/>
  <c r="F27" i="68"/>
  <c r="C28" i="68"/>
  <c r="C27" i="68"/>
  <c r="C26" i="68"/>
  <c r="D22" i="68"/>
  <c r="C29" i="68"/>
  <c r="D27" i="68"/>
  <c r="C30" i="68"/>
  <c r="C31" i="68"/>
  <c r="F34" i="68"/>
  <c r="M7" i="1"/>
  <c r="M8" i="1"/>
  <c r="M9" i="1"/>
  <c r="M10" i="1"/>
  <c r="M11" i="1"/>
  <c r="M12" i="1"/>
  <c r="M13" i="1"/>
  <c r="K14" i="1"/>
  <c r="M14" i="1"/>
  <c r="M16" i="1"/>
  <c r="C34" i="68"/>
  <c r="C35" i="68"/>
  <c r="C36" i="68"/>
  <c r="D9" i="68"/>
  <c r="D19" i="68"/>
  <c r="D37" i="68"/>
  <c r="C37" i="68"/>
  <c r="C38" i="68"/>
  <c r="C33" i="68"/>
  <c r="C39" i="68"/>
  <c r="C42" i="68"/>
  <c r="C43" i="68"/>
  <c r="C41" i="68"/>
  <c r="C46" i="68"/>
  <c r="C45" i="68"/>
  <c r="C44" i="68"/>
  <c r="D41" i="68"/>
  <c r="C47" i="68"/>
  <c r="D45" i="68"/>
  <c r="C48" i="68"/>
  <c r="C49" i="68"/>
  <c r="N16" i="1"/>
  <c r="F50" i="68"/>
  <c r="C51" i="68"/>
  <c r="C52" i="68"/>
  <c r="B2" i="68"/>
  <c r="D3" i="33"/>
  <c r="B2" i="33"/>
  <c r="G1" i="67"/>
  <c r="F33" i="67"/>
  <c r="R7" i="1"/>
  <c r="L48" i="78"/>
  <c r="J53" i="78"/>
  <c r="F1" i="78"/>
  <c r="AE7" i="1"/>
  <c r="J50" i="67"/>
  <c r="J51" i="67"/>
  <c r="AO6" i="1"/>
  <c r="B6" i="70"/>
  <c r="F6" i="78"/>
  <c r="F8" i="78"/>
  <c r="F7" i="78"/>
  <c r="F9" i="78"/>
  <c r="C6" i="78"/>
  <c r="F11" i="78"/>
  <c r="C10" i="78"/>
  <c r="C5" i="78"/>
  <c r="C32" i="78"/>
  <c r="C33" i="78"/>
  <c r="F35" i="78"/>
  <c r="C34" i="78"/>
  <c r="C31" i="78"/>
  <c r="C14" i="78"/>
  <c r="C19" i="78"/>
  <c r="F20" i="78"/>
  <c r="C20" i="78"/>
  <c r="F24" i="78"/>
  <c r="C23" i="78"/>
  <c r="F26" i="78"/>
  <c r="C26" i="78"/>
  <c r="C24" i="78"/>
  <c r="C27" i="78"/>
  <c r="C28" i="78"/>
  <c r="C29" i="78"/>
  <c r="F36" i="78"/>
  <c r="C36" i="78"/>
  <c r="F13" i="78"/>
  <c r="C13" i="78"/>
  <c r="F37" i="78"/>
  <c r="C37" i="78"/>
  <c r="F38" i="78"/>
  <c r="C38" i="78"/>
  <c r="C30" i="78"/>
  <c r="C39" i="78"/>
  <c r="F42" i="78"/>
  <c r="F40" i="78"/>
  <c r="F41" i="78"/>
  <c r="C40" i="78"/>
  <c r="M6" i="78"/>
  <c r="M8" i="78"/>
  <c r="M7" i="78"/>
  <c r="M9" i="78"/>
  <c r="J6" i="78"/>
  <c r="M11" i="78"/>
  <c r="J10" i="78"/>
  <c r="J5" i="78"/>
  <c r="J26" i="78"/>
  <c r="J29" i="78"/>
  <c r="J51" i="78"/>
  <c r="L46" i="78"/>
  <c r="B2" i="78"/>
  <c r="AO7" i="1"/>
  <c r="B7" i="70"/>
  <c r="AO8" i="1"/>
  <c r="B8" i="70"/>
  <c r="AO9" i="1"/>
  <c r="B9" i="70"/>
  <c r="AO10" i="1"/>
  <c r="B10" i="70"/>
  <c r="AO11" i="1"/>
  <c r="B11" i="70"/>
  <c r="AO12" i="1"/>
  <c r="B12" i="70"/>
  <c r="AO13" i="1"/>
  <c r="B13" i="70"/>
  <c r="B2" i="70"/>
  <c r="F19" i="6"/>
  <c r="I13" i="3"/>
  <c r="C13" i="3"/>
  <c r="B13" i="3"/>
  <c r="D51" i="79"/>
  <c r="C51" i="79"/>
  <c r="A7" i="1"/>
  <c r="A6" i="1"/>
  <c r="G1" i="78"/>
  <c r="K5" i="3"/>
  <c r="E20" i="6"/>
  <c r="BC13" i="3"/>
  <c r="BB13" i="3"/>
  <c r="BD13" i="3"/>
  <c r="BE13" i="3"/>
  <c r="BF13" i="3"/>
  <c r="BG13" i="3"/>
  <c r="BH13" i="3"/>
  <c r="BI13" i="3"/>
  <c r="BJ13" i="3"/>
  <c r="BK13" i="3"/>
  <c r="BA13" i="3"/>
  <c r="BC14" i="3"/>
  <c r="BD14" i="3"/>
  <c r="BE14" i="3"/>
  <c r="BF14" i="3"/>
  <c r="BG14" i="3"/>
  <c r="BH14" i="3"/>
  <c r="BI14" i="3"/>
  <c r="BJ14" i="3"/>
  <c r="BK14" i="3"/>
  <c r="BC15" i="3"/>
  <c r="BD15" i="3"/>
  <c r="BE15" i="3"/>
  <c r="BF15" i="3"/>
  <c r="BG15" i="3"/>
  <c r="BH15" i="3"/>
  <c r="BI15" i="3"/>
  <c r="BJ15" i="3"/>
  <c r="BK15" i="3"/>
  <c r="BC16" i="3"/>
  <c r="BD16" i="3"/>
  <c r="BE16" i="3"/>
  <c r="BF16" i="3"/>
  <c r="BG16" i="3"/>
  <c r="BH16" i="3"/>
  <c r="BI16" i="3"/>
  <c r="BJ16" i="3"/>
  <c r="BK16" i="3"/>
  <c r="BC17" i="3"/>
  <c r="BD17" i="3"/>
  <c r="BE17" i="3"/>
  <c r="BF17" i="3"/>
  <c r="BG17" i="3"/>
  <c r="BH17" i="3"/>
  <c r="BI17" i="3"/>
  <c r="BJ17" i="3"/>
  <c r="BK17" i="3"/>
  <c r="BC18" i="3"/>
  <c r="BD18" i="3"/>
  <c r="BE18" i="3"/>
  <c r="BF18" i="3"/>
  <c r="BG18" i="3"/>
  <c r="BH18" i="3"/>
  <c r="BI18" i="3"/>
  <c r="BJ18" i="3"/>
  <c r="BK18" i="3"/>
  <c r="BC19" i="3"/>
  <c r="BD19" i="3"/>
  <c r="BE19" i="3"/>
  <c r="BF19" i="3"/>
  <c r="BG19" i="3"/>
  <c r="BH19" i="3"/>
  <c r="BI19" i="3"/>
  <c r="BJ19" i="3"/>
  <c r="BK19" i="3"/>
  <c r="BC20" i="3"/>
  <c r="BD20" i="3"/>
  <c r="BE20" i="3"/>
  <c r="BF20" i="3"/>
  <c r="BG20" i="3"/>
  <c r="BH20" i="3"/>
  <c r="BI20" i="3"/>
  <c r="BJ20" i="3"/>
  <c r="BK20" i="3"/>
  <c r="BC21" i="3"/>
  <c r="BD21" i="3"/>
  <c r="BE21" i="3"/>
  <c r="BF21" i="3"/>
  <c r="BG21" i="3"/>
  <c r="BH21" i="3"/>
  <c r="BI21" i="3"/>
  <c r="BJ21" i="3"/>
  <c r="BK21" i="3"/>
  <c r="BC22" i="3"/>
  <c r="BD22" i="3"/>
  <c r="BE22" i="3"/>
  <c r="BF22" i="3"/>
  <c r="BG22" i="3"/>
  <c r="BH22" i="3"/>
  <c r="BI22" i="3"/>
  <c r="BJ22" i="3"/>
  <c r="BK22" i="3"/>
  <c r="BC23" i="3"/>
  <c r="BD23" i="3"/>
  <c r="BE23" i="3"/>
  <c r="BF23" i="3"/>
  <c r="BG23" i="3"/>
  <c r="BH23" i="3"/>
  <c r="BI23" i="3"/>
  <c r="BJ23" i="3"/>
  <c r="BK23" i="3"/>
  <c r="BC24" i="3"/>
  <c r="BD24" i="3"/>
  <c r="BE24" i="3"/>
  <c r="BF24" i="3"/>
  <c r="BG24" i="3"/>
  <c r="BH24" i="3"/>
  <c r="BI24" i="3"/>
  <c r="BJ24" i="3"/>
  <c r="BK24" i="3"/>
  <c r="BC25" i="3"/>
  <c r="BD25" i="3"/>
  <c r="BE25" i="3"/>
  <c r="BF25" i="3"/>
  <c r="BG25" i="3"/>
  <c r="BH25" i="3"/>
  <c r="BI25" i="3"/>
  <c r="BJ25" i="3"/>
  <c r="BK25" i="3"/>
  <c r="BC26" i="3"/>
  <c r="BD26" i="3"/>
  <c r="BE26" i="3"/>
  <c r="BF26" i="3"/>
  <c r="BG26" i="3"/>
  <c r="BH26" i="3"/>
  <c r="BI26" i="3"/>
  <c r="BJ26" i="3"/>
  <c r="BK26" i="3"/>
  <c r="BC27" i="3"/>
  <c r="BD27" i="3"/>
  <c r="BE27" i="3"/>
  <c r="BF27" i="3"/>
  <c r="BG27" i="3"/>
  <c r="BH27" i="3"/>
  <c r="BI27" i="3"/>
  <c r="BJ27" i="3"/>
  <c r="BK27" i="3"/>
  <c r="BC28" i="3"/>
  <c r="BD28" i="3"/>
  <c r="BE28" i="3"/>
  <c r="BF28" i="3"/>
  <c r="BG28" i="3"/>
  <c r="BH28" i="3"/>
  <c r="BI28" i="3"/>
  <c r="BJ28" i="3"/>
  <c r="BK28" i="3"/>
  <c r="BC29" i="3"/>
  <c r="BD29" i="3"/>
  <c r="BE29" i="3"/>
  <c r="BF29" i="3"/>
  <c r="BG29" i="3"/>
  <c r="BH29" i="3"/>
  <c r="BI29" i="3"/>
  <c r="BJ29" i="3"/>
  <c r="BK29" i="3"/>
  <c r="BC30" i="3"/>
  <c r="BD30" i="3"/>
  <c r="BE30" i="3"/>
  <c r="BF30" i="3"/>
  <c r="BG30" i="3"/>
  <c r="BH30" i="3"/>
  <c r="BI30" i="3"/>
  <c r="BJ30" i="3"/>
  <c r="BK30" i="3"/>
  <c r="BC31" i="3"/>
  <c r="BD31" i="3"/>
  <c r="BE31" i="3"/>
  <c r="BF31" i="3"/>
  <c r="BG31" i="3"/>
  <c r="BH31" i="3"/>
  <c r="BI31" i="3"/>
  <c r="BJ31" i="3"/>
  <c r="BK31" i="3"/>
  <c r="BC32" i="3"/>
  <c r="BD32" i="3"/>
  <c r="BE32" i="3"/>
  <c r="BF32" i="3"/>
  <c r="BG32" i="3"/>
  <c r="BH32" i="3"/>
  <c r="BI32" i="3"/>
  <c r="BJ32" i="3"/>
  <c r="BK32" i="3"/>
  <c r="BC33" i="3"/>
  <c r="BD33" i="3"/>
  <c r="BE33" i="3"/>
  <c r="BF33" i="3"/>
  <c r="BG33" i="3"/>
  <c r="BH33" i="3"/>
  <c r="BI33" i="3"/>
  <c r="BJ33" i="3"/>
  <c r="BK33" i="3"/>
  <c r="BC34" i="3"/>
  <c r="BD34" i="3"/>
  <c r="BE34" i="3"/>
  <c r="BF34" i="3"/>
  <c r="BG34" i="3"/>
  <c r="BH34" i="3"/>
  <c r="BI34" i="3"/>
  <c r="BJ34" i="3"/>
  <c r="BK34" i="3"/>
  <c r="BC35" i="3"/>
  <c r="BD35" i="3"/>
  <c r="BE35" i="3"/>
  <c r="BF35" i="3"/>
  <c r="BG35" i="3"/>
  <c r="BH35" i="3"/>
  <c r="BI35" i="3"/>
  <c r="BJ35" i="3"/>
  <c r="BK35" i="3"/>
  <c r="BC36" i="3"/>
  <c r="BD36" i="3"/>
  <c r="BE36" i="3"/>
  <c r="BF36" i="3"/>
  <c r="BG36" i="3"/>
  <c r="BH36" i="3"/>
  <c r="BI36" i="3"/>
  <c r="BJ36" i="3"/>
  <c r="BK36" i="3"/>
  <c r="BC37" i="3"/>
  <c r="BD37" i="3"/>
  <c r="BE37" i="3"/>
  <c r="BF37" i="3"/>
  <c r="BG37" i="3"/>
  <c r="BH37" i="3"/>
  <c r="BI37" i="3"/>
  <c r="BJ37" i="3"/>
  <c r="BK37" i="3"/>
  <c r="BC38" i="3"/>
  <c r="BD38" i="3"/>
  <c r="BE38" i="3"/>
  <c r="BF38" i="3"/>
  <c r="BG38" i="3"/>
  <c r="BH38" i="3"/>
  <c r="BI38" i="3"/>
  <c r="BJ38" i="3"/>
  <c r="BK38" i="3"/>
  <c r="BC39" i="3"/>
  <c r="BD39" i="3"/>
  <c r="BE39" i="3"/>
  <c r="BF39" i="3"/>
  <c r="BG39" i="3"/>
  <c r="BH39" i="3"/>
  <c r="BI39" i="3"/>
  <c r="BJ39" i="3"/>
  <c r="BK39" i="3"/>
  <c r="BC40" i="3"/>
  <c r="BD40" i="3"/>
  <c r="BE40" i="3"/>
  <c r="BF40" i="3"/>
  <c r="BG40" i="3"/>
  <c r="BH40" i="3"/>
  <c r="BI40" i="3"/>
  <c r="BJ40" i="3"/>
  <c r="BK40" i="3"/>
  <c r="BC41" i="3"/>
  <c r="BD41" i="3"/>
  <c r="BE41" i="3"/>
  <c r="BF41" i="3"/>
  <c r="BG41" i="3"/>
  <c r="BH41" i="3"/>
  <c r="BI41" i="3"/>
  <c r="BJ41" i="3"/>
  <c r="BK41" i="3"/>
  <c r="BC42" i="3"/>
  <c r="BD42" i="3"/>
  <c r="BE42" i="3"/>
  <c r="BF42" i="3"/>
  <c r="BG42" i="3"/>
  <c r="BH42" i="3"/>
  <c r="BI42" i="3"/>
  <c r="BJ42" i="3"/>
  <c r="BK42" i="3"/>
  <c r="BC43" i="3"/>
  <c r="BD43" i="3"/>
  <c r="BE43" i="3"/>
  <c r="BF43" i="3"/>
  <c r="BG43" i="3"/>
  <c r="BH43" i="3"/>
  <c r="BI43" i="3"/>
  <c r="BJ43" i="3"/>
  <c r="BK43" i="3"/>
  <c r="BC44" i="3"/>
  <c r="BD44" i="3"/>
  <c r="BE44" i="3"/>
  <c r="BF44" i="3"/>
  <c r="BG44" i="3"/>
  <c r="BH44" i="3"/>
  <c r="BI44" i="3"/>
  <c r="BJ44" i="3"/>
  <c r="BK44" i="3"/>
  <c r="BC45" i="3"/>
  <c r="BD45" i="3"/>
  <c r="BE45" i="3"/>
  <c r="BF45" i="3"/>
  <c r="BG45" i="3"/>
  <c r="BH45" i="3"/>
  <c r="BI45" i="3"/>
  <c r="BJ45" i="3"/>
  <c r="BK45" i="3"/>
  <c r="BC46" i="3"/>
  <c r="BD46" i="3"/>
  <c r="BE46" i="3"/>
  <c r="BF46" i="3"/>
  <c r="BG46" i="3"/>
  <c r="BH46" i="3"/>
  <c r="BI46" i="3"/>
  <c r="BJ46" i="3"/>
  <c r="BK46" i="3"/>
  <c r="BC47" i="3"/>
  <c r="BD47" i="3"/>
  <c r="BE47" i="3"/>
  <c r="BF47" i="3"/>
  <c r="BG47" i="3"/>
  <c r="BH47" i="3"/>
  <c r="BI47" i="3"/>
  <c r="BJ47" i="3"/>
  <c r="BK47" i="3"/>
  <c r="BC48" i="3"/>
  <c r="BD48" i="3"/>
  <c r="BE48" i="3"/>
  <c r="BF48" i="3"/>
  <c r="BG48" i="3"/>
  <c r="BH48" i="3"/>
  <c r="BI48" i="3"/>
  <c r="BJ48" i="3"/>
  <c r="BK48" i="3"/>
  <c r="BC49" i="3"/>
  <c r="BD49" i="3"/>
  <c r="BE49" i="3"/>
  <c r="BF49" i="3"/>
  <c r="BG49" i="3"/>
  <c r="BH49" i="3"/>
  <c r="BI49" i="3"/>
  <c r="BJ49" i="3"/>
  <c r="BK49" i="3"/>
  <c r="BC50" i="3"/>
  <c r="BD50" i="3"/>
  <c r="BE50" i="3"/>
  <c r="BF50" i="3"/>
  <c r="BG50" i="3"/>
  <c r="BH50" i="3"/>
  <c r="BI50" i="3"/>
  <c r="BJ50" i="3"/>
  <c r="BK50" i="3"/>
  <c r="BC51" i="3"/>
  <c r="BD51" i="3"/>
  <c r="BE51" i="3"/>
  <c r="BF51" i="3"/>
  <c r="BG51" i="3"/>
  <c r="BH51" i="3"/>
  <c r="BI51" i="3"/>
  <c r="BJ51" i="3"/>
  <c r="BK51" i="3"/>
  <c r="BC52" i="3"/>
  <c r="BD52" i="3"/>
  <c r="BE52" i="3"/>
  <c r="BF52" i="3"/>
  <c r="BG52" i="3"/>
  <c r="BH52" i="3"/>
  <c r="BI52" i="3"/>
  <c r="BJ52" i="3"/>
  <c r="BK52" i="3"/>
  <c r="BC53" i="3"/>
  <c r="BD53" i="3"/>
  <c r="BE53" i="3"/>
  <c r="BF53" i="3"/>
  <c r="BG53" i="3"/>
  <c r="BH53" i="3"/>
  <c r="BI53" i="3"/>
  <c r="BJ53" i="3"/>
  <c r="BK53" i="3"/>
  <c r="BC54" i="3"/>
  <c r="BD54" i="3"/>
  <c r="BE54" i="3"/>
  <c r="BF54" i="3"/>
  <c r="BG54" i="3"/>
  <c r="BH54" i="3"/>
  <c r="BI54" i="3"/>
  <c r="BJ54" i="3"/>
  <c r="BK54" i="3"/>
  <c r="BC55" i="3"/>
  <c r="BD55" i="3"/>
  <c r="BE55" i="3"/>
  <c r="BF55" i="3"/>
  <c r="BG55" i="3"/>
  <c r="BH55" i="3"/>
  <c r="BI55" i="3"/>
  <c r="BJ55" i="3"/>
  <c r="BK55" i="3"/>
  <c r="BC56" i="3"/>
  <c r="BD56" i="3"/>
  <c r="BE56" i="3"/>
  <c r="BF56" i="3"/>
  <c r="BG56" i="3"/>
  <c r="BH56" i="3"/>
  <c r="BI56" i="3"/>
  <c r="BJ56" i="3"/>
  <c r="BK56" i="3"/>
  <c r="BC57" i="3"/>
  <c r="BD57" i="3"/>
  <c r="BE57" i="3"/>
  <c r="BF57" i="3"/>
  <c r="BG57" i="3"/>
  <c r="BH57" i="3"/>
  <c r="BI57" i="3"/>
  <c r="BJ57" i="3"/>
  <c r="BK57" i="3"/>
  <c r="BC58" i="3"/>
  <c r="BD58" i="3"/>
  <c r="BE58" i="3"/>
  <c r="BF58" i="3"/>
  <c r="BG58" i="3"/>
  <c r="BH58" i="3"/>
  <c r="BI58" i="3"/>
  <c r="BJ58" i="3"/>
  <c r="BK58" i="3"/>
  <c r="BC59" i="3"/>
  <c r="BD59" i="3"/>
  <c r="BE59" i="3"/>
  <c r="BF59" i="3"/>
  <c r="BG59" i="3"/>
  <c r="BH59" i="3"/>
  <c r="BI59" i="3"/>
  <c r="BJ59" i="3"/>
  <c r="BK59" i="3"/>
  <c r="BC60" i="3"/>
  <c r="BD60" i="3"/>
  <c r="BE60" i="3"/>
  <c r="BF60" i="3"/>
  <c r="BG60" i="3"/>
  <c r="BH60" i="3"/>
  <c r="BI60" i="3"/>
  <c r="BJ60" i="3"/>
  <c r="BK60" i="3"/>
  <c r="BC61" i="3"/>
  <c r="BD61" i="3"/>
  <c r="BE61" i="3"/>
  <c r="BF61" i="3"/>
  <c r="BG61" i="3"/>
  <c r="BH61" i="3"/>
  <c r="BI61" i="3"/>
  <c r="BJ61" i="3"/>
  <c r="BK61" i="3"/>
  <c r="BC62" i="3"/>
  <c r="BD62" i="3"/>
  <c r="BE62" i="3"/>
  <c r="BF62" i="3"/>
  <c r="BG62" i="3"/>
  <c r="BH62" i="3"/>
  <c r="BI62" i="3"/>
  <c r="BJ62" i="3"/>
  <c r="BK62" i="3"/>
  <c r="BC63" i="3"/>
  <c r="BD63" i="3"/>
  <c r="BE63" i="3"/>
  <c r="BF63" i="3"/>
  <c r="BG63" i="3"/>
  <c r="BH63" i="3"/>
  <c r="BI63" i="3"/>
  <c r="BJ63" i="3"/>
  <c r="BK63" i="3"/>
  <c r="BC64" i="3"/>
  <c r="BD64" i="3"/>
  <c r="BE64" i="3"/>
  <c r="BF64" i="3"/>
  <c r="BG64" i="3"/>
  <c r="BH64" i="3"/>
  <c r="BI64" i="3"/>
  <c r="BJ64" i="3"/>
  <c r="BK64" i="3"/>
  <c r="BC65" i="3"/>
  <c r="BD65" i="3"/>
  <c r="BE65" i="3"/>
  <c r="BF65" i="3"/>
  <c r="BG65" i="3"/>
  <c r="BH65" i="3"/>
  <c r="BI65" i="3"/>
  <c r="BJ65" i="3"/>
  <c r="BK65" i="3"/>
  <c r="BC66" i="3"/>
  <c r="BD66" i="3"/>
  <c r="BE66" i="3"/>
  <c r="BF66" i="3"/>
  <c r="BG66" i="3"/>
  <c r="BH66" i="3"/>
  <c r="BI66" i="3"/>
  <c r="BJ66" i="3"/>
  <c r="BK66" i="3"/>
  <c r="BC67" i="3"/>
  <c r="BD67" i="3"/>
  <c r="BE67" i="3"/>
  <c r="BF67" i="3"/>
  <c r="BG67" i="3"/>
  <c r="BH67" i="3"/>
  <c r="BI67" i="3"/>
  <c r="BJ67" i="3"/>
  <c r="BK67" i="3"/>
  <c r="BC68" i="3"/>
  <c r="BD68" i="3"/>
  <c r="BE68" i="3"/>
  <c r="BF68" i="3"/>
  <c r="BG68" i="3"/>
  <c r="BH68" i="3"/>
  <c r="BI68" i="3"/>
  <c r="BJ68" i="3"/>
  <c r="BK68" i="3"/>
  <c r="BC69" i="3"/>
  <c r="BD69" i="3"/>
  <c r="BE69" i="3"/>
  <c r="BF69" i="3"/>
  <c r="BG69" i="3"/>
  <c r="BH69" i="3"/>
  <c r="BI69" i="3"/>
  <c r="BJ69" i="3"/>
  <c r="BK69" i="3"/>
  <c r="BC70" i="3"/>
  <c r="BD70" i="3"/>
  <c r="BE70" i="3"/>
  <c r="BF70" i="3"/>
  <c r="BG70" i="3"/>
  <c r="BH70" i="3"/>
  <c r="BI70" i="3"/>
  <c r="BJ70" i="3"/>
  <c r="BK70" i="3"/>
  <c r="BC71" i="3"/>
  <c r="BD71" i="3"/>
  <c r="BE71" i="3"/>
  <c r="BF71" i="3"/>
  <c r="BG71" i="3"/>
  <c r="BH71" i="3"/>
  <c r="BI71" i="3"/>
  <c r="BJ71" i="3"/>
  <c r="BK71" i="3"/>
  <c r="BC72" i="3"/>
  <c r="BD72" i="3"/>
  <c r="BE72" i="3"/>
  <c r="BF72" i="3"/>
  <c r="BG72" i="3"/>
  <c r="BH72" i="3"/>
  <c r="BI72" i="3"/>
  <c r="BJ72" i="3"/>
  <c r="BK72" i="3"/>
  <c r="BC73" i="3"/>
  <c r="BD73" i="3"/>
  <c r="BE73" i="3"/>
  <c r="BF73" i="3"/>
  <c r="BG73" i="3"/>
  <c r="BH73" i="3"/>
  <c r="BI73" i="3"/>
  <c r="BJ73" i="3"/>
  <c r="BK73" i="3"/>
  <c r="BC74" i="3"/>
  <c r="BD74" i="3"/>
  <c r="BE74" i="3"/>
  <c r="BF74" i="3"/>
  <c r="BG74" i="3"/>
  <c r="BH74" i="3"/>
  <c r="BI74" i="3"/>
  <c r="BJ74" i="3"/>
  <c r="BK74" i="3"/>
  <c r="BC75" i="3"/>
  <c r="BD75" i="3"/>
  <c r="BE75" i="3"/>
  <c r="BF75" i="3"/>
  <c r="BG75" i="3"/>
  <c r="BH75" i="3"/>
  <c r="BI75" i="3"/>
  <c r="BJ75" i="3"/>
  <c r="BK75" i="3"/>
  <c r="BC76" i="3"/>
  <c r="BD76" i="3"/>
  <c r="BE76" i="3"/>
  <c r="BF76" i="3"/>
  <c r="BG76" i="3"/>
  <c r="BH76" i="3"/>
  <c r="BI76" i="3"/>
  <c r="BJ76" i="3"/>
  <c r="BK76" i="3"/>
  <c r="BC77" i="3"/>
  <c r="BD77" i="3"/>
  <c r="BE77" i="3"/>
  <c r="BF77" i="3"/>
  <c r="BG77" i="3"/>
  <c r="BH77" i="3"/>
  <c r="BI77" i="3"/>
  <c r="BJ77" i="3"/>
  <c r="BK77" i="3"/>
  <c r="BC78" i="3"/>
  <c r="BD78" i="3"/>
  <c r="BE78" i="3"/>
  <c r="BF78" i="3"/>
  <c r="BG78" i="3"/>
  <c r="BH78" i="3"/>
  <c r="BI78" i="3"/>
  <c r="BJ78" i="3"/>
  <c r="BK78" i="3"/>
  <c r="BC79" i="3"/>
  <c r="BD79" i="3"/>
  <c r="BE79" i="3"/>
  <c r="BF79" i="3"/>
  <c r="BG79" i="3"/>
  <c r="BH79" i="3"/>
  <c r="BI79" i="3"/>
  <c r="BJ79" i="3"/>
  <c r="BK79" i="3"/>
  <c r="BC80" i="3"/>
  <c r="BD80" i="3"/>
  <c r="BE80" i="3"/>
  <c r="BF80" i="3"/>
  <c r="BG80" i="3"/>
  <c r="BH80" i="3"/>
  <c r="BI80" i="3"/>
  <c r="BJ80" i="3"/>
  <c r="BK80" i="3"/>
  <c r="BC81" i="3"/>
  <c r="BD81" i="3"/>
  <c r="BE81" i="3"/>
  <c r="BF81" i="3"/>
  <c r="BG81" i="3"/>
  <c r="BH81" i="3"/>
  <c r="BI81" i="3"/>
  <c r="BJ81" i="3"/>
  <c r="BK81" i="3"/>
  <c r="BC82" i="3"/>
  <c r="BD82" i="3"/>
  <c r="BE82" i="3"/>
  <c r="BF82" i="3"/>
  <c r="BG82" i="3"/>
  <c r="BH82" i="3"/>
  <c r="BI82" i="3"/>
  <c r="BJ82" i="3"/>
  <c r="BK82" i="3"/>
  <c r="BC83" i="3"/>
  <c r="BD83" i="3"/>
  <c r="BE83" i="3"/>
  <c r="BF83" i="3"/>
  <c r="BG83" i="3"/>
  <c r="BH83" i="3"/>
  <c r="BI83" i="3"/>
  <c r="BJ83" i="3"/>
  <c r="BK83" i="3"/>
  <c r="BC84" i="3"/>
  <c r="BD84" i="3"/>
  <c r="BE84" i="3"/>
  <c r="BF84" i="3"/>
  <c r="BG84" i="3"/>
  <c r="BH84" i="3"/>
  <c r="BI84" i="3"/>
  <c r="BJ84" i="3"/>
  <c r="BK84" i="3"/>
  <c r="BC85" i="3"/>
  <c r="BD85" i="3"/>
  <c r="BE85" i="3"/>
  <c r="BF85" i="3"/>
  <c r="BG85" i="3"/>
  <c r="BH85" i="3"/>
  <c r="BI85" i="3"/>
  <c r="BJ85" i="3"/>
  <c r="BK85" i="3"/>
  <c r="BC86" i="3"/>
  <c r="BD86" i="3"/>
  <c r="BE86" i="3"/>
  <c r="BF86" i="3"/>
  <c r="BG86" i="3"/>
  <c r="BH86" i="3"/>
  <c r="BI86" i="3"/>
  <c r="BJ86" i="3"/>
  <c r="BK86" i="3"/>
  <c r="BC87" i="3"/>
  <c r="BD87" i="3"/>
  <c r="BE87" i="3"/>
  <c r="BF87" i="3"/>
  <c r="BG87" i="3"/>
  <c r="BH87" i="3"/>
  <c r="BI87" i="3"/>
  <c r="BJ87" i="3"/>
  <c r="BK87" i="3"/>
  <c r="BC88" i="3"/>
  <c r="BD88" i="3"/>
  <c r="BE88" i="3"/>
  <c r="BF88" i="3"/>
  <c r="BG88" i="3"/>
  <c r="BH88" i="3"/>
  <c r="BI88" i="3"/>
  <c r="BJ88" i="3"/>
  <c r="BK88" i="3"/>
  <c r="BC89" i="3"/>
  <c r="BD89" i="3"/>
  <c r="BE89" i="3"/>
  <c r="BF89" i="3"/>
  <c r="BG89" i="3"/>
  <c r="BH89" i="3"/>
  <c r="BI89" i="3"/>
  <c r="BJ89" i="3"/>
  <c r="BK89" i="3"/>
  <c r="BC90" i="3"/>
  <c r="BD90" i="3"/>
  <c r="BE90" i="3"/>
  <c r="BF90" i="3"/>
  <c r="BG90" i="3"/>
  <c r="BH90" i="3"/>
  <c r="BI90" i="3"/>
  <c r="BJ90" i="3"/>
  <c r="BK90" i="3"/>
  <c r="BC91" i="3"/>
  <c r="BD91" i="3"/>
  <c r="BE91" i="3"/>
  <c r="BF91" i="3"/>
  <c r="BG91" i="3"/>
  <c r="BH91" i="3"/>
  <c r="BI91" i="3"/>
  <c r="BJ91" i="3"/>
  <c r="BK91" i="3"/>
  <c r="BC92" i="3"/>
  <c r="BD92" i="3"/>
  <c r="BE92" i="3"/>
  <c r="BF92" i="3"/>
  <c r="BG92" i="3"/>
  <c r="BH92" i="3"/>
  <c r="BI92" i="3"/>
  <c r="BJ92" i="3"/>
  <c r="BK92" i="3"/>
  <c r="BC93" i="3"/>
  <c r="BD93" i="3"/>
  <c r="BE93" i="3"/>
  <c r="BF93" i="3"/>
  <c r="BG93" i="3"/>
  <c r="BH93" i="3"/>
  <c r="BI93" i="3"/>
  <c r="BJ93" i="3"/>
  <c r="BK93" i="3"/>
  <c r="BC94" i="3"/>
  <c r="BD94" i="3"/>
  <c r="BE94" i="3"/>
  <c r="BF94" i="3"/>
  <c r="BG94" i="3"/>
  <c r="BH94" i="3"/>
  <c r="BI94" i="3"/>
  <c r="BJ94" i="3"/>
  <c r="BK94" i="3"/>
  <c r="BC95" i="3"/>
  <c r="BD95" i="3"/>
  <c r="BE95" i="3"/>
  <c r="BF95" i="3"/>
  <c r="BG95" i="3"/>
  <c r="BH95" i="3"/>
  <c r="BI95" i="3"/>
  <c r="BJ95" i="3"/>
  <c r="BK95" i="3"/>
  <c r="BC96" i="3"/>
  <c r="BD96" i="3"/>
  <c r="BE96" i="3"/>
  <c r="BF96" i="3"/>
  <c r="BG96" i="3"/>
  <c r="BH96" i="3"/>
  <c r="BI96" i="3"/>
  <c r="BJ96" i="3"/>
  <c r="BK96" i="3"/>
  <c r="BC97" i="3"/>
  <c r="BD97" i="3"/>
  <c r="BE97" i="3"/>
  <c r="BF97" i="3"/>
  <c r="BG97" i="3"/>
  <c r="BH97" i="3"/>
  <c r="BI97" i="3"/>
  <c r="BJ97" i="3"/>
  <c r="BK97" i="3"/>
  <c r="BC98" i="3"/>
  <c r="BD98" i="3"/>
  <c r="BE98" i="3"/>
  <c r="BF98" i="3"/>
  <c r="BG98" i="3"/>
  <c r="BH98" i="3"/>
  <c r="BI98" i="3"/>
  <c r="BJ98" i="3"/>
  <c r="BK98" i="3"/>
  <c r="BC99" i="3"/>
  <c r="BD99" i="3"/>
  <c r="BE99" i="3"/>
  <c r="BF99" i="3"/>
  <c r="BG99" i="3"/>
  <c r="BH99" i="3"/>
  <c r="BI99" i="3"/>
  <c r="BJ99" i="3"/>
  <c r="BK99" i="3"/>
  <c r="BC100" i="3"/>
  <c r="BD100" i="3"/>
  <c r="BE100" i="3"/>
  <c r="BF100" i="3"/>
  <c r="BG100" i="3"/>
  <c r="BH100" i="3"/>
  <c r="BI100" i="3"/>
  <c r="BJ100" i="3"/>
  <c r="BK100" i="3"/>
  <c r="BC101" i="3"/>
  <c r="BD101" i="3"/>
  <c r="BE101" i="3"/>
  <c r="BF101" i="3"/>
  <c r="BG101" i="3"/>
  <c r="BH101" i="3"/>
  <c r="BI101" i="3"/>
  <c r="BJ101" i="3"/>
  <c r="BK101" i="3"/>
  <c r="BC102" i="3"/>
  <c r="BD102" i="3"/>
  <c r="BE102" i="3"/>
  <c r="BF102" i="3"/>
  <c r="BG102" i="3"/>
  <c r="BH102" i="3"/>
  <c r="BI102" i="3"/>
  <c r="BJ102" i="3"/>
  <c r="BK102" i="3"/>
  <c r="BC103" i="3"/>
  <c r="BD103" i="3"/>
  <c r="BE103" i="3"/>
  <c r="BF103" i="3"/>
  <c r="BG103" i="3"/>
  <c r="BH103" i="3"/>
  <c r="BI103" i="3"/>
  <c r="BJ103" i="3"/>
  <c r="BK103" i="3"/>
  <c r="BC104" i="3"/>
  <c r="BD104" i="3"/>
  <c r="BE104" i="3"/>
  <c r="BF104" i="3"/>
  <c r="BG104" i="3"/>
  <c r="BH104" i="3"/>
  <c r="BI104" i="3"/>
  <c r="BJ104" i="3"/>
  <c r="BK104" i="3"/>
  <c r="BC105" i="3"/>
  <c r="BD105" i="3"/>
  <c r="BE105" i="3"/>
  <c r="BF105" i="3"/>
  <c r="BG105" i="3"/>
  <c r="BH105" i="3"/>
  <c r="BI105" i="3"/>
  <c r="BJ105" i="3"/>
  <c r="BK105" i="3"/>
  <c r="BC106" i="3"/>
  <c r="BD106" i="3"/>
  <c r="BE106" i="3"/>
  <c r="BF106" i="3"/>
  <c r="BG106" i="3"/>
  <c r="BH106" i="3"/>
  <c r="BI106" i="3"/>
  <c r="BJ106" i="3"/>
  <c r="BK106" i="3"/>
  <c r="BC107" i="3"/>
  <c r="BD107" i="3"/>
  <c r="BE107" i="3"/>
  <c r="BF107" i="3"/>
  <c r="BG107" i="3"/>
  <c r="BH107" i="3"/>
  <c r="BI107" i="3"/>
  <c r="BJ107" i="3"/>
  <c r="BK107" i="3"/>
  <c r="BC108" i="3"/>
  <c r="BD108" i="3"/>
  <c r="BE108" i="3"/>
  <c r="BF108" i="3"/>
  <c r="BG108" i="3"/>
  <c r="BH108" i="3"/>
  <c r="BI108" i="3"/>
  <c r="BJ108" i="3"/>
  <c r="BK108" i="3"/>
  <c r="BC109" i="3"/>
  <c r="BD109" i="3"/>
  <c r="BE109" i="3"/>
  <c r="BF109" i="3"/>
  <c r="BG109" i="3"/>
  <c r="BH109" i="3"/>
  <c r="BI109" i="3"/>
  <c r="BJ109" i="3"/>
  <c r="BK109" i="3"/>
  <c r="BC110" i="3"/>
  <c r="BD110" i="3"/>
  <c r="BE110" i="3"/>
  <c r="BF110" i="3"/>
  <c r="BG110" i="3"/>
  <c r="BH110" i="3"/>
  <c r="BI110" i="3"/>
  <c r="BJ110" i="3"/>
  <c r="BK110" i="3"/>
  <c r="BC111" i="3"/>
  <c r="BD111" i="3"/>
  <c r="BE111" i="3"/>
  <c r="BF111" i="3"/>
  <c r="BG111" i="3"/>
  <c r="BH111" i="3"/>
  <c r="BI111" i="3"/>
  <c r="BJ111" i="3"/>
  <c r="BK111" i="3"/>
  <c r="BC112" i="3"/>
  <c r="BD112" i="3"/>
  <c r="BE112" i="3"/>
  <c r="BF112" i="3"/>
  <c r="BG112" i="3"/>
  <c r="BH112" i="3"/>
  <c r="BI112" i="3"/>
  <c r="BJ112" i="3"/>
  <c r="BK112" i="3"/>
  <c r="BC113" i="3"/>
  <c r="BD113" i="3"/>
  <c r="BE113" i="3"/>
  <c r="BF113" i="3"/>
  <c r="BG113" i="3"/>
  <c r="BH113" i="3"/>
  <c r="BI113" i="3"/>
  <c r="BJ113" i="3"/>
  <c r="BK113" i="3"/>
  <c r="BC114" i="3"/>
  <c r="BD114" i="3"/>
  <c r="BE114" i="3"/>
  <c r="BF114" i="3"/>
  <c r="BG114" i="3"/>
  <c r="BH114" i="3"/>
  <c r="BI114" i="3"/>
  <c r="BJ114" i="3"/>
  <c r="BK114" i="3"/>
  <c r="BC115" i="3"/>
  <c r="BD115" i="3"/>
  <c r="BE115" i="3"/>
  <c r="BF115" i="3"/>
  <c r="BG115" i="3"/>
  <c r="BH115" i="3"/>
  <c r="BI115" i="3"/>
  <c r="BJ115" i="3"/>
  <c r="BK115" i="3"/>
  <c r="BC116" i="3"/>
  <c r="BD116" i="3"/>
  <c r="BE116" i="3"/>
  <c r="BF116" i="3"/>
  <c r="BG116" i="3"/>
  <c r="BH116" i="3"/>
  <c r="BI116" i="3"/>
  <c r="BJ116" i="3"/>
  <c r="BK116" i="3"/>
  <c r="BC117" i="3"/>
  <c r="BD117" i="3"/>
  <c r="BE117" i="3"/>
  <c r="BF117" i="3"/>
  <c r="BG117" i="3"/>
  <c r="BH117" i="3"/>
  <c r="BI117" i="3"/>
  <c r="BJ117" i="3"/>
  <c r="BK117" i="3"/>
  <c r="BC118" i="3"/>
  <c r="BD118" i="3"/>
  <c r="BE118" i="3"/>
  <c r="BF118" i="3"/>
  <c r="BG118" i="3"/>
  <c r="BH118" i="3"/>
  <c r="BI118" i="3"/>
  <c r="BJ118" i="3"/>
  <c r="BK118" i="3"/>
  <c r="BC119" i="3"/>
  <c r="BD119" i="3"/>
  <c r="BE119" i="3"/>
  <c r="BF119" i="3"/>
  <c r="BG119" i="3"/>
  <c r="BH119" i="3"/>
  <c r="BI119" i="3"/>
  <c r="BJ119" i="3"/>
  <c r="BK119" i="3"/>
  <c r="BC120" i="3"/>
  <c r="BD120" i="3"/>
  <c r="BE120" i="3"/>
  <c r="BF120" i="3"/>
  <c r="BG120" i="3"/>
  <c r="BH120" i="3"/>
  <c r="BI120" i="3"/>
  <c r="BJ120" i="3"/>
  <c r="BK120" i="3"/>
  <c r="BC121" i="3"/>
  <c r="BD121" i="3"/>
  <c r="BE121" i="3"/>
  <c r="BF121" i="3"/>
  <c r="BG121" i="3"/>
  <c r="BH121" i="3"/>
  <c r="BI121" i="3"/>
  <c r="BJ121" i="3"/>
  <c r="BK121" i="3"/>
  <c r="BC122" i="3"/>
  <c r="BD122" i="3"/>
  <c r="BE122" i="3"/>
  <c r="BF122" i="3"/>
  <c r="BG122" i="3"/>
  <c r="BH122" i="3"/>
  <c r="BI122" i="3"/>
  <c r="BJ122" i="3"/>
  <c r="BK122" i="3"/>
  <c r="BC123" i="3"/>
  <c r="BD123" i="3"/>
  <c r="BE123" i="3"/>
  <c r="BF123" i="3"/>
  <c r="BG123" i="3"/>
  <c r="BH123" i="3"/>
  <c r="BI123" i="3"/>
  <c r="BJ123" i="3"/>
  <c r="BK123" i="3"/>
  <c r="BC124" i="3"/>
  <c r="BD124" i="3"/>
  <c r="BE124" i="3"/>
  <c r="BF124" i="3"/>
  <c r="BG124" i="3"/>
  <c r="BH124" i="3"/>
  <c r="BI124" i="3"/>
  <c r="BJ124" i="3"/>
  <c r="BK124" i="3"/>
  <c r="BC125" i="3"/>
  <c r="BD125" i="3"/>
  <c r="BE125" i="3"/>
  <c r="BF125" i="3"/>
  <c r="BG125" i="3"/>
  <c r="BH125" i="3"/>
  <c r="BI125" i="3"/>
  <c r="BJ125" i="3"/>
  <c r="BK125" i="3"/>
  <c r="BC126" i="3"/>
  <c r="BD126" i="3"/>
  <c r="BE126" i="3"/>
  <c r="BF126" i="3"/>
  <c r="BG126" i="3"/>
  <c r="BH126" i="3"/>
  <c r="BI126" i="3"/>
  <c r="BJ126" i="3"/>
  <c r="BK126" i="3"/>
  <c r="BC127" i="3"/>
  <c r="BD127" i="3"/>
  <c r="BE127" i="3"/>
  <c r="BF127" i="3"/>
  <c r="BG127" i="3"/>
  <c r="BH127" i="3"/>
  <c r="BI127" i="3"/>
  <c r="BJ127" i="3"/>
  <c r="BK127" i="3"/>
  <c r="BC128" i="3"/>
  <c r="BD128" i="3"/>
  <c r="BE128" i="3"/>
  <c r="BF128" i="3"/>
  <c r="BG128" i="3"/>
  <c r="BH128" i="3"/>
  <c r="BI128" i="3"/>
  <c r="BJ128" i="3"/>
  <c r="BK128" i="3"/>
  <c r="BC129" i="3"/>
  <c r="BD129" i="3"/>
  <c r="BE129" i="3"/>
  <c r="BF129" i="3"/>
  <c r="BG129" i="3"/>
  <c r="BH129" i="3"/>
  <c r="BI129" i="3"/>
  <c r="BJ129" i="3"/>
  <c r="BK129" i="3"/>
  <c r="BC130" i="3"/>
  <c r="BD130" i="3"/>
  <c r="BE130" i="3"/>
  <c r="BF130" i="3"/>
  <c r="BG130" i="3"/>
  <c r="BH130" i="3"/>
  <c r="BI130" i="3"/>
  <c r="BJ130" i="3"/>
  <c r="BK130" i="3"/>
  <c r="BC131" i="3"/>
  <c r="BD131" i="3"/>
  <c r="BE131" i="3"/>
  <c r="BF131" i="3"/>
  <c r="BG131" i="3"/>
  <c r="BH131" i="3"/>
  <c r="BI131" i="3"/>
  <c r="BJ131" i="3"/>
  <c r="BK131" i="3"/>
  <c r="BC132" i="3"/>
  <c r="BD132" i="3"/>
  <c r="BE132" i="3"/>
  <c r="BF132" i="3"/>
  <c r="BG132" i="3"/>
  <c r="BH132" i="3"/>
  <c r="BI132" i="3"/>
  <c r="BJ132" i="3"/>
  <c r="BK132" i="3"/>
  <c r="BC133" i="3"/>
  <c r="BD133" i="3"/>
  <c r="BE133" i="3"/>
  <c r="BF133" i="3"/>
  <c r="BG133" i="3"/>
  <c r="BH133" i="3"/>
  <c r="BI133" i="3"/>
  <c r="BJ133" i="3"/>
  <c r="BK133" i="3"/>
  <c r="BC134" i="3"/>
  <c r="BD134" i="3"/>
  <c r="BE134" i="3"/>
  <c r="BF134" i="3"/>
  <c r="BG134" i="3"/>
  <c r="BH134" i="3"/>
  <c r="BI134" i="3"/>
  <c r="BJ134" i="3"/>
  <c r="BK134" i="3"/>
  <c r="BC135" i="3"/>
  <c r="BD135" i="3"/>
  <c r="BE135" i="3"/>
  <c r="BF135" i="3"/>
  <c r="BG135" i="3"/>
  <c r="BH135" i="3"/>
  <c r="BI135" i="3"/>
  <c r="BJ135" i="3"/>
  <c r="BK135" i="3"/>
  <c r="BC136" i="3"/>
  <c r="BD136" i="3"/>
  <c r="BE136" i="3"/>
  <c r="BF136" i="3"/>
  <c r="BG136" i="3"/>
  <c r="BH136" i="3"/>
  <c r="BI136" i="3"/>
  <c r="BJ136" i="3"/>
  <c r="BK136" i="3"/>
  <c r="BC137" i="3"/>
  <c r="BD137" i="3"/>
  <c r="BE137" i="3"/>
  <c r="BF137" i="3"/>
  <c r="BG137" i="3"/>
  <c r="BH137" i="3"/>
  <c r="BI137" i="3"/>
  <c r="BJ137" i="3"/>
  <c r="BK137" i="3"/>
  <c r="BC138" i="3"/>
  <c r="BD138" i="3"/>
  <c r="BE138" i="3"/>
  <c r="BF138" i="3"/>
  <c r="BG138" i="3"/>
  <c r="BH138" i="3"/>
  <c r="BI138" i="3"/>
  <c r="BJ138" i="3"/>
  <c r="BK138" i="3"/>
  <c r="BC139" i="3"/>
  <c r="BD139" i="3"/>
  <c r="BE139" i="3"/>
  <c r="BF139" i="3"/>
  <c r="BG139" i="3"/>
  <c r="BH139" i="3"/>
  <c r="BI139" i="3"/>
  <c r="BJ139" i="3"/>
  <c r="BK139" i="3"/>
  <c r="BC140" i="3"/>
  <c r="BD140" i="3"/>
  <c r="BE140" i="3"/>
  <c r="BF140" i="3"/>
  <c r="BG140" i="3"/>
  <c r="BH140" i="3"/>
  <c r="BI140" i="3"/>
  <c r="BJ140" i="3"/>
  <c r="BK140" i="3"/>
  <c r="BC141" i="3"/>
  <c r="BD141" i="3"/>
  <c r="BE141" i="3"/>
  <c r="BF141" i="3"/>
  <c r="BG141" i="3"/>
  <c r="BH141" i="3"/>
  <c r="BI141" i="3"/>
  <c r="BJ141" i="3"/>
  <c r="BK141" i="3"/>
  <c r="BC142" i="3"/>
  <c r="BD142" i="3"/>
  <c r="BE142" i="3"/>
  <c r="BF142" i="3"/>
  <c r="BG142" i="3"/>
  <c r="BH142" i="3"/>
  <c r="BI142" i="3"/>
  <c r="BJ142" i="3"/>
  <c r="BK142" i="3"/>
  <c r="BC143" i="3"/>
  <c r="BD143" i="3"/>
  <c r="BE143" i="3"/>
  <c r="BF143" i="3"/>
  <c r="BG143" i="3"/>
  <c r="BH143" i="3"/>
  <c r="BI143" i="3"/>
  <c r="BJ143" i="3"/>
  <c r="BK143" i="3"/>
  <c r="BC144" i="3"/>
  <c r="BD144" i="3"/>
  <c r="BE144" i="3"/>
  <c r="BF144" i="3"/>
  <c r="BG144" i="3"/>
  <c r="BH144" i="3"/>
  <c r="BI144" i="3"/>
  <c r="BJ144" i="3"/>
  <c r="BK144" i="3"/>
  <c r="BC145" i="3"/>
  <c r="BD145" i="3"/>
  <c r="BE145" i="3"/>
  <c r="BF145" i="3"/>
  <c r="BG145" i="3"/>
  <c r="BH145" i="3"/>
  <c r="BI145" i="3"/>
  <c r="BJ145" i="3"/>
  <c r="BK145" i="3"/>
  <c r="BC146" i="3"/>
  <c r="BD146" i="3"/>
  <c r="BE146" i="3"/>
  <c r="BF146" i="3"/>
  <c r="BG146" i="3"/>
  <c r="BH146" i="3"/>
  <c r="BI146" i="3"/>
  <c r="BJ146" i="3"/>
  <c r="BK146" i="3"/>
  <c r="BC147" i="3"/>
  <c r="BD147" i="3"/>
  <c r="BE147" i="3"/>
  <c r="BF147" i="3"/>
  <c r="BG147" i="3"/>
  <c r="BH147" i="3"/>
  <c r="BI147" i="3"/>
  <c r="BJ147" i="3"/>
  <c r="BK147" i="3"/>
  <c r="BC148" i="3"/>
  <c r="BD148" i="3"/>
  <c r="BE148" i="3"/>
  <c r="BF148" i="3"/>
  <c r="BG148" i="3"/>
  <c r="BH148" i="3"/>
  <c r="BI148" i="3"/>
  <c r="BJ148" i="3"/>
  <c r="BK148" i="3"/>
  <c r="BC149" i="3"/>
  <c r="BD149" i="3"/>
  <c r="BE149" i="3"/>
  <c r="BF149" i="3"/>
  <c r="BG149" i="3"/>
  <c r="BH149" i="3"/>
  <c r="BI149" i="3"/>
  <c r="BJ149" i="3"/>
  <c r="BK149" i="3"/>
  <c r="BC150" i="3"/>
  <c r="BD150" i="3"/>
  <c r="BE150" i="3"/>
  <c r="BF150" i="3"/>
  <c r="BG150" i="3"/>
  <c r="BH150" i="3"/>
  <c r="BI150" i="3"/>
  <c r="BJ150" i="3"/>
  <c r="BK150" i="3"/>
  <c r="BC151" i="3"/>
  <c r="BD151" i="3"/>
  <c r="BE151" i="3"/>
  <c r="BF151" i="3"/>
  <c r="BG151" i="3"/>
  <c r="BH151" i="3"/>
  <c r="BI151" i="3"/>
  <c r="BJ151" i="3"/>
  <c r="BK151" i="3"/>
  <c r="BC152" i="3"/>
  <c r="BD152" i="3"/>
  <c r="BE152" i="3"/>
  <c r="BF152" i="3"/>
  <c r="BG152" i="3"/>
  <c r="BH152" i="3"/>
  <c r="BI152" i="3"/>
  <c r="BJ152" i="3"/>
  <c r="BK152" i="3"/>
  <c r="BC153" i="3"/>
  <c r="BD153" i="3"/>
  <c r="BE153" i="3"/>
  <c r="BF153" i="3"/>
  <c r="BG153" i="3"/>
  <c r="BH153" i="3"/>
  <c r="BI153" i="3"/>
  <c r="BJ153" i="3"/>
  <c r="BK153" i="3"/>
  <c r="BC154" i="3"/>
  <c r="BD154" i="3"/>
  <c r="BE154" i="3"/>
  <c r="BF154" i="3"/>
  <c r="BG154" i="3"/>
  <c r="BH154" i="3"/>
  <c r="BI154" i="3"/>
  <c r="BJ154" i="3"/>
  <c r="BK154" i="3"/>
  <c r="BC155" i="3"/>
  <c r="BD155" i="3"/>
  <c r="BE155" i="3"/>
  <c r="BF155" i="3"/>
  <c r="BG155" i="3"/>
  <c r="BH155" i="3"/>
  <c r="BI155" i="3"/>
  <c r="BJ155" i="3"/>
  <c r="BK155" i="3"/>
  <c r="BC156" i="3"/>
  <c r="BD156" i="3"/>
  <c r="BE156" i="3"/>
  <c r="BF156" i="3"/>
  <c r="BG156" i="3"/>
  <c r="BH156" i="3"/>
  <c r="BI156" i="3"/>
  <c r="BJ156" i="3"/>
  <c r="BK156" i="3"/>
  <c r="BC157" i="3"/>
  <c r="BD157" i="3"/>
  <c r="BE157" i="3"/>
  <c r="BF157" i="3"/>
  <c r="BG157" i="3"/>
  <c r="BH157" i="3"/>
  <c r="BI157" i="3"/>
  <c r="BJ157" i="3"/>
  <c r="BK157" i="3"/>
  <c r="BC158" i="3"/>
  <c r="BD158" i="3"/>
  <c r="BE158" i="3"/>
  <c r="BF158" i="3"/>
  <c r="BG158" i="3"/>
  <c r="BH158" i="3"/>
  <c r="BI158" i="3"/>
  <c r="BJ158" i="3"/>
  <c r="BK158" i="3"/>
  <c r="BC159" i="3"/>
  <c r="BD159" i="3"/>
  <c r="BE159" i="3"/>
  <c r="BF159" i="3"/>
  <c r="BG159" i="3"/>
  <c r="BH159" i="3"/>
  <c r="BI159" i="3"/>
  <c r="BJ159" i="3"/>
  <c r="BK159" i="3"/>
  <c r="BC160" i="3"/>
  <c r="BD160" i="3"/>
  <c r="BE160" i="3"/>
  <c r="BF160" i="3"/>
  <c r="BG160" i="3"/>
  <c r="BH160" i="3"/>
  <c r="BI160" i="3"/>
  <c r="BJ160" i="3"/>
  <c r="BK160" i="3"/>
  <c r="BC161" i="3"/>
  <c r="BD161" i="3"/>
  <c r="BE161" i="3"/>
  <c r="BF161" i="3"/>
  <c r="BG161" i="3"/>
  <c r="BH161" i="3"/>
  <c r="BI161" i="3"/>
  <c r="BJ161" i="3"/>
  <c r="BK161" i="3"/>
  <c r="BC162" i="3"/>
  <c r="BD162" i="3"/>
  <c r="BE162" i="3"/>
  <c r="BF162" i="3"/>
  <c r="BG162" i="3"/>
  <c r="BH162" i="3"/>
  <c r="BI162" i="3"/>
  <c r="BJ162" i="3"/>
  <c r="BK162" i="3"/>
  <c r="BC163" i="3"/>
  <c r="BD163" i="3"/>
  <c r="BE163" i="3"/>
  <c r="BF163" i="3"/>
  <c r="BG163" i="3"/>
  <c r="BH163" i="3"/>
  <c r="BI163" i="3"/>
  <c r="BJ163" i="3"/>
  <c r="BK163" i="3"/>
  <c r="BC164" i="3"/>
  <c r="BD164" i="3"/>
  <c r="BE164" i="3"/>
  <c r="BF164" i="3"/>
  <c r="BG164" i="3"/>
  <c r="BH164" i="3"/>
  <c r="BI164" i="3"/>
  <c r="BJ164" i="3"/>
  <c r="BK164" i="3"/>
  <c r="BC165" i="3"/>
  <c r="BD165" i="3"/>
  <c r="BE165" i="3"/>
  <c r="BF165" i="3"/>
  <c r="BG165" i="3"/>
  <c r="BH165" i="3"/>
  <c r="BI165" i="3"/>
  <c r="BJ165" i="3"/>
  <c r="BK165" i="3"/>
  <c r="BC166" i="3"/>
  <c r="BD166" i="3"/>
  <c r="BE166" i="3"/>
  <c r="BF166" i="3"/>
  <c r="BG166" i="3"/>
  <c r="BH166" i="3"/>
  <c r="BI166" i="3"/>
  <c r="BJ166" i="3"/>
  <c r="BK166" i="3"/>
  <c r="BC167" i="3"/>
  <c r="BD167" i="3"/>
  <c r="BE167" i="3"/>
  <c r="BF167" i="3"/>
  <c r="BG167" i="3"/>
  <c r="BH167" i="3"/>
  <c r="BI167" i="3"/>
  <c r="BJ167" i="3"/>
  <c r="BK167" i="3"/>
  <c r="BC168" i="3"/>
  <c r="BD168" i="3"/>
  <c r="BE168" i="3"/>
  <c r="BF168" i="3"/>
  <c r="BG168" i="3"/>
  <c r="BH168" i="3"/>
  <c r="BI168" i="3"/>
  <c r="BJ168" i="3"/>
  <c r="BK168" i="3"/>
  <c r="BC169" i="3"/>
  <c r="BD169" i="3"/>
  <c r="BE169" i="3"/>
  <c r="BF169" i="3"/>
  <c r="BG169" i="3"/>
  <c r="BH169" i="3"/>
  <c r="BI169" i="3"/>
  <c r="BJ169" i="3"/>
  <c r="BK169" i="3"/>
  <c r="BC170" i="3"/>
  <c r="BD170" i="3"/>
  <c r="BE170" i="3"/>
  <c r="BF170" i="3"/>
  <c r="BG170" i="3"/>
  <c r="BH170" i="3"/>
  <c r="BI170" i="3"/>
  <c r="BJ170" i="3"/>
  <c r="BK170" i="3"/>
  <c r="BC171" i="3"/>
  <c r="BD171" i="3"/>
  <c r="BE171" i="3"/>
  <c r="BF171" i="3"/>
  <c r="BG171" i="3"/>
  <c r="BH171" i="3"/>
  <c r="BI171" i="3"/>
  <c r="BJ171" i="3"/>
  <c r="BK171" i="3"/>
  <c r="BC172" i="3"/>
  <c r="BD172" i="3"/>
  <c r="BE172" i="3"/>
  <c r="BF172" i="3"/>
  <c r="BG172" i="3"/>
  <c r="BH172" i="3"/>
  <c r="BI172" i="3"/>
  <c r="BJ172" i="3"/>
  <c r="BK172" i="3"/>
  <c r="BC173" i="3"/>
  <c r="BD173" i="3"/>
  <c r="BE173" i="3"/>
  <c r="BF173" i="3"/>
  <c r="BG173" i="3"/>
  <c r="BH173" i="3"/>
  <c r="BI173" i="3"/>
  <c r="BJ173" i="3"/>
  <c r="BK173" i="3"/>
  <c r="BC174" i="3"/>
  <c r="BD174" i="3"/>
  <c r="BE174" i="3"/>
  <c r="BF174" i="3"/>
  <c r="BG174" i="3"/>
  <c r="BH174" i="3"/>
  <c r="BI174" i="3"/>
  <c r="BJ174" i="3"/>
  <c r="BK174" i="3"/>
  <c r="BC175" i="3"/>
  <c r="BD175" i="3"/>
  <c r="BE175" i="3"/>
  <c r="BF175" i="3"/>
  <c r="BG175" i="3"/>
  <c r="BH175" i="3"/>
  <c r="BI175" i="3"/>
  <c r="BJ175" i="3"/>
  <c r="BK175" i="3"/>
  <c r="BC176" i="3"/>
  <c r="BD176" i="3"/>
  <c r="BE176" i="3"/>
  <c r="BF176" i="3"/>
  <c r="BG176" i="3"/>
  <c r="BH176" i="3"/>
  <c r="BI176" i="3"/>
  <c r="BJ176" i="3"/>
  <c r="BK176" i="3"/>
  <c r="BC177" i="3"/>
  <c r="BD177" i="3"/>
  <c r="BE177" i="3"/>
  <c r="BF177" i="3"/>
  <c r="BG177" i="3"/>
  <c r="BH177" i="3"/>
  <c r="BI177" i="3"/>
  <c r="BJ177" i="3"/>
  <c r="BK177" i="3"/>
  <c r="BC178" i="3"/>
  <c r="BD178" i="3"/>
  <c r="BE178" i="3"/>
  <c r="BF178" i="3"/>
  <c r="BG178" i="3"/>
  <c r="BH178" i="3"/>
  <c r="BI178" i="3"/>
  <c r="BJ178" i="3"/>
  <c r="BK178" i="3"/>
  <c r="BC179" i="3"/>
  <c r="BD179" i="3"/>
  <c r="BE179" i="3"/>
  <c r="BF179" i="3"/>
  <c r="BG179" i="3"/>
  <c r="BH179" i="3"/>
  <c r="BI179" i="3"/>
  <c r="BJ179" i="3"/>
  <c r="BK179" i="3"/>
  <c r="BC180" i="3"/>
  <c r="BD180" i="3"/>
  <c r="BE180" i="3"/>
  <c r="BF180" i="3"/>
  <c r="BG180" i="3"/>
  <c r="BH180" i="3"/>
  <c r="BI180" i="3"/>
  <c r="BJ180" i="3"/>
  <c r="BK180" i="3"/>
  <c r="BC181" i="3"/>
  <c r="BD181" i="3"/>
  <c r="BE181" i="3"/>
  <c r="BF181" i="3"/>
  <c r="BG181" i="3"/>
  <c r="BH181" i="3"/>
  <c r="BI181" i="3"/>
  <c r="BJ181" i="3"/>
  <c r="BK181" i="3"/>
  <c r="BC182" i="3"/>
  <c r="BD182" i="3"/>
  <c r="BE182" i="3"/>
  <c r="BF182" i="3"/>
  <c r="BG182" i="3"/>
  <c r="BH182" i="3"/>
  <c r="BI182" i="3"/>
  <c r="BJ182" i="3"/>
  <c r="BK182" i="3"/>
  <c r="BC183" i="3"/>
  <c r="BC184" i="3"/>
  <c r="BC185" i="3"/>
  <c r="BC186" i="3"/>
  <c r="BC187" i="3"/>
  <c r="BC188" i="3"/>
  <c r="BC189" i="3"/>
  <c r="BC190" i="3"/>
  <c r="BC191" i="3"/>
  <c r="BC192" i="3"/>
  <c r="BC193" i="3"/>
  <c r="BC194" i="3"/>
  <c r="BC195" i="3"/>
  <c r="BC196" i="3"/>
  <c r="BC197" i="3"/>
  <c r="BC198" i="3"/>
  <c r="BB199" i="3"/>
  <c r="BC199" i="3"/>
  <c r="BA199" i="3"/>
  <c r="BB200" i="3"/>
  <c r="BC200" i="3"/>
  <c r="BA200" i="3"/>
  <c r="BB201" i="3"/>
  <c r="BC201" i="3"/>
  <c r="BA201" i="3"/>
  <c r="BB202" i="3"/>
  <c r="BC202" i="3"/>
  <c r="BA202" i="3"/>
  <c r="BB203" i="3"/>
  <c r="BC203" i="3"/>
  <c r="BA203" i="3"/>
  <c r="BB204" i="3"/>
  <c r="BC204" i="3"/>
  <c r="BA204" i="3"/>
  <c r="BB205" i="3"/>
  <c r="BC205" i="3"/>
  <c r="BA205" i="3"/>
  <c r="BB206" i="3"/>
  <c r="BC206" i="3"/>
  <c r="BA206" i="3"/>
  <c r="BB207" i="3"/>
  <c r="BC207" i="3"/>
  <c r="BA207" i="3"/>
  <c r="BB208" i="3"/>
  <c r="BC208" i="3"/>
  <c r="BA208" i="3"/>
  <c r="BB209" i="3"/>
  <c r="BC209" i="3"/>
  <c r="BA209" i="3"/>
  <c r="BB210" i="3"/>
  <c r="BC210" i="3"/>
  <c r="BA210" i="3"/>
  <c r="BB211" i="3"/>
  <c r="BC211" i="3"/>
  <c r="BA211" i="3"/>
  <c r="BB212" i="3"/>
  <c r="BC212" i="3"/>
  <c r="BA212" i="3"/>
  <c r="BB213" i="3"/>
  <c r="BC213" i="3"/>
  <c r="BA213" i="3"/>
  <c r="BB214" i="3"/>
  <c r="BC214" i="3"/>
  <c r="BA214" i="3"/>
  <c r="BB215" i="3"/>
  <c r="BC215" i="3"/>
  <c r="BA215" i="3"/>
  <c r="BB216" i="3"/>
  <c r="BC216" i="3"/>
  <c r="BA216" i="3"/>
  <c r="BB217" i="3"/>
  <c r="BC217" i="3"/>
  <c r="BA217" i="3"/>
  <c r="BB218" i="3"/>
  <c r="BC218" i="3"/>
  <c r="BA218" i="3"/>
  <c r="BB219" i="3"/>
  <c r="BC219" i="3"/>
  <c r="BA219" i="3"/>
  <c r="BB220" i="3"/>
  <c r="BC220" i="3"/>
  <c r="BA220" i="3"/>
  <c r="BB221" i="3"/>
  <c r="BC221" i="3"/>
  <c r="BA221" i="3"/>
  <c r="BB222" i="3"/>
  <c r="BC222" i="3"/>
  <c r="BA222" i="3"/>
  <c r="BB223" i="3"/>
  <c r="BC223" i="3"/>
  <c r="BA223" i="3"/>
  <c r="I5" i="3"/>
  <c r="E19" i="6"/>
  <c r="BC10" i="3"/>
  <c r="F27" i="6"/>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3" i="3"/>
  <c r="BQ14" i="3"/>
  <c r="BQ5"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3" i="3"/>
  <c r="BS14" i="3"/>
  <c r="BS5" i="3"/>
  <c r="F28" i="6"/>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3" i="3"/>
  <c r="BR14" i="3"/>
  <c r="BR5"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3" i="3"/>
  <c r="BT14" i="3"/>
  <c r="BT5" i="3"/>
  <c r="G28" i="6"/>
  <c r="E28" i="6"/>
  <c r="K20" i="6"/>
  <c r="S7" i="1"/>
  <c r="T7" i="1"/>
  <c r="F15" i="78"/>
  <c r="C15" i="78"/>
  <c r="F16" i="78"/>
  <c r="C16" i="78"/>
  <c r="F17" i="78"/>
  <c r="F43" i="78"/>
  <c r="C17" i="78"/>
  <c r="F18" i="78"/>
  <c r="C18" i="78"/>
  <c r="F23" i="78"/>
  <c r="F21" i="78"/>
  <c r="F28" i="78"/>
  <c r="F32" i="78"/>
  <c r="F33" i="78"/>
  <c r="B52" i="1"/>
  <c r="F34" i="78"/>
  <c r="BM13" i="3"/>
  <c r="BN13" i="3"/>
  <c r="BO13" i="3"/>
  <c r="BP13" i="3"/>
  <c r="BL13" i="3"/>
  <c r="AZ13" i="3"/>
  <c r="BM14" i="3"/>
  <c r="BN14" i="3"/>
  <c r="BO14" i="3"/>
  <c r="BP14" i="3"/>
  <c r="BL14" i="3"/>
  <c r="BM15" i="3"/>
  <c r="BN15" i="3"/>
  <c r="BO15" i="3"/>
  <c r="BP15" i="3"/>
  <c r="BL15" i="3"/>
  <c r="BM16" i="3"/>
  <c r="BN16" i="3"/>
  <c r="BO16" i="3"/>
  <c r="BP16" i="3"/>
  <c r="BL16" i="3"/>
  <c r="BM17" i="3"/>
  <c r="BN17" i="3"/>
  <c r="BO17" i="3"/>
  <c r="BP17" i="3"/>
  <c r="BL17" i="3"/>
  <c r="BM18" i="3"/>
  <c r="BN18" i="3"/>
  <c r="BO18" i="3"/>
  <c r="BP18" i="3"/>
  <c r="BL18" i="3"/>
  <c r="BM19" i="3"/>
  <c r="BN19" i="3"/>
  <c r="BO19" i="3"/>
  <c r="BP19" i="3"/>
  <c r="BL19" i="3"/>
  <c r="BM20" i="3"/>
  <c r="BN20" i="3"/>
  <c r="BO20" i="3"/>
  <c r="BP20" i="3"/>
  <c r="BL20" i="3"/>
  <c r="BM21" i="3"/>
  <c r="BN21" i="3"/>
  <c r="BO21" i="3"/>
  <c r="BP21" i="3"/>
  <c r="BL21" i="3"/>
  <c r="BM22" i="3"/>
  <c r="BN22" i="3"/>
  <c r="BO22" i="3"/>
  <c r="BP22" i="3"/>
  <c r="BL22" i="3"/>
  <c r="BM23" i="3"/>
  <c r="BN23" i="3"/>
  <c r="BO23" i="3"/>
  <c r="BP23" i="3"/>
  <c r="BL23" i="3"/>
  <c r="BM24" i="3"/>
  <c r="BN24" i="3"/>
  <c r="BO24" i="3"/>
  <c r="BP24" i="3"/>
  <c r="BL24" i="3"/>
  <c r="BM25" i="3"/>
  <c r="BN25" i="3"/>
  <c r="BO25" i="3"/>
  <c r="BP25" i="3"/>
  <c r="BL25" i="3"/>
  <c r="BM26" i="3"/>
  <c r="BN26" i="3"/>
  <c r="BO26" i="3"/>
  <c r="BP26" i="3"/>
  <c r="BL26" i="3"/>
  <c r="BM27" i="3"/>
  <c r="BN27" i="3"/>
  <c r="BO27" i="3"/>
  <c r="BP27" i="3"/>
  <c r="BL27" i="3"/>
  <c r="BM28" i="3"/>
  <c r="BN28" i="3"/>
  <c r="BO28" i="3"/>
  <c r="BP28" i="3"/>
  <c r="BL28" i="3"/>
  <c r="BM29" i="3"/>
  <c r="BN29" i="3"/>
  <c r="BO29" i="3"/>
  <c r="BP29" i="3"/>
  <c r="BL29" i="3"/>
  <c r="BM30" i="3"/>
  <c r="BN30" i="3"/>
  <c r="BO30" i="3"/>
  <c r="BP30" i="3"/>
  <c r="BL30" i="3"/>
  <c r="BM31" i="3"/>
  <c r="BN31" i="3"/>
  <c r="BO31" i="3"/>
  <c r="BP31" i="3"/>
  <c r="BL31" i="3"/>
  <c r="BM32" i="3"/>
  <c r="BN32" i="3"/>
  <c r="BO32" i="3"/>
  <c r="BP32" i="3"/>
  <c r="BL32" i="3"/>
  <c r="BM33" i="3"/>
  <c r="BN33" i="3"/>
  <c r="BO33" i="3"/>
  <c r="BP33" i="3"/>
  <c r="BL33" i="3"/>
  <c r="BM34" i="3"/>
  <c r="BN34" i="3"/>
  <c r="BO34" i="3"/>
  <c r="BP34" i="3"/>
  <c r="BL34" i="3"/>
  <c r="BM35" i="3"/>
  <c r="BN35" i="3"/>
  <c r="BO35" i="3"/>
  <c r="BP35" i="3"/>
  <c r="BL35" i="3"/>
  <c r="BM36" i="3"/>
  <c r="BN36" i="3"/>
  <c r="BO36" i="3"/>
  <c r="BP36" i="3"/>
  <c r="BL36" i="3"/>
  <c r="BM37" i="3"/>
  <c r="BN37" i="3"/>
  <c r="BO37" i="3"/>
  <c r="BP37" i="3"/>
  <c r="BL37" i="3"/>
  <c r="BM38" i="3"/>
  <c r="BN38" i="3"/>
  <c r="BO38" i="3"/>
  <c r="BP38" i="3"/>
  <c r="BL38" i="3"/>
  <c r="BM39" i="3"/>
  <c r="BN39" i="3"/>
  <c r="BO39" i="3"/>
  <c r="BP39" i="3"/>
  <c r="BL39" i="3"/>
  <c r="BM40" i="3"/>
  <c r="BN40" i="3"/>
  <c r="BO40" i="3"/>
  <c r="BP40" i="3"/>
  <c r="BL40" i="3"/>
  <c r="BM41" i="3"/>
  <c r="BN41" i="3"/>
  <c r="BO41" i="3"/>
  <c r="BP41" i="3"/>
  <c r="BL41" i="3"/>
  <c r="BM42" i="3"/>
  <c r="BN42" i="3"/>
  <c r="BO42" i="3"/>
  <c r="BP42" i="3"/>
  <c r="BL42" i="3"/>
  <c r="BM43" i="3"/>
  <c r="BN43" i="3"/>
  <c r="BO43" i="3"/>
  <c r="BP43" i="3"/>
  <c r="BL43" i="3"/>
  <c r="BM44" i="3"/>
  <c r="BN44" i="3"/>
  <c r="BO44" i="3"/>
  <c r="BP44" i="3"/>
  <c r="BL44" i="3"/>
  <c r="BM45" i="3"/>
  <c r="BN45" i="3"/>
  <c r="BO45" i="3"/>
  <c r="BP45" i="3"/>
  <c r="BL45" i="3"/>
  <c r="BM46" i="3"/>
  <c r="BN46" i="3"/>
  <c r="BO46" i="3"/>
  <c r="BP46" i="3"/>
  <c r="BL46" i="3"/>
  <c r="BM47" i="3"/>
  <c r="BN47" i="3"/>
  <c r="BO47" i="3"/>
  <c r="BP47" i="3"/>
  <c r="BL47" i="3"/>
  <c r="BM48" i="3"/>
  <c r="BN48" i="3"/>
  <c r="BO48" i="3"/>
  <c r="BP48" i="3"/>
  <c r="BL48" i="3"/>
  <c r="BM49" i="3"/>
  <c r="BN49" i="3"/>
  <c r="BO49" i="3"/>
  <c r="BP49" i="3"/>
  <c r="BL49" i="3"/>
  <c r="BM50" i="3"/>
  <c r="BN50" i="3"/>
  <c r="BO50" i="3"/>
  <c r="BP50" i="3"/>
  <c r="BL50" i="3"/>
  <c r="BM51" i="3"/>
  <c r="BN51" i="3"/>
  <c r="BO51" i="3"/>
  <c r="BP51" i="3"/>
  <c r="BL51" i="3"/>
  <c r="BM52" i="3"/>
  <c r="BN52" i="3"/>
  <c r="BO52" i="3"/>
  <c r="BP52" i="3"/>
  <c r="BL52" i="3"/>
  <c r="BM53" i="3"/>
  <c r="BN53" i="3"/>
  <c r="BO53" i="3"/>
  <c r="BP53" i="3"/>
  <c r="BL53" i="3"/>
  <c r="BM54" i="3"/>
  <c r="BN54" i="3"/>
  <c r="BO54" i="3"/>
  <c r="BP54" i="3"/>
  <c r="BL54" i="3"/>
  <c r="BM55" i="3"/>
  <c r="BN55" i="3"/>
  <c r="BO55" i="3"/>
  <c r="BP55" i="3"/>
  <c r="BL55" i="3"/>
  <c r="BM56" i="3"/>
  <c r="BN56" i="3"/>
  <c r="BO56" i="3"/>
  <c r="BP56" i="3"/>
  <c r="BL56" i="3"/>
  <c r="BM57" i="3"/>
  <c r="BN57" i="3"/>
  <c r="BO57" i="3"/>
  <c r="BP57" i="3"/>
  <c r="BL57" i="3"/>
  <c r="BM58" i="3"/>
  <c r="BN58" i="3"/>
  <c r="BO58" i="3"/>
  <c r="BP58" i="3"/>
  <c r="BL58" i="3"/>
  <c r="BM59" i="3"/>
  <c r="BN59" i="3"/>
  <c r="BO59" i="3"/>
  <c r="BP59" i="3"/>
  <c r="BL59" i="3"/>
  <c r="BM60" i="3"/>
  <c r="BN60" i="3"/>
  <c r="BO60" i="3"/>
  <c r="BP60" i="3"/>
  <c r="BL60" i="3"/>
  <c r="BM61" i="3"/>
  <c r="BN61" i="3"/>
  <c r="BO61" i="3"/>
  <c r="BP61" i="3"/>
  <c r="BL61" i="3"/>
  <c r="BM62" i="3"/>
  <c r="BN62" i="3"/>
  <c r="BO62" i="3"/>
  <c r="BP62" i="3"/>
  <c r="BL62" i="3"/>
  <c r="BM63" i="3"/>
  <c r="BN63" i="3"/>
  <c r="BO63" i="3"/>
  <c r="BP63" i="3"/>
  <c r="BL63" i="3"/>
  <c r="BM64" i="3"/>
  <c r="BN64" i="3"/>
  <c r="BO64" i="3"/>
  <c r="BP64" i="3"/>
  <c r="BL64" i="3"/>
  <c r="BM65" i="3"/>
  <c r="BN65" i="3"/>
  <c r="BO65" i="3"/>
  <c r="BP65" i="3"/>
  <c r="BL65" i="3"/>
  <c r="BM66" i="3"/>
  <c r="BN66" i="3"/>
  <c r="BO66" i="3"/>
  <c r="BP66" i="3"/>
  <c r="BL66" i="3"/>
  <c r="BM67" i="3"/>
  <c r="BN67" i="3"/>
  <c r="BO67" i="3"/>
  <c r="BP67" i="3"/>
  <c r="BL67" i="3"/>
  <c r="BM68" i="3"/>
  <c r="BN68" i="3"/>
  <c r="BO68" i="3"/>
  <c r="BP68" i="3"/>
  <c r="BL68" i="3"/>
  <c r="BM69" i="3"/>
  <c r="BN69" i="3"/>
  <c r="BO69" i="3"/>
  <c r="BP69" i="3"/>
  <c r="BL69" i="3"/>
  <c r="BM70" i="3"/>
  <c r="BN70" i="3"/>
  <c r="BO70" i="3"/>
  <c r="BP70" i="3"/>
  <c r="BL70" i="3"/>
  <c r="BM71" i="3"/>
  <c r="BN71" i="3"/>
  <c r="BO71" i="3"/>
  <c r="BP71" i="3"/>
  <c r="BL71" i="3"/>
  <c r="BM72" i="3"/>
  <c r="BN72" i="3"/>
  <c r="BO72" i="3"/>
  <c r="BP72" i="3"/>
  <c r="BL72" i="3"/>
  <c r="BM73" i="3"/>
  <c r="BN73" i="3"/>
  <c r="BO73" i="3"/>
  <c r="BP73" i="3"/>
  <c r="BL73" i="3"/>
  <c r="BM74" i="3"/>
  <c r="BN74" i="3"/>
  <c r="BO74" i="3"/>
  <c r="BP74" i="3"/>
  <c r="BL74" i="3"/>
  <c r="BM75" i="3"/>
  <c r="BN75" i="3"/>
  <c r="BO75" i="3"/>
  <c r="BP75" i="3"/>
  <c r="BL75" i="3"/>
  <c r="BM76" i="3"/>
  <c r="BN76" i="3"/>
  <c r="BO76" i="3"/>
  <c r="BP76" i="3"/>
  <c r="BL76" i="3"/>
  <c r="BM77" i="3"/>
  <c r="BN77" i="3"/>
  <c r="BO77" i="3"/>
  <c r="BP77" i="3"/>
  <c r="BL77" i="3"/>
  <c r="BM78" i="3"/>
  <c r="BN78" i="3"/>
  <c r="BO78" i="3"/>
  <c r="BP78" i="3"/>
  <c r="BL78" i="3"/>
  <c r="BM79" i="3"/>
  <c r="BN79" i="3"/>
  <c r="BO79" i="3"/>
  <c r="BP79" i="3"/>
  <c r="BL79" i="3"/>
  <c r="BM80" i="3"/>
  <c r="BN80" i="3"/>
  <c r="BO80" i="3"/>
  <c r="BP80" i="3"/>
  <c r="BL80" i="3"/>
  <c r="BM81" i="3"/>
  <c r="BN81" i="3"/>
  <c r="BO81" i="3"/>
  <c r="BP81" i="3"/>
  <c r="BL81" i="3"/>
  <c r="BM82" i="3"/>
  <c r="BN82" i="3"/>
  <c r="BO82" i="3"/>
  <c r="BP82" i="3"/>
  <c r="BL82" i="3"/>
  <c r="BM83" i="3"/>
  <c r="BN83" i="3"/>
  <c r="BO83" i="3"/>
  <c r="BP83" i="3"/>
  <c r="BL83" i="3"/>
  <c r="BM84" i="3"/>
  <c r="BN84" i="3"/>
  <c r="BO84" i="3"/>
  <c r="BP84" i="3"/>
  <c r="BL84" i="3"/>
  <c r="BM85" i="3"/>
  <c r="BN85" i="3"/>
  <c r="BO85" i="3"/>
  <c r="BP85" i="3"/>
  <c r="BL85" i="3"/>
  <c r="BM86" i="3"/>
  <c r="BN86" i="3"/>
  <c r="BO86" i="3"/>
  <c r="BP86" i="3"/>
  <c r="BL86" i="3"/>
  <c r="BM87" i="3"/>
  <c r="BN87" i="3"/>
  <c r="BO87" i="3"/>
  <c r="BP87" i="3"/>
  <c r="BL87" i="3"/>
  <c r="BM88" i="3"/>
  <c r="BN88" i="3"/>
  <c r="BO88" i="3"/>
  <c r="BP88" i="3"/>
  <c r="BL88" i="3"/>
  <c r="BM89" i="3"/>
  <c r="BN89" i="3"/>
  <c r="BO89" i="3"/>
  <c r="BP89" i="3"/>
  <c r="BL89" i="3"/>
  <c r="BM90" i="3"/>
  <c r="BN90" i="3"/>
  <c r="BO90" i="3"/>
  <c r="BP90" i="3"/>
  <c r="BL90" i="3"/>
  <c r="BM91" i="3"/>
  <c r="BN91" i="3"/>
  <c r="BO91" i="3"/>
  <c r="BP91" i="3"/>
  <c r="BL91" i="3"/>
  <c r="BM92" i="3"/>
  <c r="BN92" i="3"/>
  <c r="BO92" i="3"/>
  <c r="BP92" i="3"/>
  <c r="BL92" i="3"/>
  <c r="BM93" i="3"/>
  <c r="BN93" i="3"/>
  <c r="BO93" i="3"/>
  <c r="BP93" i="3"/>
  <c r="BL93" i="3"/>
  <c r="BM94" i="3"/>
  <c r="BN94" i="3"/>
  <c r="BO94" i="3"/>
  <c r="BP94" i="3"/>
  <c r="BL94" i="3"/>
  <c r="BM95" i="3"/>
  <c r="BN95" i="3"/>
  <c r="BO95" i="3"/>
  <c r="BP95" i="3"/>
  <c r="BL95" i="3"/>
  <c r="BM96" i="3"/>
  <c r="BN96" i="3"/>
  <c r="BO96" i="3"/>
  <c r="BP96" i="3"/>
  <c r="BL96" i="3"/>
  <c r="BM97" i="3"/>
  <c r="BN97" i="3"/>
  <c r="BO97" i="3"/>
  <c r="BP97" i="3"/>
  <c r="BL97" i="3"/>
  <c r="BM98" i="3"/>
  <c r="BN98" i="3"/>
  <c r="BO98" i="3"/>
  <c r="BP98" i="3"/>
  <c r="BL98" i="3"/>
  <c r="BM99" i="3"/>
  <c r="BN99" i="3"/>
  <c r="BO99" i="3"/>
  <c r="BP99" i="3"/>
  <c r="BL99" i="3"/>
  <c r="BM100" i="3"/>
  <c r="BN100" i="3"/>
  <c r="BO100" i="3"/>
  <c r="BP100" i="3"/>
  <c r="BL100" i="3"/>
  <c r="BM101" i="3"/>
  <c r="BN101" i="3"/>
  <c r="BO101" i="3"/>
  <c r="BP101" i="3"/>
  <c r="BL101" i="3"/>
  <c r="BM102" i="3"/>
  <c r="BN102" i="3"/>
  <c r="BO102" i="3"/>
  <c r="BP102" i="3"/>
  <c r="BL102" i="3"/>
  <c r="BM103" i="3"/>
  <c r="BN103" i="3"/>
  <c r="BO103" i="3"/>
  <c r="BP103" i="3"/>
  <c r="BL103" i="3"/>
  <c r="BM104" i="3"/>
  <c r="BN104" i="3"/>
  <c r="BO104" i="3"/>
  <c r="BP104" i="3"/>
  <c r="BL104" i="3"/>
  <c r="BM105" i="3"/>
  <c r="BN105" i="3"/>
  <c r="BO105" i="3"/>
  <c r="BP105" i="3"/>
  <c r="BL105" i="3"/>
  <c r="BM106" i="3"/>
  <c r="BN106" i="3"/>
  <c r="BO106" i="3"/>
  <c r="BP106" i="3"/>
  <c r="BL106" i="3"/>
  <c r="BM107" i="3"/>
  <c r="BN107" i="3"/>
  <c r="BO107" i="3"/>
  <c r="BP107" i="3"/>
  <c r="BL107" i="3"/>
  <c r="BM108" i="3"/>
  <c r="BN108" i="3"/>
  <c r="BO108" i="3"/>
  <c r="BP108" i="3"/>
  <c r="BL108" i="3"/>
  <c r="BM109" i="3"/>
  <c r="BN109" i="3"/>
  <c r="BO109" i="3"/>
  <c r="BP109" i="3"/>
  <c r="BL109" i="3"/>
  <c r="BM110" i="3"/>
  <c r="BN110" i="3"/>
  <c r="BO110" i="3"/>
  <c r="BP110" i="3"/>
  <c r="BL110" i="3"/>
  <c r="BM111" i="3"/>
  <c r="BN111" i="3"/>
  <c r="BO111" i="3"/>
  <c r="BP111" i="3"/>
  <c r="BL111" i="3"/>
  <c r="BM112" i="3"/>
  <c r="BN112" i="3"/>
  <c r="BO112" i="3"/>
  <c r="BP112" i="3"/>
  <c r="BL112" i="3"/>
  <c r="BM113" i="3"/>
  <c r="BN113" i="3"/>
  <c r="BO113" i="3"/>
  <c r="BP113" i="3"/>
  <c r="BL113" i="3"/>
  <c r="BM114" i="3"/>
  <c r="BN114" i="3"/>
  <c r="BO114" i="3"/>
  <c r="BP114" i="3"/>
  <c r="BL114" i="3"/>
  <c r="BM115" i="3"/>
  <c r="BN115" i="3"/>
  <c r="BO115" i="3"/>
  <c r="BP115" i="3"/>
  <c r="BL115" i="3"/>
  <c r="BM116" i="3"/>
  <c r="BN116" i="3"/>
  <c r="BO116" i="3"/>
  <c r="BP116" i="3"/>
  <c r="BL116" i="3"/>
  <c r="BM117" i="3"/>
  <c r="BN117" i="3"/>
  <c r="BO117" i="3"/>
  <c r="BP117" i="3"/>
  <c r="BL117" i="3"/>
  <c r="BM118" i="3"/>
  <c r="BN118" i="3"/>
  <c r="BO118" i="3"/>
  <c r="BP118" i="3"/>
  <c r="BL118" i="3"/>
  <c r="BM119" i="3"/>
  <c r="BN119" i="3"/>
  <c r="BO119" i="3"/>
  <c r="BP119" i="3"/>
  <c r="BL119" i="3"/>
  <c r="BM120" i="3"/>
  <c r="BN120" i="3"/>
  <c r="BO120" i="3"/>
  <c r="BP120" i="3"/>
  <c r="BL120" i="3"/>
  <c r="BM121" i="3"/>
  <c r="BN121" i="3"/>
  <c r="BO121" i="3"/>
  <c r="BP121" i="3"/>
  <c r="BL121" i="3"/>
  <c r="BM122" i="3"/>
  <c r="BN122" i="3"/>
  <c r="BO122" i="3"/>
  <c r="BP122" i="3"/>
  <c r="BL122" i="3"/>
  <c r="BM123" i="3"/>
  <c r="BN123" i="3"/>
  <c r="BO123" i="3"/>
  <c r="BP123" i="3"/>
  <c r="BL123" i="3"/>
  <c r="BM124" i="3"/>
  <c r="BN124" i="3"/>
  <c r="BO124" i="3"/>
  <c r="BP124" i="3"/>
  <c r="BL124" i="3"/>
  <c r="BM125" i="3"/>
  <c r="BN125" i="3"/>
  <c r="BO125" i="3"/>
  <c r="BP125" i="3"/>
  <c r="BL125" i="3"/>
  <c r="BM126" i="3"/>
  <c r="BN126" i="3"/>
  <c r="BO126" i="3"/>
  <c r="BP126" i="3"/>
  <c r="BL126" i="3"/>
  <c r="BM127" i="3"/>
  <c r="BN127" i="3"/>
  <c r="BO127" i="3"/>
  <c r="BP127" i="3"/>
  <c r="BL127" i="3"/>
  <c r="BM128" i="3"/>
  <c r="BN128" i="3"/>
  <c r="BO128" i="3"/>
  <c r="BP128" i="3"/>
  <c r="BL128" i="3"/>
  <c r="BM129" i="3"/>
  <c r="BN129" i="3"/>
  <c r="BO129" i="3"/>
  <c r="BP129" i="3"/>
  <c r="BL129" i="3"/>
  <c r="BM130" i="3"/>
  <c r="BN130" i="3"/>
  <c r="BO130" i="3"/>
  <c r="BP130" i="3"/>
  <c r="BL130" i="3"/>
  <c r="BM131" i="3"/>
  <c r="BN131" i="3"/>
  <c r="BO131" i="3"/>
  <c r="BP131" i="3"/>
  <c r="BL131" i="3"/>
  <c r="BM132" i="3"/>
  <c r="BN132" i="3"/>
  <c r="BO132" i="3"/>
  <c r="BP132" i="3"/>
  <c r="BL132" i="3"/>
  <c r="BM133" i="3"/>
  <c r="BN133" i="3"/>
  <c r="BO133" i="3"/>
  <c r="BP133" i="3"/>
  <c r="BL133" i="3"/>
  <c r="BM134" i="3"/>
  <c r="BN134" i="3"/>
  <c r="BO134" i="3"/>
  <c r="BP134" i="3"/>
  <c r="BL134" i="3"/>
  <c r="BM135" i="3"/>
  <c r="BN135" i="3"/>
  <c r="BO135" i="3"/>
  <c r="BP135" i="3"/>
  <c r="BL135" i="3"/>
  <c r="BM136" i="3"/>
  <c r="BN136" i="3"/>
  <c r="BO136" i="3"/>
  <c r="BP136" i="3"/>
  <c r="BL136" i="3"/>
  <c r="BM137" i="3"/>
  <c r="BN137" i="3"/>
  <c r="BO137" i="3"/>
  <c r="BP137" i="3"/>
  <c r="BL137" i="3"/>
  <c r="BM138" i="3"/>
  <c r="BN138" i="3"/>
  <c r="BO138" i="3"/>
  <c r="BP138" i="3"/>
  <c r="BL138" i="3"/>
  <c r="BM139" i="3"/>
  <c r="BN139" i="3"/>
  <c r="BO139" i="3"/>
  <c r="BP139" i="3"/>
  <c r="BL139" i="3"/>
  <c r="BM140" i="3"/>
  <c r="BN140" i="3"/>
  <c r="BO140" i="3"/>
  <c r="BP140" i="3"/>
  <c r="BL140" i="3"/>
  <c r="BM141" i="3"/>
  <c r="BN141" i="3"/>
  <c r="BO141" i="3"/>
  <c r="BP141" i="3"/>
  <c r="BL141" i="3"/>
  <c r="BM142" i="3"/>
  <c r="BN142" i="3"/>
  <c r="BO142" i="3"/>
  <c r="BP142" i="3"/>
  <c r="BL142" i="3"/>
  <c r="BM143" i="3"/>
  <c r="BN143" i="3"/>
  <c r="BO143" i="3"/>
  <c r="BP143" i="3"/>
  <c r="BL143" i="3"/>
  <c r="BM144" i="3"/>
  <c r="BN144" i="3"/>
  <c r="BO144" i="3"/>
  <c r="BP144" i="3"/>
  <c r="BL144" i="3"/>
  <c r="BM145" i="3"/>
  <c r="BN145" i="3"/>
  <c r="BO145" i="3"/>
  <c r="BP145" i="3"/>
  <c r="BL145" i="3"/>
  <c r="BM146" i="3"/>
  <c r="BN146" i="3"/>
  <c r="BO146" i="3"/>
  <c r="BP146" i="3"/>
  <c r="BL146" i="3"/>
  <c r="BM147" i="3"/>
  <c r="BN147" i="3"/>
  <c r="BO147" i="3"/>
  <c r="BP147" i="3"/>
  <c r="BL147" i="3"/>
  <c r="BM148" i="3"/>
  <c r="BN148" i="3"/>
  <c r="BO148" i="3"/>
  <c r="BP148" i="3"/>
  <c r="BL148" i="3"/>
  <c r="BM149" i="3"/>
  <c r="BN149" i="3"/>
  <c r="BO149" i="3"/>
  <c r="BP149" i="3"/>
  <c r="BL149" i="3"/>
  <c r="BM150" i="3"/>
  <c r="BN150" i="3"/>
  <c r="BO150" i="3"/>
  <c r="BP150" i="3"/>
  <c r="BL150" i="3"/>
  <c r="BM151" i="3"/>
  <c r="BN151" i="3"/>
  <c r="BO151" i="3"/>
  <c r="BP151" i="3"/>
  <c r="BL151" i="3"/>
  <c r="BM152" i="3"/>
  <c r="BN152" i="3"/>
  <c r="BO152" i="3"/>
  <c r="BP152" i="3"/>
  <c r="BL152" i="3"/>
  <c r="BM153" i="3"/>
  <c r="BN153" i="3"/>
  <c r="BO153" i="3"/>
  <c r="BP153" i="3"/>
  <c r="BL153" i="3"/>
  <c r="BM154" i="3"/>
  <c r="BN154" i="3"/>
  <c r="BO154" i="3"/>
  <c r="BP154" i="3"/>
  <c r="BL154" i="3"/>
  <c r="BM155" i="3"/>
  <c r="BN155" i="3"/>
  <c r="BO155" i="3"/>
  <c r="BP155" i="3"/>
  <c r="BL155" i="3"/>
  <c r="BM156" i="3"/>
  <c r="BN156" i="3"/>
  <c r="BO156" i="3"/>
  <c r="BP156" i="3"/>
  <c r="BL156" i="3"/>
  <c r="BM157" i="3"/>
  <c r="BN157" i="3"/>
  <c r="BO157" i="3"/>
  <c r="BP157" i="3"/>
  <c r="BL157" i="3"/>
  <c r="BM158" i="3"/>
  <c r="BN158" i="3"/>
  <c r="BO158" i="3"/>
  <c r="BP158" i="3"/>
  <c r="BL158" i="3"/>
  <c r="BM159" i="3"/>
  <c r="BN159" i="3"/>
  <c r="BO159" i="3"/>
  <c r="BP159" i="3"/>
  <c r="BL159" i="3"/>
  <c r="BM160" i="3"/>
  <c r="BN160" i="3"/>
  <c r="BO160" i="3"/>
  <c r="BP160" i="3"/>
  <c r="BL160" i="3"/>
  <c r="BM161" i="3"/>
  <c r="BN161" i="3"/>
  <c r="BO161" i="3"/>
  <c r="BP161" i="3"/>
  <c r="BL161" i="3"/>
  <c r="BM162" i="3"/>
  <c r="BN162" i="3"/>
  <c r="BO162" i="3"/>
  <c r="BP162" i="3"/>
  <c r="BL162" i="3"/>
  <c r="BM163" i="3"/>
  <c r="BN163" i="3"/>
  <c r="BO163" i="3"/>
  <c r="BP163" i="3"/>
  <c r="BL163" i="3"/>
  <c r="BM164" i="3"/>
  <c r="BN164" i="3"/>
  <c r="BO164" i="3"/>
  <c r="BP164" i="3"/>
  <c r="BL164" i="3"/>
  <c r="BM165" i="3"/>
  <c r="BN165" i="3"/>
  <c r="BO165" i="3"/>
  <c r="BP165" i="3"/>
  <c r="BL165" i="3"/>
  <c r="BM166" i="3"/>
  <c r="BN166" i="3"/>
  <c r="BO166" i="3"/>
  <c r="BP166" i="3"/>
  <c r="BL166" i="3"/>
  <c r="BM167" i="3"/>
  <c r="BN167" i="3"/>
  <c r="BO167" i="3"/>
  <c r="BP167" i="3"/>
  <c r="BL167" i="3"/>
  <c r="BM168" i="3"/>
  <c r="BN168" i="3"/>
  <c r="BO168" i="3"/>
  <c r="BP168" i="3"/>
  <c r="BL168" i="3"/>
  <c r="BM169" i="3"/>
  <c r="BN169" i="3"/>
  <c r="BO169" i="3"/>
  <c r="BP169" i="3"/>
  <c r="BL169" i="3"/>
  <c r="BM170" i="3"/>
  <c r="BN170" i="3"/>
  <c r="BO170" i="3"/>
  <c r="BP170" i="3"/>
  <c r="BL170" i="3"/>
  <c r="BM171" i="3"/>
  <c r="BN171" i="3"/>
  <c r="BO171" i="3"/>
  <c r="BP171" i="3"/>
  <c r="BL171" i="3"/>
  <c r="BM172" i="3"/>
  <c r="BN172" i="3"/>
  <c r="BO172" i="3"/>
  <c r="BP172" i="3"/>
  <c r="BL172" i="3"/>
  <c r="BM173" i="3"/>
  <c r="BN173" i="3"/>
  <c r="BO173" i="3"/>
  <c r="BP173" i="3"/>
  <c r="BL173" i="3"/>
  <c r="BM174" i="3"/>
  <c r="BN174" i="3"/>
  <c r="BO174" i="3"/>
  <c r="BP174" i="3"/>
  <c r="BL174" i="3"/>
  <c r="BM175" i="3"/>
  <c r="BN175" i="3"/>
  <c r="BO175" i="3"/>
  <c r="BP175" i="3"/>
  <c r="BL175" i="3"/>
  <c r="BM176" i="3"/>
  <c r="BN176" i="3"/>
  <c r="BO176" i="3"/>
  <c r="BP176" i="3"/>
  <c r="BL176" i="3"/>
  <c r="BM177" i="3"/>
  <c r="BN177" i="3"/>
  <c r="BO177" i="3"/>
  <c r="BP177" i="3"/>
  <c r="BL177" i="3"/>
  <c r="BM178" i="3"/>
  <c r="BN178" i="3"/>
  <c r="BO178" i="3"/>
  <c r="BP178" i="3"/>
  <c r="BL178" i="3"/>
  <c r="BM179" i="3"/>
  <c r="BN179" i="3"/>
  <c r="BO179" i="3"/>
  <c r="BP179" i="3"/>
  <c r="BL179" i="3"/>
  <c r="BM180" i="3"/>
  <c r="BN180" i="3"/>
  <c r="BO180" i="3"/>
  <c r="BP180" i="3"/>
  <c r="BL180" i="3"/>
  <c r="BM181" i="3"/>
  <c r="BN181" i="3"/>
  <c r="BO181" i="3"/>
  <c r="BP181" i="3"/>
  <c r="BL181" i="3"/>
  <c r="BM182" i="3"/>
  <c r="BN182" i="3"/>
  <c r="BO182" i="3"/>
  <c r="BP182" i="3"/>
  <c r="BL182" i="3"/>
  <c r="AZ199" i="3"/>
  <c r="AZ200" i="3"/>
  <c r="AZ201" i="3"/>
  <c r="AZ202" i="3"/>
  <c r="AZ203" i="3"/>
  <c r="AZ204" i="3"/>
  <c r="AZ205" i="3"/>
  <c r="AZ206" i="3"/>
  <c r="AZ207" i="3"/>
  <c r="AZ208" i="3"/>
  <c r="AZ209" i="3"/>
  <c r="AZ210" i="3"/>
  <c r="AZ211" i="3"/>
  <c r="AZ212" i="3"/>
  <c r="AZ213" i="3"/>
  <c r="AZ214" i="3"/>
  <c r="AZ215" i="3"/>
  <c r="AZ216" i="3"/>
  <c r="AZ217" i="3"/>
  <c r="AZ218" i="3"/>
  <c r="AZ219" i="3"/>
  <c r="AZ220" i="3"/>
  <c r="AZ221" i="3"/>
  <c r="AZ222" i="3"/>
  <c r="AZ223" i="3"/>
  <c r="H13" i="3"/>
  <c r="AC13" i="3"/>
  <c r="G13"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AT5" i="3"/>
  <c r="L19" i="6"/>
  <c r="L20" i="6"/>
  <c r="M20" i="6"/>
  <c r="I20" i="6"/>
  <c r="H20" i="6"/>
  <c r="R20" i="6"/>
  <c r="G1" i="15"/>
  <c r="M47" i="15"/>
  <c r="C83" i="78"/>
  <c r="C82" i="78"/>
  <c r="C76" i="78"/>
  <c r="C75" i="78"/>
  <c r="C80" i="78"/>
  <c r="C79" i="78"/>
  <c r="Q65" i="78"/>
  <c r="M47" i="78"/>
  <c r="J50" i="78"/>
  <c r="L60" i="78"/>
  <c r="Q66" i="78"/>
  <c r="Q75" i="78"/>
  <c r="D7" i="1"/>
  <c r="L47"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J57" i="78"/>
  <c r="J55" i="78"/>
  <c r="J58" i="78"/>
  <c r="J59" i="78"/>
  <c r="J60" i="78"/>
  <c r="Q59" i="78"/>
  <c r="N59" i="78"/>
  <c r="M59" i="78"/>
  <c r="F59" i="78"/>
  <c r="Q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3" i="78"/>
  <c r="N20" i="1"/>
  <c r="N6" i="1"/>
  <c r="Y6" i="1"/>
  <c r="E38" i="39"/>
  <c r="E7" i="39"/>
  <c r="BM5" i="3"/>
  <c r="BO5" i="3"/>
  <c r="F29" i="6"/>
  <c r="BN5" i="3"/>
  <c r="BP5" i="3"/>
  <c r="G29" i="6"/>
  <c r="E29" i="6"/>
  <c r="E30" i="6"/>
  <c r="G1" i="68"/>
  <c r="BB11" i="3"/>
  <c r="BC11" i="3"/>
  <c r="I38" i="39"/>
  <c r="G38" i="39"/>
  <c r="I7" i="39"/>
  <c r="G7" i="39"/>
  <c r="I5" i="39"/>
  <c r="G5" i="39"/>
  <c r="E5" i="39"/>
  <c r="L51" i="77"/>
  <c r="L50" i="77"/>
  <c r="L49" i="77"/>
  <c r="L48" i="77"/>
  <c r="L47" i="77"/>
  <c r="L46" i="77"/>
  <c r="L45" i="77"/>
  <c r="L44" i="77"/>
  <c r="L43" i="77"/>
  <c r="L42" i="77"/>
  <c r="L41" i="77"/>
  <c r="L40" i="77"/>
  <c r="L39" i="77"/>
  <c r="L38" i="77"/>
  <c r="L37" i="77"/>
  <c r="L36" i="77"/>
  <c r="L35" i="77"/>
  <c r="L34" i="77"/>
  <c r="L33" i="77"/>
  <c r="L32" i="77"/>
  <c r="L31" i="77"/>
  <c r="L30" i="77"/>
  <c r="L29" i="77"/>
  <c r="L28" i="77"/>
  <c r="L27" i="77"/>
  <c r="L26" i="77"/>
  <c r="L25" i="77"/>
  <c r="L24" i="77"/>
  <c r="L23" i="77"/>
  <c r="L22" i="77"/>
  <c r="L21" i="77"/>
  <c r="L20" i="77"/>
  <c r="L19" i="77"/>
  <c r="L18" i="77"/>
  <c r="L17" i="77"/>
  <c r="L16" i="77"/>
  <c r="L15" i="77"/>
  <c r="L14" i="77"/>
  <c r="L13" i="77"/>
  <c r="L12" i="77"/>
  <c r="L11" i="77"/>
  <c r="L10" i="77"/>
  <c r="L9" i="77"/>
  <c r="L8" i="77"/>
  <c r="L7" i="77"/>
  <c r="L6" i="77"/>
  <c r="L5" i="77"/>
  <c r="L4" i="77"/>
  <c r="L3" i="77"/>
  <c r="L2"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J50" i="15"/>
  <c r="C18" i="43"/>
  <c r="AD5" i="3"/>
  <c r="AH5" i="3"/>
  <c r="AL5" i="3"/>
  <c r="AP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D183" i="3"/>
  <c r="BE183" i="3"/>
  <c r="BF183" i="3"/>
  <c r="BG183" i="3"/>
  <c r="BH183" i="3"/>
  <c r="BI183" i="3"/>
  <c r="BJ183" i="3"/>
  <c r="BK183" i="3"/>
  <c r="BM183" i="3"/>
  <c r="BN183" i="3"/>
  <c r="BO183" i="3"/>
  <c r="BP183" i="3"/>
  <c r="BQ183" i="3"/>
  <c r="BR183" i="3"/>
  <c r="BS183" i="3"/>
  <c r="BT183" i="3"/>
  <c r="BL183" i="3"/>
  <c r="BD184" i="3"/>
  <c r="BE184" i="3"/>
  <c r="BF184" i="3"/>
  <c r="BG184" i="3"/>
  <c r="BH184" i="3"/>
  <c r="BI184" i="3"/>
  <c r="BJ184" i="3"/>
  <c r="BK184" i="3"/>
  <c r="BM184" i="3"/>
  <c r="BN184" i="3"/>
  <c r="BO184" i="3"/>
  <c r="BP184" i="3"/>
  <c r="BQ184" i="3"/>
  <c r="BR184" i="3"/>
  <c r="BS184" i="3"/>
  <c r="BT184" i="3"/>
  <c r="BL184" i="3"/>
  <c r="BD185" i="3"/>
  <c r="BE185" i="3"/>
  <c r="BF185" i="3"/>
  <c r="BG185" i="3"/>
  <c r="BH185" i="3"/>
  <c r="BI185" i="3"/>
  <c r="BJ185" i="3"/>
  <c r="BK185" i="3"/>
  <c r="BM185" i="3"/>
  <c r="BN185" i="3"/>
  <c r="BO185" i="3"/>
  <c r="BP185" i="3"/>
  <c r="BQ185" i="3"/>
  <c r="BR185" i="3"/>
  <c r="BS185" i="3"/>
  <c r="BT185" i="3"/>
  <c r="BL185" i="3"/>
  <c r="BD186" i="3"/>
  <c r="BE186" i="3"/>
  <c r="BF186" i="3"/>
  <c r="BG186" i="3"/>
  <c r="BH186" i="3"/>
  <c r="BI186" i="3"/>
  <c r="BJ186" i="3"/>
  <c r="BK186" i="3"/>
  <c r="BM186" i="3"/>
  <c r="BN186" i="3"/>
  <c r="BO186" i="3"/>
  <c r="BP186" i="3"/>
  <c r="BQ186" i="3"/>
  <c r="BR186" i="3"/>
  <c r="BS186" i="3"/>
  <c r="BT186" i="3"/>
  <c r="BL186" i="3"/>
  <c r="BD187" i="3"/>
  <c r="BE187" i="3"/>
  <c r="BF187" i="3"/>
  <c r="BG187" i="3"/>
  <c r="BH187" i="3"/>
  <c r="BI187" i="3"/>
  <c r="BJ187" i="3"/>
  <c r="BK187" i="3"/>
  <c r="BM187" i="3"/>
  <c r="BN187" i="3"/>
  <c r="BO187" i="3"/>
  <c r="BP187" i="3"/>
  <c r="BQ187" i="3"/>
  <c r="BR187" i="3"/>
  <c r="BS187" i="3"/>
  <c r="BT187" i="3"/>
  <c r="BL187" i="3"/>
  <c r="BD188" i="3"/>
  <c r="BE188" i="3"/>
  <c r="BF188" i="3"/>
  <c r="BG188" i="3"/>
  <c r="BH188" i="3"/>
  <c r="BI188" i="3"/>
  <c r="BJ188" i="3"/>
  <c r="BK188" i="3"/>
  <c r="BM188" i="3"/>
  <c r="BN188" i="3"/>
  <c r="BO188" i="3"/>
  <c r="BP188" i="3"/>
  <c r="BQ188" i="3"/>
  <c r="BR188" i="3"/>
  <c r="BS188" i="3"/>
  <c r="BT188" i="3"/>
  <c r="BL188" i="3"/>
  <c r="BD189" i="3"/>
  <c r="BE189" i="3"/>
  <c r="BF189" i="3"/>
  <c r="BG189" i="3"/>
  <c r="BH189" i="3"/>
  <c r="BI189" i="3"/>
  <c r="BJ189" i="3"/>
  <c r="BK189" i="3"/>
  <c r="BM189" i="3"/>
  <c r="BN189" i="3"/>
  <c r="BO189" i="3"/>
  <c r="BP189" i="3"/>
  <c r="BQ189" i="3"/>
  <c r="BR189" i="3"/>
  <c r="BS189" i="3"/>
  <c r="BT189" i="3"/>
  <c r="BL189" i="3"/>
  <c r="BD190" i="3"/>
  <c r="BE190" i="3"/>
  <c r="BF190" i="3"/>
  <c r="BG190" i="3"/>
  <c r="BH190" i="3"/>
  <c r="BI190" i="3"/>
  <c r="BJ190" i="3"/>
  <c r="BK190" i="3"/>
  <c r="BM190" i="3"/>
  <c r="BN190" i="3"/>
  <c r="BO190" i="3"/>
  <c r="BP190" i="3"/>
  <c r="BQ190" i="3"/>
  <c r="BR190" i="3"/>
  <c r="BS190" i="3"/>
  <c r="BT190" i="3"/>
  <c r="BL190" i="3"/>
  <c r="BD191" i="3"/>
  <c r="BE191" i="3"/>
  <c r="BF191" i="3"/>
  <c r="BG191" i="3"/>
  <c r="BH191" i="3"/>
  <c r="BI191" i="3"/>
  <c r="BJ191" i="3"/>
  <c r="BK191" i="3"/>
  <c r="BM191" i="3"/>
  <c r="BN191" i="3"/>
  <c r="BO191" i="3"/>
  <c r="BP191" i="3"/>
  <c r="BQ191" i="3"/>
  <c r="BR191" i="3"/>
  <c r="BS191" i="3"/>
  <c r="BT191" i="3"/>
  <c r="BL191" i="3"/>
  <c r="BD192" i="3"/>
  <c r="BE192" i="3"/>
  <c r="BF192" i="3"/>
  <c r="BG192" i="3"/>
  <c r="BH192" i="3"/>
  <c r="BI192" i="3"/>
  <c r="BJ192" i="3"/>
  <c r="BK192" i="3"/>
  <c r="BM192" i="3"/>
  <c r="BN192" i="3"/>
  <c r="BO192" i="3"/>
  <c r="BP192" i="3"/>
  <c r="BQ192" i="3"/>
  <c r="BR192" i="3"/>
  <c r="BS192" i="3"/>
  <c r="BT192" i="3"/>
  <c r="BL192" i="3"/>
  <c r="BD193" i="3"/>
  <c r="BE193" i="3"/>
  <c r="BF193" i="3"/>
  <c r="BG193" i="3"/>
  <c r="BH193" i="3"/>
  <c r="BI193" i="3"/>
  <c r="BJ193" i="3"/>
  <c r="BK193" i="3"/>
  <c r="BM193" i="3"/>
  <c r="BN193" i="3"/>
  <c r="BO193" i="3"/>
  <c r="BP193" i="3"/>
  <c r="BQ193" i="3"/>
  <c r="BR193" i="3"/>
  <c r="BS193" i="3"/>
  <c r="BT193" i="3"/>
  <c r="BL193" i="3"/>
  <c r="BD194" i="3"/>
  <c r="BE194" i="3"/>
  <c r="BF194" i="3"/>
  <c r="BG194" i="3"/>
  <c r="BH194" i="3"/>
  <c r="BI194" i="3"/>
  <c r="BJ194" i="3"/>
  <c r="BK194" i="3"/>
  <c r="BM194" i="3"/>
  <c r="BN194" i="3"/>
  <c r="BO194" i="3"/>
  <c r="BP194" i="3"/>
  <c r="BQ194" i="3"/>
  <c r="BR194" i="3"/>
  <c r="BS194" i="3"/>
  <c r="BT194" i="3"/>
  <c r="BL194" i="3"/>
  <c r="BD195" i="3"/>
  <c r="BE195" i="3"/>
  <c r="BF195" i="3"/>
  <c r="BG195" i="3"/>
  <c r="BH195" i="3"/>
  <c r="BI195" i="3"/>
  <c r="BJ195" i="3"/>
  <c r="BK195" i="3"/>
  <c r="BM195" i="3"/>
  <c r="BN195" i="3"/>
  <c r="BO195" i="3"/>
  <c r="BP195" i="3"/>
  <c r="BQ195" i="3"/>
  <c r="BR195" i="3"/>
  <c r="BS195" i="3"/>
  <c r="BT195" i="3"/>
  <c r="BL195" i="3"/>
  <c r="BD196" i="3"/>
  <c r="BE196" i="3"/>
  <c r="BF196" i="3"/>
  <c r="BG196" i="3"/>
  <c r="BH196" i="3"/>
  <c r="BI196" i="3"/>
  <c r="BJ196" i="3"/>
  <c r="BK196" i="3"/>
  <c r="BM196" i="3"/>
  <c r="BN196" i="3"/>
  <c r="BO196" i="3"/>
  <c r="BP196" i="3"/>
  <c r="BQ196" i="3"/>
  <c r="BR196" i="3"/>
  <c r="BS196" i="3"/>
  <c r="BT196" i="3"/>
  <c r="BL196" i="3"/>
  <c r="BD197" i="3"/>
  <c r="BE197" i="3"/>
  <c r="BF197" i="3"/>
  <c r="BG197" i="3"/>
  <c r="BH197" i="3"/>
  <c r="BI197" i="3"/>
  <c r="BJ197" i="3"/>
  <c r="BK197" i="3"/>
  <c r="BM197" i="3"/>
  <c r="BN197" i="3"/>
  <c r="BO197" i="3"/>
  <c r="BP197" i="3"/>
  <c r="BQ197" i="3"/>
  <c r="BR197" i="3"/>
  <c r="BS197" i="3"/>
  <c r="BT197" i="3"/>
  <c r="BL197" i="3"/>
  <c r="BD198" i="3"/>
  <c r="BE198" i="3"/>
  <c r="BF198" i="3"/>
  <c r="BG198" i="3"/>
  <c r="BH198" i="3"/>
  <c r="BI198" i="3"/>
  <c r="BJ198" i="3"/>
  <c r="BK198" i="3"/>
  <c r="BM198" i="3"/>
  <c r="BN198" i="3"/>
  <c r="BO198" i="3"/>
  <c r="BP198" i="3"/>
  <c r="BQ198" i="3"/>
  <c r="BR198" i="3"/>
  <c r="BS198" i="3"/>
  <c r="BT198" i="3"/>
  <c r="BL198" i="3"/>
  <c r="BD199" i="3"/>
  <c r="BE199" i="3"/>
  <c r="BF199" i="3"/>
  <c r="BG199" i="3"/>
  <c r="BH199" i="3"/>
  <c r="BI199" i="3"/>
  <c r="BJ199" i="3"/>
  <c r="BK199" i="3"/>
  <c r="BM199" i="3"/>
  <c r="BN199" i="3"/>
  <c r="BO199" i="3"/>
  <c r="BP199" i="3"/>
  <c r="BQ199" i="3"/>
  <c r="BR199" i="3"/>
  <c r="BS199" i="3"/>
  <c r="BT199" i="3"/>
  <c r="BL199" i="3"/>
  <c r="BD200" i="3"/>
  <c r="BE200" i="3"/>
  <c r="BF200" i="3"/>
  <c r="BG200" i="3"/>
  <c r="BH200" i="3"/>
  <c r="BI200" i="3"/>
  <c r="BJ200" i="3"/>
  <c r="BK200" i="3"/>
  <c r="BM200" i="3"/>
  <c r="BN200" i="3"/>
  <c r="BO200" i="3"/>
  <c r="BP200" i="3"/>
  <c r="BQ200" i="3"/>
  <c r="BR200" i="3"/>
  <c r="BS200" i="3"/>
  <c r="BT200" i="3"/>
  <c r="BL200" i="3"/>
  <c r="BD201" i="3"/>
  <c r="BE201" i="3"/>
  <c r="BF201" i="3"/>
  <c r="BG201" i="3"/>
  <c r="BH201" i="3"/>
  <c r="BI201" i="3"/>
  <c r="BJ201" i="3"/>
  <c r="BK201" i="3"/>
  <c r="BM201" i="3"/>
  <c r="BN201" i="3"/>
  <c r="BO201" i="3"/>
  <c r="BP201" i="3"/>
  <c r="BQ201" i="3"/>
  <c r="BR201" i="3"/>
  <c r="BS201" i="3"/>
  <c r="BT201" i="3"/>
  <c r="BL201" i="3"/>
  <c r="BD202" i="3"/>
  <c r="BE202" i="3"/>
  <c r="BF202" i="3"/>
  <c r="BG202" i="3"/>
  <c r="BH202" i="3"/>
  <c r="BI202" i="3"/>
  <c r="BJ202" i="3"/>
  <c r="BK202" i="3"/>
  <c r="BM202" i="3"/>
  <c r="BN202" i="3"/>
  <c r="BO202" i="3"/>
  <c r="BP202" i="3"/>
  <c r="BQ202" i="3"/>
  <c r="BR202" i="3"/>
  <c r="BS202" i="3"/>
  <c r="BT202" i="3"/>
  <c r="BL202" i="3"/>
  <c r="BD203" i="3"/>
  <c r="BE203" i="3"/>
  <c r="BF203" i="3"/>
  <c r="BG203" i="3"/>
  <c r="BH203" i="3"/>
  <c r="BI203" i="3"/>
  <c r="BJ203" i="3"/>
  <c r="BK203" i="3"/>
  <c r="BM203" i="3"/>
  <c r="BN203" i="3"/>
  <c r="BO203" i="3"/>
  <c r="BP203" i="3"/>
  <c r="BQ203" i="3"/>
  <c r="BR203" i="3"/>
  <c r="BS203" i="3"/>
  <c r="BT203" i="3"/>
  <c r="BL203" i="3"/>
  <c r="BD204" i="3"/>
  <c r="BE204" i="3"/>
  <c r="BF204" i="3"/>
  <c r="BG204" i="3"/>
  <c r="BH204" i="3"/>
  <c r="BI204" i="3"/>
  <c r="BJ204" i="3"/>
  <c r="BK204" i="3"/>
  <c r="BM204" i="3"/>
  <c r="BN204" i="3"/>
  <c r="BO204" i="3"/>
  <c r="BP204" i="3"/>
  <c r="BQ204" i="3"/>
  <c r="BR204" i="3"/>
  <c r="BS204" i="3"/>
  <c r="BT204" i="3"/>
  <c r="BL204" i="3"/>
  <c r="BD205" i="3"/>
  <c r="BE205" i="3"/>
  <c r="BF205" i="3"/>
  <c r="BG205" i="3"/>
  <c r="BH205" i="3"/>
  <c r="BI205" i="3"/>
  <c r="BJ205" i="3"/>
  <c r="BK205" i="3"/>
  <c r="BM205" i="3"/>
  <c r="BN205" i="3"/>
  <c r="BO205" i="3"/>
  <c r="BP205" i="3"/>
  <c r="BQ205" i="3"/>
  <c r="BR205" i="3"/>
  <c r="BS205" i="3"/>
  <c r="BT205" i="3"/>
  <c r="BL205" i="3"/>
  <c r="BD206" i="3"/>
  <c r="BE206" i="3"/>
  <c r="BF206" i="3"/>
  <c r="BG206" i="3"/>
  <c r="BH206" i="3"/>
  <c r="BI206" i="3"/>
  <c r="BJ206" i="3"/>
  <c r="BK206" i="3"/>
  <c r="BM206" i="3"/>
  <c r="BN206" i="3"/>
  <c r="BO206" i="3"/>
  <c r="BP206" i="3"/>
  <c r="BQ206" i="3"/>
  <c r="BR206" i="3"/>
  <c r="BS206" i="3"/>
  <c r="BT206" i="3"/>
  <c r="BL206" i="3"/>
  <c r="BD207" i="3"/>
  <c r="BE207" i="3"/>
  <c r="BF207" i="3"/>
  <c r="BG207" i="3"/>
  <c r="BH207" i="3"/>
  <c r="BI207" i="3"/>
  <c r="BJ207" i="3"/>
  <c r="BK207" i="3"/>
  <c r="BM207" i="3"/>
  <c r="BN207" i="3"/>
  <c r="BO207" i="3"/>
  <c r="BP207" i="3"/>
  <c r="BQ207" i="3"/>
  <c r="BR207" i="3"/>
  <c r="BS207" i="3"/>
  <c r="BT207" i="3"/>
  <c r="BL207" i="3"/>
  <c r="BD208" i="3"/>
  <c r="BE208" i="3"/>
  <c r="BF208" i="3"/>
  <c r="BG208" i="3"/>
  <c r="BH208" i="3"/>
  <c r="BI208" i="3"/>
  <c r="BJ208" i="3"/>
  <c r="BK208" i="3"/>
  <c r="BM208" i="3"/>
  <c r="BN208" i="3"/>
  <c r="BO208" i="3"/>
  <c r="BP208" i="3"/>
  <c r="BQ208" i="3"/>
  <c r="BR208" i="3"/>
  <c r="BS208" i="3"/>
  <c r="BT208" i="3"/>
  <c r="BL208" i="3"/>
  <c r="BD209" i="3"/>
  <c r="BE209" i="3"/>
  <c r="BF209" i="3"/>
  <c r="BG209" i="3"/>
  <c r="BH209" i="3"/>
  <c r="BI209" i="3"/>
  <c r="BJ209" i="3"/>
  <c r="BK209" i="3"/>
  <c r="BM209" i="3"/>
  <c r="BN209" i="3"/>
  <c r="BO209" i="3"/>
  <c r="BP209" i="3"/>
  <c r="BQ209" i="3"/>
  <c r="BR209" i="3"/>
  <c r="BS209" i="3"/>
  <c r="BT209" i="3"/>
  <c r="BL209" i="3"/>
  <c r="BD210" i="3"/>
  <c r="BE210" i="3"/>
  <c r="BF210" i="3"/>
  <c r="BG210" i="3"/>
  <c r="BH210" i="3"/>
  <c r="BI210" i="3"/>
  <c r="BJ210" i="3"/>
  <c r="BK210" i="3"/>
  <c r="BM210" i="3"/>
  <c r="BN210" i="3"/>
  <c r="BO210" i="3"/>
  <c r="BP210" i="3"/>
  <c r="BQ210" i="3"/>
  <c r="BR210" i="3"/>
  <c r="BS210" i="3"/>
  <c r="BT210" i="3"/>
  <c r="BL210" i="3"/>
  <c r="BD211" i="3"/>
  <c r="BE211" i="3"/>
  <c r="BF211" i="3"/>
  <c r="BG211" i="3"/>
  <c r="BH211" i="3"/>
  <c r="BI211" i="3"/>
  <c r="BJ211" i="3"/>
  <c r="BK211" i="3"/>
  <c r="BM211" i="3"/>
  <c r="BN211" i="3"/>
  <c r="BO211" i="3"/>
  <c r="BP211" i="3"/>
  <c r="BQ211" i="3"/>
  <c r="BR211" i="3"/>
  <c r="BS211" i="3"/>
  <c r="BT211" i="3"/>
  <c r="BL211" i="3"/>
  <c r="BD212" i="3"/>
  <c r="BE212" i="3"/>
  <c r="BF212" i="3"/>
  <c r="BG212" i="3"/>
  <c r="BH212" i="3"/>
  <c r="BI212" i="3"/>
  <c r="BJ212" i="3"/>
  <c r="BK212" i="3"/>
  <c r="BM212" i="3"/>
  <c r="BN212" i="3"/>
  <c r="BO212" i="3"/>
  <c r="BP212" i="3"/>
  <c r="BQ212" i="3"/>
  <c r="BR212" i="3"/>
  <c r="BS212" i="3"/>
  <c r="BT212" i="3"/>
  <c r="BL212" i="3"/>
  <c r="BD213" i="3"/>
  <c r="BE213" i="3"/>
  <c r="BF213" i="3"/>
  <c r="BG213" i="3"/>
  <c r="BH213" i="3"/>
  <c r="BI213" i="3"/>
  <c r="BJ213" i="3"/>
  <c r="BK213" i="3"/>
  <c r="BM213" i="3"/>
  <c r="BN213" i="3"/>
  <c r="BO213" i="3"/>
  <c r="BP213" i="3"/>
  <c r="BQ213" i="3"/>
  <c r="BR213" i="3"/>
  <c r="BS213" i="3"/>
  <c r="BT213" i="3"/>
  <c r="BL213" i="3"/>
  <c r="BD214" i="3"/>
  <c r="BE214" i="3"/>
  <c r="BF214" i="3"/>
  <c r="BG214" i="3"/>
  <c r="BH214" i="3"/>
  <c r="BI214" i="3"/>
  <c r="BJ214" i="3"/>
  <c r="BK214" i="3"/>
  <c r="BM214" i="3"/>
  <c r="BN214" i="3"/>
  <c r="BO214" i="3"/>
  <c r="BP214" i="3"/>
  <c r="BQ214" i="3"/>
  <c r="BR214" i="3"/>
  <c r="BS214" i="3"/>
  <c r="BT214" i="3"/>
  <c r="BL214" i="3"/>
  <c r="BD215" i="3"/>
  <c r="BE215" i="3"/>
  <c r="BF215" i="3"/>
  <c r="BG215" i="3"/>
  <c r="BH215" i="3"/>
  <c r="BI215" i="3"/>
  <c r="BJ215" i="3"/>
  <c r="BK215" i="3"/>
  <c r="BM215" i="3"/>
  <c r="BN215" i="3"/>
  <c r="BO215" i="3"/>
  <c r="BP215" i="3"/>
  <c r="BQ215" i="3"/>
  <c r="BR215" i="3"/>
  <c r="BS215" i="3"/>
  <c r="BT215" i="3"/>
  <c r="BL215" i="3"/>
  <c r="BD216" i="3"/>
  <c r="BE216" i="3"/>
  <c r="BF216" i="3"/>
  <c r="BG216" i="3"/>
  <c r="BH216" i="3"/>
  <c r="BI216" i="3"/>
  <c r="BJ216" i="3"/>
  <c r="BK216" i="3"/>
  <c r="BM216" i="3"/>
  <c r="BN216" i="3"/>
  <c r="BO216" i="3"/>
  <c r="BP216" i="3"/>
  <c r="BQ216" i="3"/>
  <c r="BR216" i="3"/>
  <c r="BS216" i="3"/>
  <c r="BT216" i="3"/>
  <c r="BL216" i="3"/>
  <c r="BD217" i="3"/>
  <c r="BE217" i="3"/>
  <c r="BF217" i="3"/>
  <c r="BG217" i="3"/>
  <c r="BH217" i="3"/>
  <c r="BI217" i="3"/>
  <c r="BJ217" i="3"/>
  <c r="BK217" i="3"/>
  <c r="BM217" i="3"/>
  <c r="BN217" i="3"/>
  <c r="BO217" i="3"/>
  <c r="BP217" i="3"/>
  <c r="BQ217" i="3"/>
  <c r="BR217" i="3"/>
  <c r="BS217" i="3"/>
  <c r="BT217" i="3"/>
  <c r="BL217" i="3"/>
  <c r="BD218" i="3"/>
  <c r="BE218" i="3"/>
  <c r="BF218" i="3"/>
  <c r="BG218" i="3"/>
  <c r="BH218" i="3"/>
  <c r="BI218" i="3"/>
  <c r="BJ218" i="3"/>
  <c r="BK218" i="3"/>
  <c r="BM218" i="3"/>
  <c r="BN218" i="3"/>
  <c r="BO218" i="3"/>
  <c r="BP218" i="3"/>
  <c r="BQ218" i="3"/>
  <c r="BR218" i="3"/>
  <c r="BS218" i="3"/>
  <c r="BT218" i="3"/>
  <c r="BL218" i="3"/>
  <c r="BD219" i="3"/>
  <c r="BE219" i="3"/>
  <c r="BF219" i="3"/>
  <c r="BG219" i="3"/>
  <c r="BH219" i="3"/>
  <c r="BI219" i="3"/>
  <c r="BJ219" i="3"/>
  <c r="BK219" i="3"/>
  <c r="BM219" i="3"/>
  <c r="BN219" i="3"/>
  <c r="BO219" i="3"/>
  <c r="BP219" i="3"/>
  <c r="BQ219" i="3"/>
  <c r="BR219" i="3"/>
  <c r="BS219" i="3"/>
  <c r="BT219" i="3"/>
  <c r="BL219" i="3"/>
  <c r="BD220" i="3"/>
  <c r="BE220" i="3"/>
  <c r="BF220" i="3"/>
  <c r="BG220" i="3"/>
  <c r="BH220" i="3"/>
  <c r="BI220" i="3"/>
  <c r="BJ220" i="3"/>
  <c r="BK220" i="3"/>
  <c r="BM220" i="3"/>
  <c r="BN220" i="3"/>
  <c r="BO220" i="3"/>
  <c r="BP220" i="3"/>
  <c r="BQ220" i="3"/>
  <c r="BR220" i="3"/>
  <c r="BS220" i="3"/>
  <c r="BT220" i="3"/>
  <c r="BL220" i="3"/>
  <c r="BD221" i="3"/>
  <c r="BE221" i="3"/>
  <c r="BF221" i="3"/>
  <c r="BG221" i="3"/>
  <c r="BH221" i="3"/>
  <c r="BI221" i="3"/>
  <c r="BJ221" i="3"/>
  <c r="BK221" i="3"/>
  <c r="BM221" i="3"/>
  <c r="BN221" i="3"/>
  <c r="BO221" i="3"/>
  <c r="BP221" i="3"/>
  <c r="BQ221" i="3"/>
  <c r="BR221" i="3"/>
  <c r="BS221" i="3"/>
  <c r="BT221" i="3"/>
  <c r="BL221" i="3"/>
  <c r="BD222" i="3"/>
  <c r="BE222" i="3"/>
  <c r="BF222" i="3"/>
  <c r="BG222" i="3"/>
  <c r="BH222" i="3"/>
  <c r="BI222" i="3"/>
  <c r="BJ222" i="3"/>
  <c r="BK222" i="3"/>
  <c r="BM222" i="3"/>
  <c r="BN222" i="3"/>
  <c r="BO222" i="3"/>
  <c r="BP222" i="3"/>
  <c r="BQ222" i="3"/>
  <c r="BR222" i="3"/>
  <c r="BS222" i="3"/>
  <c r="BT222" i="3"/>
  <c r="BL222"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4"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9"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E10" i="68"/>
  <c r="E9" i="68"/>
  <c r="F7" i="68"/>
  <c r="W21" i="21"/>
  <c r="AC21" i="21"/>
  <c r="C40" i="68"/>
  <c r="Q72" i="67"/>
  <c r="Q59" i="67"/>
  <c r="Q58" i="67"/>
  <c r="Q51" i="67"/>
  <c r="D46"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D6" i="1"/>
  <c r="D9" i="1"/>
  <c r="D10" i="1"/>
  <c r="D11" i="1"/>
  <c r="D12" i="1"/>
  <c r="D13"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25"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I15" i="4"/>
  <c r="H15" i="4"/>
  <c r="G15" i="4"/>
  <c r="D15" i="4"/>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O10" i="1"/>
  <c r="B22" i="1"/>
  <c r="B23" i="1"/>
  <c r="B24" i="1"/>
  <c r="B43" i="1"/>
  <c r="D78" i="9"/>
  <c r="E21" i="6"/>
  <c r="F23" i="15"/>
  <c r="D24" i="15"/>
  <c r="O8" i="1"/>
  <c r="P8" i="1"/>
  <c r="O13" i="1"/>
  <c r="P13" i="1"/>
  <c r="E22" i="6"/>
  <c r="E23" i="6"/>
  <c r="E24" i="6"/>
  <c r="E25" i="6"/>
  <c r="E26" i="6"/>
  <c r="BD10" i="3"/>
  <c r="BB10" i="3"/>
  <c r="F35" i="11"/>
  <c r="F36" i="11"/>
  <c r="F38" i="11"/>
  <c r="E37" i="11"/>
  <c r="F20" i="11"/>
  <c r="F21" i="11"/>
  <c r="C21" i="11"/>
  <c r="F7" i="11"/>
  <c r="C7" i="11"/>
  <c r="C5" i="11"/>
  <c r="F12" i="12"/>
  <c r="F13" i="12"/>
  <c r="F15" i="12"/>
  <c r="E14" i="12"/>
  <c r="BD11" i="3"/>
  <c r="E19" i="12"/>
  <c r="E20" i="12"/>
  <c r="E17" i="12"/>
  <c r="F22" i="12"/>
  <c r="F23" i="12"/>
  <c r="F24" i="12"/>
  <c r="I55" i="9"/>
  <c r="F55" i="9"/>
  <c r="O53" i="9"/>
  <c r="D89" i="9"/>
  <c r="C89" i="9"/>
  <c r="C87" i="9"/>
  <c r="J55" i="9"/>
  <c r="B31" i="1"/>
  <c r="M20" i="15"/>
  <c r="T4" i="1"/>
  <c r="F15" i="15"/>
  <c r="F17" i="15"/>
  <c r="F18"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B88" i="33"/>
  <c r="C23" i="33"/>
  <c r="C19" i="33"/>
  <c r="C17" i="33"/>
  <c r="C15" i="33"/>
  <c r="C15" i="21"/>
  <c r="D125" i="33"/>
  <c r="E117" i="33"/>
  <c r="F117" i="33"/>
  <c r="G117" i="33"/>
  <c r="E115" i="33"/>
  <c r="F115" i="33"/>
  <c r="G115" i="33"/>
  <c r="H115" i="33"/>
  <c r="I115" i="33"/>
  <c r="J115" i="33"/>
  <c r="K115" i="33"/>
  <c r="L115" i="33"/>
  <c r="M115" i="33"/>
  <c r="E108" i="33"/>
  <c r="F108" i="33"/>
  <c r="D106" i="33"/>
  <c r="E106" i="33"/>
  <c r="M102" i="33"/>
  <c r="L102" i="33"/>
  <c r="K102" i="33"/>
  <c r="J102" i="33"/>
  <c r="I102" i="33"/>
  <c r="H102" i="33"/>
  <c r="G102" i="33"/>
  <c r="F102" i="33"/>
  <c r="E102" i="33"/>
  <c r="D102" i="33"/>
  <c r="C102" i="33"/>
  <c r="B92" i="33"/>
  <c r="B90" i="33"/>
  <c r="D87" i="33"/>
  <c r="E8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AC41" i="33"/>
  <c r="W41" i="33"/>
  <c r="Q41" i="33"/>
  <c r="Z41" i="33"/>
  <c r="Q40" i="33"/>
  <c r="Z40" i="33"/>
  <c r="H40" i="33"/>
  <c r="AB40" i="33"/>
  <c r="AA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AC28" i="34"/>
  <c r="S21" i="40"/>
  <c r="AA12" i="21"/>
  <c r="H25" i="21"/>
  <c r="U25" i="21"/>
  <c r="F25" i="21"/>
  <c r="S25" i="21"/>
  <c r="J25" i="21"/>
  <c r="AC25" i="21"/>
  <c r="E125" i="33"/>
  <c r="F125" i="33"/>
  <c r="H43" i="33"/>
  <c r="AB43"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BJ5" i="3"/>
  <c r="BH5" i="3"/>
  <c r="BF5" i="3"/>
  <c r="BD5" i="3"/>
  <c r="AC5" i="3"/>
  <c r="BK5" i="3"/>
  <c r="BI5" i="3"/>
  <c r="BG5" i="3"/>
  <c r="BE5" i="3"/>
  <c r="BC5" i="3"/>
  <c r="U36" i="40"/>
  <c r="N4" i="43"/>
  <c r="F81" i="43"/>
  <c r="H83" i="43"/>
  <c r="F48" i="43"/>
  <c r="H52" i="43"/>
  <c r="N7" i="43"/>
  <c r="F70" i="43"/>
  <c r="H73" i="43"/>
  <c r="M6" i="43"/>
  <c r="M11" i="43"/>
  <c r="E17" i="43"/>
  <c r="U17" i="39"/>
  <c r="S14" i="35"/>
  <c r="U43" i="21"/>
  <c r="U35" i="21"/>
  <c r="AC35" i="21"/>
  <c r="U10" i="21"/>
  <c r="F48" i="9"/>
  <c r="O52" i="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60" i="40"/>
  <c r="E58" i="40"/>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H100" i="43"/>
  <c r="C30" i="66"/>
  <c r="E26" i="66"/>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c r="H121" i="33"/>
  <c r="I121" i="33"/>
  <c r="J121" i="33"/>
  <c r="K121" i="33"/>
  <c r="L121" i="33"/>
  <c r="M121" i="33"/>
  <c r="U42" i="33"/>
  <c r="S42" i="33"/>
  <c r="G108" i="33"/>
  <c r="H108" i="33"/>
  <c r="I108" i="33"/>
  <c r="J108" i="33"/>
  <c r="K108" i="33"/>
  <c r="L108" i="33"/>
  <c r="M108" i="33"/>
  <c r="S37" i="33"/>
  <c r="S39" i="33"/>
  <c r="H101" i="33"/>
  <c r="I101" i="33"/>
  <c r="J101" i="33"/>
  <c r="K101" i="33"/>
  <c r="L101" i="33"/>
  <c r="M101" i="33"/>
  <c r="S46" i="33"/>
  <c r="W43" i="33"/>
  <c r="S43" i="33"/>
  <c r="F91" i="33"/>
  <c r="F87" i="33"/>
  <c r="F85" i="33"/>
  <c r="F81" i="33"/>
  <c r="S19" i="33"/>
  <c r="W19" i="33"/>
  <c r="F79" i="33"/>
  <c r="S15" i="33"/>
  <c r="W15" i="33"/>
  <c r="U9" i="33"/>
  <c r="I66"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G30" i="6"/>
  <c r="G31" i="6"/>
  <c r="J56" i="9"/>
  <c r="J57" i="9"/>
  <c r="A24" i="51"/>
  <c r="B18" i="72"/>
  <c r="U29" i="34"/>
  <c r="D9" i="11"/>
  <c r="C9" i="11"/>
  <c r="J105" i="43"/>
  <c r="G102" i="43"/>
  <c r="P10" i="1"/>
  <c r="L101" i="43"/>
  <c r="L109" i="43"/>
  <c r="H101" i="43"/>
  <c r="M101" i="43"/>
  <c r="M109" i="43"/>
  <c r="I101" i="43"/>
  <c r="I109" i="43"/>
  <c r="E101" i="43"/>
  <c r="E32" i="6"/>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H85" i="43"/>
  <c r="H81" i="43"/>
  <c r="H84" i="43"/>
  <c r="H88" i="43"/>
  <c r="H53" i="43"/>
  <c r="H54" i="43"/>
  <c r="H78" i="43"/>
  <c r="H70" i="43"/>
  <c r="H71" i="43"/>
  <c r="M7" i="43"/>
  <c r="N6" i="43"/>
  <c r="M2" i="43"/>
  <c r="M10" i="43"/>
  <c r="N3" i="43"/>
  <c r="N11" i="43"/>
  <c r="M9" i="43"/>
  <c r="N12" i="43"/>
  <c r="N5" i="43"/>
  <c r="M5" i="43"/>
  <c r="M12" i="43"/>
  <c r="M4" i="43"/>
  <c r="B19" i="53"/>
  <c r="B37" i="72"/>
  <c r="C7" i="35"/>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C76" i="67"/>
  <c r="M24" i="67"/>
  <c r="M23" i="15"/>
  <c r="M22" i="15"/>
  <c r="M26" i="67"/>
  <c r="M28" i="15"/>
  <c r="J15" i="15"/>
  <c r="L47" i="15"/>
  <c r="J15" i="67"/>
  <c r="C76" i="15"/>
  <c r="L47" i="67"/>
  <c r="M22" i="67"/>
  <c r="M28" i="67"/>
  <c r="M26" i="15"/>
  <c r="M29" i="67"/>
  <c r="M29" i="15"/>
  <c r="M23" i="67"/>
  <c r="C53" i="15"/>
  <c r="C53" i="67"/>
  <c r="L58" i="67"/>
  <c r="L58" i="15"/>
  <c r="Q73" i="15"/>
  <c r="N59" i="67"/>
  <c r="L59" i="67"/>
  <c r="M59" i="67"/>
  <c r="M59" i="15"/>
  <c r="I54" i="67"/>
  <c r="N59" i="15"/>
  <c r="I54" i="15"/>
  <c r="L56" i="15"/>
  <c r="AQ13" i="1"/>
  <c r="O6" i="1"/>
  <c r="P6" i="1"/>
  <c r="F30" i="68"/>
  <c r="F30" i="11"/>
  <c r="C48" i="11"/>
  <c r="F28" i="67"/>
  <c r="C28" i="67"/>
  <c r="F31" i="12"/>
  <c r="F52" i="9"/>
  <c r="C31" i="12"/>
  <c r="M18" i="67"/>
  <c r="F32" i="67"/>
  <c r="F60" i="67"/>
  <c r="F30" i="69"/>
  <c r="C48" i="69"/>
  <c r="F32" i="15"/>
  <c r="F60" i="15"/>
  <c r="M18" i="15"/>
  <c r="F28" i="15"/>
  <c r="T11" i="1"/>
  <c r="D9" i="69"/>
  <c r="C9" i="69"/>
  <c r="D19" i="12"/>
  <c r="C19" i="12"/>
  <c r="AQ9" i="1"/>
  <c r="AR11" i="1"/>
  <c r="E59" i="40"/>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L56" i="67"/>
  <c r="Q50" i="67"/>
  <c r="F70" i="67"/>
  <c r="F51" i="67"/>
  <c r="F68" i="67"/>
  <c r="F71" i="67"/>
  <c r="F66" i="67"/>
  <c r="F50" i="67"/>
  <c r="Q71" i="67"/>
  <c r="F64" i="67"/>
  <c r="F65" i="67"/>
  <c r="F71" i="15"/>
  <c r="Q71" i="15"/>
  <c r="F64" i="15"/>
  <c r="F51" i="15"/>
  <c r="F65" i="15"/>
  <c r="Q50" i="15"/>
  <c r="F68" i="15"/>
  <c r="F50" i="15"/>
  <c r="F66" i="15"/>
  <c r="AP7" i="1"/>
  <c r="O7" i="1"/>
  <c r="F27"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AR7" i="1"/>
  <c r="L59" i="15"/>
  <c r="Q74" i="15"/>
  <c r="C30" i="11"/>
  <c r="E6" i="70"/>
  <c r="K27" i="6"/>
  <c r="A18" i="62"/>
  <c r="B64" i="72"/>
  <c r="B1" i="74"/>
  <c r="D3" i="34"/>
  <c r="D3" i="21"/>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S20" i="6"/>
  <c r="M27" i="6"/>
  <c r="C49" i="15"/>
  <c r="Q60" i="15"/>
  <c r="Q60" i="67"/>
  <c r="Q73" i="67"/>
  <c r="F27" i="11"/>
  <c r="Q61" i="67"/>
  <c r="Q74" i="67"/>
  <c r="C49" i="67"/>
  <c r="Q52" i="67"/>
  <c r="Q61" i="15"/>
  <c r="E37" i="43"/>
  <c r="AA7" i="36"/>
  <c r="R36" i="36"/>
  <c r="E36" i="36"/>
  <c r="E40" i="36"/>
  <c r="F40" i="36"/>
  <c r="AC11" i="37"/>
  <c r="W11" i="37"/>
  <c r="AB7" i="37"/>
  <c r="T42" i="37"/>
  <c r="G42" i="37"/>
  <c r="G46" i="37"/>
  <c r="H46" i="37"/>
  <c r="W11" i="34"/>
  <c r="AC11" i="34"/>
  <c r="B2" i="74"/>
  <c r="AB7" i="36"/>
  <c r="T36" i="36"/>
  <c r="E38" i="43"/>
  <c r="E6" i="3"/>
  <c r="D10" i="11"/>
  <c r="C10" i="11"/>
  <c r="D20" i="12"/>
  <c r="C20" i="12"/>
  <c r="C18" i="12"/>
  <c r="D15" i="6"/>
  <c r="C18" i="4"/>
  <c r="D8" i="6"/>
  <c r="D14" i="6"/>
  <c r="D5" i="6"/>
  <c r="D6" i="6"/>
  <c r="D12" i="6"/>
  <c r="D9" i="6"/>
  <c r="D11" i="6"/>
  <c r="D10" i="6"/>
  <c r="D13" i="6"/>
  <c r="L19" i="9"/>
  <c r="E61" i="40"/>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S19" i="6"/>
  <c r="S27" i="6"/>
  <c r="I27" i="6"/>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C14" i="12"/>
  <c r="C23" i="12"/>
  <c r="I6" i="6"/>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M21" i="67"/>
  <c r="M21" i="15"/>
  <c r="C49" i="21"/>
  <c r="F63" i="67"/>
  <c r="C62" i="67"/>
  <c r="J20" i="67"/>
  <c r="J20" i="15"/>
  <c r="F63" i="15"/>
  <c r="C62" i="15"/>
  <c r="R16" i="1"/>
  <c r="C22" i="12"/>
  <c r="C30" i="12"/>
  <c r="C28" i="12"/>
  <c r="I63" i="40"/>
  <c r="H65" i="40"/>
  <c r="C39" i="11"/>
  <c r="C43" i="11"/>
  <c r="C41" i="11"/>
  <c r="C27" i="12"/>
  <c r="C25" i="12"/>
  <c r="C32" i="12"/>
  <c r="B2" i="12"/>
  <c r="B3" i="12"/>
  <c r="J63" i="40"/>
  <c r="I65" i="40"/>
  <c r="C46" i="11"/>
  <c r="C45" i="11"/>
  <c r="C49" i="11"/>
  <c r="C51" i="11"/>
  <c r="C52" i="11"/>
  <c r="B2" i="11"/>
  <c r="B3" i="11"/>
  <c r="K63" i="40"/>
  <c r="J65" i="40"/>
  <c r="C56" i="11"/>
  <c r="C57" i="11"/>
  <c r="L63" i="40"/>
  <c r="K65" i="40"/>
  <c r="E2" i="70"/>
  <c r="C34" i="69"/>
  <c r="M63" i="40"/>
  <c r="L65" i="40"/>
  <c r="C35" i="69"/>
  <c r="C38" i="69"/>
  <c r="D10" i="69"/>
  <c r="N63" i="40"/>
  <c r="M65" i="40"/>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L51" i="67"/>
  <c r="L57" i="67"/>
  <c r="L60"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M27" i="15"/>
  <c r="C58" i="15"/>
  <c r="C67" i="15"/>
  <c r="F69" i="15"/>
  <c r="C43" i="15"/>
  <c r="Q57" i="15"/>
  <c r="Q66" i="15"/>
  <c r="F69" i="67"/>
  <c r="C68" i="67"/>
  <c r="C71" i="67"/>
  <c r="C83" i="67"/>
  <c r="C82" i="67"/>
  <c r="C68" i="15"/>
  <c r="C71" i="15"/>
  <c r="C83" i="15"/>
  <c r="C82" i="15"/>
  <c r="Q65" i="15"/>
  <c r="Q75" i="15"/>
  <c r="Q47" i="15"/>
  <c r="Q53" i="15"/>
  <c r="Q56" i="15"/>
  <c r="Q62" i="15"/>
  <c r="C43" i="67"/>
  <c r="C45" i="67"/>
  <c r="C46" i="67"/>
  <c r="Q65" i="67"/>
  <c r="Q75" i="67"/>
  <c r="Q56" i="67"/>
  <c r="Q62" i="67"/>
  <c r="Q47" i="67"/>
  <c r="Q53" i="67"/>
  <c r="E2" i="69"/>
  <c r="C46" i="15"/>
  <c r="B2" i="69"/>
  <c r="B3" i="69"/>
  <c r="E2" i="68"/>
  <c r="D2" i="37"/>
  <c r="D2" i="36"/>
  <c r="D2" i="21"/>
  <c r="F20" i="31"/>
  <c r="D2" i="34"/>
  <c r="D2" i="33"/>
  <c r="D2" i="35"/>
  <c r="B20" i="31"/>
  <c r="B2" i="36"/>
  <c r="B3" i="36"/>
  <c r="B2" i="35"/>
  <c r="B3" i="35"/>
  <c r="B2" i="37"/>
  <c r="B3" i="37"/>
  <c r="B2" i="34"/>
  <c r="B3" i="34"/>
  <c r="B2" i="21"/>
  <c r="B3" i="21"/>
  <c r="B3" i="70"/>
  <c r="C102" i="9"/>
  <c r="C21" i="9"/>
  <c r="B3" i="68"/>
  <c r="D102" i="9"/>
  <c r="D22" i="9"/>
  <c r="D21" i="9"/>
  <c r="C103" i="9"/>
  <c r="D103" i="9"/>
  <c r="G21" i="9"/>
  <c r="D34" i="9"/>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S7" i="39"/>
  <c r="W7" i="39"/>
  <c r="U7"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2" i="43"/>
  <c r="P23" i="43"/>
  <c r="P24" i="43"/>
  <c r="B66" i="40"/>
  <c r="P25" i="43"/>
  <c r="B2" i="39"/>
  <c r="B3" i="39"/>
  <c r="I47" i="39"/>
  <c r="E47" i="39"/>
  <c r="I52" i="39"/>
  <c r="J52" i="39"/>
  <c r="G47" i="39"/>
  <c r="E52" i="39"/>
  <c r="F52" i="39"/>
  <c r="E51" i="39"/>
  <c r="F51" i="39"/>
  <c r="C47" i="39"/>
  <c r="I51" i="39"/>
  <c r="J51" i="39"/>
  <c r="G51" i="39"/>
  <c r="H51" i="39"/>
  <c r="G52" i="39"/>
  <c r="H52" i="39"/>
  <c r="C57" i="68"/>
  <c r="C56" i="68"/>
  <c r="U10" i="39"/>
  <c r="W10" i="39"/>
  <c r="F10" i="40"/>
  <c r="S10" i="40"/>
  <c r="J10" i="40"/>
  <c r="AC10" i="40"/>
  <c r="AA10" i="40"/>
  <c r="W10" i="40"/>
  <c r="S10" i="39"/>
  <c r="H10" i="40"/>
  <c r="AB10" i="40"/>
  <c r="U10" i="40"/>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<sst xmlns="http://schemas.openxmlformats.org/spreadsheetml/2006/main" count="9259" uniqueCount="3529">
  <si>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</si>
  <si>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</si>
  <si>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</si>
  <si>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</si>
  <si>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</si>
  <si>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</si>
  <si>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</si>
  <si>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</si>
  <si>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</si>
  <si>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</si>
  <si>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</si>
  <si>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</si>
  <si>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</si>
  <si>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</si>
  <si>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</si>
  <si>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</si>
  <si>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</si>
  <si>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</si>
  <si>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</si>
  <si>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</si>
  <si>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</si>
  <si>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</si>
  <si>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</si>
  <si>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</si>
  <si>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</si>
  <si>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</si>
  <si>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</si>
  <si>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</si>
  <si>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</si>
  <si>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</si>
  <si>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</si>
  <si>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</si>
  <si>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</si>
  <si>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</si>
  <si>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</si>
  <si>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</si>
  <si>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</si>
  <si>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</si>
  <si>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</si>
  <si>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</si>
  <si>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</si>
  <si>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</si>
  <si>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</si>
  <si>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</si>
  <si>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</si>
  <si>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</si>
  <si>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</si>
  <si>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</si>
  <si>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</si>
  <si>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</si>
  <si>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</si>
  <si>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</si>
  <si>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</si>
  <si>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</si>
  <si>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</si>
  <si>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</si>
  <si>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</si>
  <si>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</si>
  <si>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</si>
  <si>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</si>
  <si>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</si>
  <si>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</si>
  <si>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</si>
  <si>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</si>
  <si>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</si>
  <si>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</si>
  <si>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</si>
  <si>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</si>
  <si>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</si>
  <si>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</si>
  <si>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</si>
  <si>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</si>
  <si>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</si>
  <si>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</si>
  <si>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</si>
  <si>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</si>
  <si>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</si>
  <si>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</si>
  <si>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</si>
  <si>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</si>
  <si>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</si>
  <si>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</si>
  <si>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</si>
  <si>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</si>
  <si>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</si>
  <si>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</si>
  <si>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</si>
  <si>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</si>
  <si>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</si>
  <si>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</si>
  <si>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</si>
  <si>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</si>
  <si>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</si>
  <si>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</si>
  <si>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</si>
  <si>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</si>
  <si>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</si>
  <si>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</si>
  <si>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</si>
  <si>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</si>
  <si>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</si>
  <si>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</si>
  <si>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</si>
  <si>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</si>
  <si>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</si>
  <si>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</si>
  <si>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</si>
  <si>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</si>
  <si>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</si>
  <si>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</si>
  <si>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</si>
  <si>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</si>
  <si>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</si>
  <si>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</si>
  <si>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</si>
  <si>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</si>
  <si>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</si>
  <si>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</si>
  <si>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</si>
  <si>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</si>
  <si>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</si>
  <si>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</si>
  <si>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</si>
  <si>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</si>
  <si>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</si>
  <si>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</si>
  <si>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</si>
  <si>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</si>
  <si>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</si>
  <si>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</si>
  <si>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</si>
  <si>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</si>
  <si>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</si>
  <si>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</si>
  <si>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</si>
  <si>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</si>
  <si>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</si>
  <si>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</si>
  <si>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</si>
  <si>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</si>
  <si>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</si>
  <si>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</si>
  <si>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</si>
  <si>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</si>
  <si>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</si>
  <si>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</si>
  <si>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</si>
  <si>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</si>
  <si>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</si>
  <si>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</si>
  <si>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</si>
  <si>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</si>
  <si>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</si>
  <si>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</si>
  <si>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</si>
  <si>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</si>
  <si>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</si>
  <si>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</si>
  <si>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</si>
  <si>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</si>
  <si>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</si>
  <si>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</si>
  <si>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</si>
  <si>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</si>
  <si>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</si>
  <si>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</si>
  <si>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</si>
  <si>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</si>
  <si>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</si>
  <si>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</si>
  <si>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</si>
  <si>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</si>
  <si>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</si>
  <si>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</si>
  <si>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</si>
  <si>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</si>
  <si>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</si>
  <si>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</si>
  <si>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</si>
  <si>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</si>
  <si>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</si>
  <si>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</si>
  <si>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</si>
  <si>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</si>
  <si>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</si>
  <si>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</si>
  <si>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</si>
  <si>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</si>
  <si>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</si>
  <si>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</si>
  <si>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</si>
  <si>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</si>
  <si>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</si>
  <si>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</si>
  <si>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</si>
  <si>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</si>
  <si>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</si>
  <si>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</si>
  <si>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</si>
  <si>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</si>
  <si>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</si>
  <si>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</si>
  <si>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</si>
  <si>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</si>
  <si>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</si>
  <si>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</si>
  <si>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</si>
  <si>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</si>
  <si>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</si>
  <si>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</si>
  <si>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</si>
  <si>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</si>
  <si>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</si>
  <si>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</si>
  <si>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</si>
  <si>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</si>
  <si>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</si>
  <si>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</si>
  <si>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</si>
  <si>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</si>
  <si>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</si>
  <si>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</si>
  <si>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</si>
  <si>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</si>
  <si>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</si>
  <si>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</si>
  <si>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</si>
  <si>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</si>
  <si>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</si>
  <si>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</si>
  <si>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</si>
  <si>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</si>
  <si>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</si>
  <si>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</si>
  <si>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</si>
  <si>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</si>
  <si>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</si>
  <si>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</si>
  <si>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</si>
  <si>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</si>
  <si>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</si>
  <si>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</si>
  <si>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</si>
  <si>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</si>
  <si>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</si>
  <si>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</si>
  <si>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</si>
  <si>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</si>
  <si>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</si>
  <si>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</si>
  <si>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</si>
  <si>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</si>
  <si>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</si>
  <si>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</si>
  <si>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</si>
  <si>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</si>
  <si>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</si>
  <si>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</si>
  <si>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</si>
  <si>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</si>
  <si>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</si>
  <si>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</si>
  <si>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</si>
  <si>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</si>
  <si>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</si>
  <si>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</si>
  <si>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</si>
  <si>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</si>
  <si>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</si>
  <si>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</si>
  <si>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</si>
  <si>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</si>
  <si>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</si>
  <si>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</si>
  <si>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</si>
  <si>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</si>
  <si>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</si>
  <si>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</si>
  <si>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</si>
  <si>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</si>
  <si>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</si>
  <si>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</si>
  <si>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</si>
  <si>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</si>
  <si>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</si>
  <si>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</si>
  <si>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</si>
  <si>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</si>
  <si>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</si>
  <si>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</si>
  <si>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</si>
  <si>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</si>
  <si>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</si>
  <si>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</si>
  <si>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</si>
  <si>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</si>
  <si>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</si>
  <si>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</si>
  <si>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</si>
  <si>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</si>
  <si>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</si>
  <si>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</si>
  <si>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</si>
  <si>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</si>
  <si>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</si>
  <si>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</si>
  <si>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</si>
  <si>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</si>
  <si>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</si>
  <si>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</si>
  <si>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</si>
  <si>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</si>
  <si>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</si>
  <si>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</si>
  <si>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</si>
  <si>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</si>
  <si>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</si>
  <si>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</si>
  <si>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</si>
  <si>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</si>
  <si>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</si>
  <si>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</si>
  <si>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</si>
  <si>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</si>
  <si>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</si>
  <si>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</si>
  <si>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</si>
  <si>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</si>
  <si>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</si>
  <si>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</si>
  <si>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</si>
  <si>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</si>
  <si>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</si>
  <si>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</si>
  <si>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</si>
  <si>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</si>
  <si>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</si>
  <si>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</si>
  <si>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</si>
  <si>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</si>
  <si>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</si>
  <si>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</si>
  <si>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</si>
  <si>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</si>
  <si>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</si>
  <si>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</si>
  <si>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</si>
  <si>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</si>
  <si>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</si>
  <si>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</si>
  <si>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</si>
  <si>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</si>
  <si>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</si>
  <si>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</si>
  <si>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</si>
  <si>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</si>
  <si>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</si>
  <si>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</si>
  <si>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</si>
  <si>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</si>
  <si>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</si>
  <si>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</si>
  <si>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</si>
  <si>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</si>
  <si>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</si>
  <si>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</si>
  <si>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</si>
  <si>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</si>
  <si>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</si>
  <si>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</si>
  <si>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</si>
  <si>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</si>
  <si>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</si>
  <si>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</si>
  <si>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</si>
  <si>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</si>
  <si>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</si>
  <si>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</si>
  <si>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</si>
  <si>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</si>
  <si>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</si>
  <si>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</si>
  <si>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</si>
  <si>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</si>
  <si>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</si>
  <si>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</si>
  <si>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</si>
  <si>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</si>
  <si>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</si>
  <si>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</si>
  <si>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</si>
  <si>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</si>
  <si>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</si>
  <si>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</si>
  <si>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</si>
  <si>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</si>
  <si>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</si>
  <si>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</si>
  <si>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</si>
  <si>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</si>
  <si>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</si>
  <si>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</si>
  <si>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</si>
  <si>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</si>
  <si>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</si>
  <si>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</si>
  <si>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</si>
  <si>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</si>
  <si>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</si>
  <si>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</si>
  <si>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</si>
  <si>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</si>
  <si>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</si>
  <si>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</si>
  <si>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</si>
  <si>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</si>
  <si>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</si>
  <si>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</si>
  <si>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</si>
  <si>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</si>
  <si>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</si>
  <si>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</si>
  <si>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</si>
  <si>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</si>
  <si>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</si>
  <si>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</si>
  <si>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</si>
  <si>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</si>
  <si>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</si>
  <si>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</si>
  <si>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</si>
  <si>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</si>
  <si>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</si>
  <si>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</si>
  <si>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</si>
  <si>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</si>
  <si>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</si>
  <si>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</si>
  <si>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</si>
  <si>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</si>
  <si>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</si>
  <si>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</si>
  <si>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</si>
  <si>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</si>
  <si>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</si>
  <si>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</si>
  <si>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</si>
  <si>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</si>
  <si>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</si>
  <si>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</si>
  <si>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</si>
  <si>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</si>
  <si>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</si>
  <si>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</si>
  <si>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</si>
  <si>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</si>
  <si>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</si>
  <si>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</si>
  <si>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</si>
  <si>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</si>
  <si>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</si>
  <si>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</si>
  <si>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</si>
  <si>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</si>
  <si>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</si>
  <si>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</si>
  <si>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</si>
  <si>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</si>
  <si>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</si>
  <si>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</si>
  <si>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</si>
  <si>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</si>
  <si>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</si>
  <si>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</si>
  <si>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</si>
  <si>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</si>
  <si>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</si>
  <si>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</si>
  <si>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</si>
  <si>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</si>
  <si>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</si>
  <si>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</si>
  <si>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</si>
  <si>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</si>
  <si>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</si>
  <si>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</si>
  <si>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</si>
  <si>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</si>
  <si>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</si>
  <si>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</si>
  <si>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</si>
  <si>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</si>
  <si>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</si>
  <si>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</si>
  <si>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</si>
  <si>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</si>
  <si>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</si>
  <si>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</si>
  <si>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</si>
  <si>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</si>
  <si>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</si>
  <si>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</si>
  <si>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</si>
  <si>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</si>
  <si>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</si>
  <si>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</si>
  <si>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</si>
  <si>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</si>
  <si>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</si>
  <si>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</si>
  <si>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</si>
  <si>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</si>
  <si>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</si>
  <si>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</si>
  <si>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</si>
  <si>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</si>
  <si>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</si>
  <si>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</si>
  <si>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</si>
  <si>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</si>
  <si>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</si>
  <si>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</si>
  <si>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</si>
  <si>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</si>
  <si>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</si>
  <si>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</si>
  <si>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</si>
  <si>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</si>
  <si>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</si>
  <si>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</si>
  <si>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</si>
  <si>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</si>
  <si>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</si>
  <si>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</si>
  <si>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</si>
  <si>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</si>
  <si>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</si>
  <si>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</si>
  <si>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</si>
  <si>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</si>
  <si>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</si>
  <si>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</si>
  <si>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</si>
  <si>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</si>
  <si>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</si>
  <si>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</si>
  <si>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</si>
  <si>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</si>
  <si>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</si>
  <si>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</si>
  <si>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</si>
  <si>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</si>
  <si>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</si>
  <si>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</si>
  <si>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</si>
  <si>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</si>
  <si>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</si>
  <si>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</si>
  <si>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</si>
  <si>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</si>
  <si>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</si>
  <si>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</si>
  <si>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</si>
  <si>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</si>
  <si>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</si>
  <si>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</si>
  <si>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</si>
  <si>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</si>
  <si>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</si>
  <si>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</si>
  <si>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</si>
  <si>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</si>
  <si>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</si>
  <si>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</si>
  <si>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</si>
  <si>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</si>
  <si>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</si>
  <si>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</si>
  <si>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</si>
  <si>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</si>
  <si>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</si>
  <si>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</si>
  <si>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</si>
  <si>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</si>
  <si>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</si>
  <si>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</si>
  <si>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</si>
  <si>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</si>
  <si>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</si>
  <si>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</si>
  <si>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</si>
  <si>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</si>
  <si>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</si>
  <si>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</si>
  <si>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</si>
  <si>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</si>
  <si>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</si>
  <si>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</si>
  <si>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</si>
  <si>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</si>
  <si>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</si>
  <si>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</si>
  <si>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</si>
  <si>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</si>
  <si>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</si>
  <si>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</si>
  <si>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</si>
  <si>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</si>
  <si>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</si>
  <si>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</si>
  <si>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</si>
  <si>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</si>
  <si>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</si>
  <si>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</si>
  <si>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</si>
  <si>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</si>
  <si>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</si>
  <si>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</si>
  <si>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</si>
  <si>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</si>
  <si>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</si>
  <si>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</si>
  <si>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</si>
  <si>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</si>
  <si>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</si>
  <si>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</si>
  <si>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</si>
  <si>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</si>
  <si>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</si>
  <si>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</si>
  <si>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</si>
  <si>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</si>
  <si>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</si>
  <si>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</si>
  <si>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</si>
  <si>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</si>
  <si>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</si>
  <si>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</si>
  <si>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</si>
  <si>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</si>
  <si>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</si>
  <si>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</si>
  <si>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</si>
  <si>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</si>
  <si>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</si>
  <si>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</si>
  <si>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</si>
  <si>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</si>
  <si>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</si>
  <si>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</si>
  <si>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</si>
  <si>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</si>
  <si>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</si>
  <si>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</si>
  <si>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</si>
  <si>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</si>
  <si>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</si>
  <si>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</si>
  <si>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</si>
  <si>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</si>
  <si>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</si>
  <si>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</si>
  <si>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</si>
  <si>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</si>
  <si>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</si>
  <si>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</si>
  <si>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</si>
  <si>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</si>
  <si>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</si>
  <si>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</si>
  <si>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</si>
  <si>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</si>
  <si>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</si>
  <si>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</si>
  <si>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</si>
  <si>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</si>
  <si>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</si>
  <si>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</si>
  <si>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</si>
  <si>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</si>
  <si>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</si>
  <si>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</si>
  <si>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</si>
  <si>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</si>
  <si>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</si>
  <si>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</si>
  <si>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</si>
  <si>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</si>
  <si>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</si>
  <si>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</si>
  <si>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</si>
  <si>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</si>
  <si>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</si>
  <si>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</si>
  <si>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</si>
  <si>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</si>
  <si>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</si>
  <si>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</si>
  <si>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</si>
  <si>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</si>
  <si>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</si>
  <si>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</si>
  <si>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</si>
  <si>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</si>
  <si>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</si>
  <si>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</si>
  <si>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</si>
  <si>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</si>
  <si>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</si>
  <si>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</si>
  <si>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</si>
  <si>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</si>
  <si>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</si>
  <si>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</si>
  <si>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</si>
  <si>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</si>
  <si>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</si>
  <si>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</si>
  <si>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</si>
  <si>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</si>
  <si>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</si>
  <si>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</si>
  <si>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</si>
  <si>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</si>
  <si>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</si>
  <si>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</si>
  <si>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</si>
  <si>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</si>
  <si>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</si>
  <si>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</si>
  <si>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</si>
  <si>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</si>
  <si>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</si>
  <si>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</si>
  <si>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</si>
  <si>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</si>
  <si>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</si>
  <si>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</si>
  <si>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</si>
  <si>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</si>
  <si>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</si>
  <si>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</si>
  <si>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</si>
  <si>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</si>
  <si>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</si>
  <si>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</si>
  <si>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</si>
  <si>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</si>
  <si>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</si>
  <si>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</si>
  <si>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</si>
  <si>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</si>
  <si>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</si>
  <si>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</si>
  <si>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</si>
  <si>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</si>
  <si>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</si>
  <si>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</si>
  <si>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</si>
  <si>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</si>
  <si>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</si>
  <si>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</si>
  <si>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</si>
  <si>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</si>
  <si>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</si>
  <si>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</si>
  <si>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</si>
  <si>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</si>
  <si>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</si>
  <si>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</si>
  <si>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</si>
  <si>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</si>
  <si>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</si>
  <si>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</si>
  <si>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</si>
  <si>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</si>
  <si>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</si>
  <si>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</si>
  <si>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</si>
  <si>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</si>
  <si>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</si>
  <si>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</si>
  <si>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</si>
  <si>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</si>
  <si>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</si>
  <si>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</si>
  <si>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</si>
  <si>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</si>
  <si>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</si>
  <si>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</si>
  <si>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</si>
  <si>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</si>
  <si>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</si>
  <si>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</si>
  <si>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</si>
  <si>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</si>
  <si>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</si>
  <si>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</si>
  <si>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</si>
  <si>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</si>
  <si>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</si>
  <si>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</si>
  <si>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</si>
  <si>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</si>
  <si>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</si>
  <si>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</si>
  <si>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</si>
  <si>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</si>
  <si>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</si>
  <si>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</si>
  <si>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</si>
  <si>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</si>
  <si>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</si>
  <si>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</si>
  <si>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</si>
  <si>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</si>
  <si>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</si>
  <si>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</si>
  <si>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</si>
  <si>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</si>
  <si>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</si>
  <si>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</si>
  <si>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</si>
  <si>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</si>
  <si>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</si>
  <si>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</si>
  <si>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</si>
  <si>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</si>
  <si>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</si>
  <si>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</si>
  <si>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</si>
  <si>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</si>
  <si>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</si>
  <si>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</si>
  <si>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</si>
  <si>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</si>
  <si>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</si>
  <si>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</si>
  <si>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</si>
  <si>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</si>
  <si>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</si>
  <si>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</si>
  <si>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</si>
  <si>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</si>
  <si>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</si>
  <si>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</si>
  <si>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</si>
  <si>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</si>
  <si>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</si>
  <si>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</si>
  <si>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</si>
  <si>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</si>
  <si>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</si>
  <si>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</si>
  <si>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</si>
  <si>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</si>
  <si>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</si>
  <si>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</si>
  <si>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</si>
  <si>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</si>
  <si>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</si>
  <si>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</si>
  <si>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</si>
  <si>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</si>
  <si>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</si>
  <si>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</si>
  <si>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</si>
  <si>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</si>
  <si>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</si>
  <si>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</si>
  <si>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</si>
  <si>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</si>
  <si>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</si>
  <si>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</si>
  <si>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</si>
  <si>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</si>
  <si>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</si>
  <si>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</si>
  <si>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</si>
  <si>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</si>
  <si>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</si>
  <si>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</si>
  <si>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</si>
  <si>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</si>
  <si>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</si>
  <si>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</si>
  <si>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</si>
  <si>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</si>
  <si>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</si>
  <si>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</si>
  <si>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</si>
  <si>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</si>
  <si>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</si>
  <si>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</si>
  <si>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</si>
  <si>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</si>
  <si>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</si>
  <si>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</si>
  <si>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</si>
  <si>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</si>
  <si>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</si>
  <si>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</si>
  <si>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</si>
  <si>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</si>
  <si>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</si>
  <si>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</si>
  <si>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</si>
  <si>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</si>
  <si>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</si>
  <si>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</si>
  <si>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</si>
  <si>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</si>
  <si>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</si>
  <si>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</si>
  <si>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</si>
  <si>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</si>
  <si>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</si>
  <si>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</si>
  <si>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</si>
  <si>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</si>
  <si>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</si>
  <si>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</si>
  <si>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</si>
  <si>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</si>
  <si>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</si>
  <si>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</si>
  <si>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</si>
  <si>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</si>
  <si>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</si>
  <si>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</si>
  <si>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</si>
  <si>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</si>
  <si>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</si>
  <si>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</si>
  <si>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</si>
  <si>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</si>
  <si>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</si>
  <si>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</si>
  <si>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</si>
  <si>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</si>
  <si>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</si>
  <si>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</si>
  <si>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</si>
  <si>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</si>
  <si>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</si>
  <si>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</si>
  <si>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</si>
  <si>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</si>
  <si>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</si>
  <si>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</si>
  <si>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</si>
  <si>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</si>
  <si>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</si>
  <si>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</si>
  <si>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</si>
  <si>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</si>
  <si>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</si>
  <si>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</si>
  <si>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</si>
  <si>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</si>
  <si>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</si>
  <si>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</si>
  <si>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</si>
  <si>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</si>
  <si>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</si>
  <si>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</si>
  <si>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</si>
  <si>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</si>
  <si>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</si>
  <si>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</si>
  <si>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</si>
  <si>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</si>
  <si>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</si>
  <si>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</si>
  <si>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</si>
  <si>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</si>
  <si>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</si>
  <si>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</si>
  <si>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</si>
  <si>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</si>
  <si>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</si>
  <si>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</si>
  <si>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</si>
  <si>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</si>
  <si>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</si>
  <si>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</si>
  <si>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</si>
  <si>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</si>
  <si>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</si>
  <si>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</si>
  <si>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</si>
  <si>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</si>
  <si>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</si>
  <si>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</si>
  <si>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</si>
  <si>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</si>
  <si>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</si>
  <si>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</si>
  <si>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</si>
  <si>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</si>
  <si>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</si>
  <si>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</si>
  <si>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</si>
  <si>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</si>
  <si>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</si>
  <si>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</si>
  <si>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</si>
  <si>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</si>
  <si>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</si>
  <si>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</si>
  <si>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</si>
  <si>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</si>
  <si>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</si>
  <si>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</si>
  <si>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</si>
  <si>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</si>
  <si>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</si>
  <si>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</si>
  <si>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</si>
  <si>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</si>
  <si>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</si>
  <si>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</si>
  <si>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</si>
  <si>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</si>
  <si>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</si>
  <si>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</si>
  <si>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</si>
  <si>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</si>
  <si>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</si>
  <si>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</si>
  <si>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</si>
  <si>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</si>
  <si>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</si>
  <si>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</si>
  <si>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</si>
  <si>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</si>
  <si>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</si>
  <si>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</si>
  <si>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</si>
  <si>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</si>
  <si>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</si>
  <si>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</si>
  <si>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</si>
  <si>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</si>
  <si>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</si>
  <si>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</si>
  <si>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</si>
  <si>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</si>
  <si>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</si>
  <si>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</si>
  <si>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</si>
  <si>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</si>
  <si>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</si>
  <si>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</si>
  <si>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</si>
  <si>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</si>
  <si>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</si>
  <si>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</si>
  <si>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</si>
  <si>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</si>
  <si>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</si>
  <si>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</si>
  <si>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</si>
  <si>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</si>
  <si>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</si>
  <si>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</si>
  <si>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</si>
  <si>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</si>
  <si>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</si>
  <si>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</si>
  <si>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</si>
  <si>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</si>
  <si>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</si>
  <si>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</si>
  <si>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</si>
  <si>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</si>
  <si>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</si>
  <si>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</si>
  <si>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</si>
  <si>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</si>
  <si>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</si>
  <si>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</si>
  <si>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</si>
  <si>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</si>
  <si>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</si>
  <si>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</si>
  <si>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</si>
  <si>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</si>
  <si>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</si>
  <si>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</si>
  <si>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</si>
  <si>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</si>
  <si>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</si>
  <si>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</si>
  <si>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</si>
  <si>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</si>
  <si>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</si>
  <si>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</si>
  <si>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</si>
  <si>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</si>
  <si>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</si>
  <si>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</si>
  <si>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</si>
  <si>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</si>
  <si>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</si>
  <si>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</si>
  <si>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</si>
  <si>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</si>
  <si>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</si>
  <si>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</si>
  <si>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</si>
  <si>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</si>
  <si>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</si>
  <si>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</si>
  <si>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</si>
  <si>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</si>
  <si>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</si>
  <si>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</si>
  <si>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</si>
  <si>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</si>
  <si>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</si>
  <si>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</si>
  <si>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</si>
  <si>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</si>
  <si>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</si>
  <si>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</si>
  <si>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</si>
  <si>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</si>
  <si>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</si>
  <si>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</si>
  <si>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</si>
  <si>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</si>
  <si>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</si>
  <si>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</si>
  <si>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</si>
  <si>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</si>
  <si>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</si>
  <si>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</si>
  <si>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</si>
  <si>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</si>
  <si>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</si>
  <si>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</si>
  <si>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</si>
  <si>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</si>
  <si>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</si>
  <si>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</si>
  <si>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</si>
  <si>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</si>
  <si>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</si>
  <si>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</si>
  <si>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</si>
  <si>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</si>
  <si>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</si>
  <si>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</si>
  <si>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</si>
  <si>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</si>
  <si>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</si>
  <si>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</si>
  <si>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</si>
  <si>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</si>
  <si>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</si>
  <si>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</si>
  <si>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</si>
  <si>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</si>
  <si>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</si>
  <si>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</si>
  <si>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</si>
  <si>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</si>
  <si>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</si>
  <si>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</si>
  <si>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</si>
  <si>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</si>
  <si>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</si>
  <si>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</si>
  <si>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</si>
  <si>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</si>
  <si>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</si>
  <si>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</si>
  <si>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</si>
  <si>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</si>
  <si>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</si>
  <si>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</si>
  <si>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</si>
  <si>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</si>
  <si>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</si>
  <si>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</si>
  <si>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</si>
  <si>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</si>
  <si>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</si>
  <si>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</si>
  <si>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</si>
  <si>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</si>
  <si>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</si>
  <si>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</si>
  <si>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</si>
  <si>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</si>
  <si>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</si>
  <si>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</si>
  <si>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</si>
  <si>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</si>
  <si>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</si>
  <si>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</si>
  <si>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</si>
  <si>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</si>
  <si>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</si>
  <si>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</si>
  <si>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</si>
  <si>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</si>
  <si>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</si>
  <si>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</si>
  <si>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</si>
  <si>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</si>
  <si>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</si>
  <si>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</si>
  <si>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</si>
  <si>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</si>
  <si>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</si>
  <si>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</si>
  <si>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</si>
  <si>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</si>
  <si>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</si>
  <si>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</si>
  <si>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</si>
  <si>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</si>
  <si>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</si>
  <si>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</si>
  <si>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</si>
  <si>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</si>
  <si>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</si>
  <si>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</si>
  <si>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</si>
  <si>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</si>
  <si>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</si>
  <si>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</si>
  <si>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</si>
  <si>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</si>
  <si>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</si>
  <si>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</si>
  <si>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</si>
  <si>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</si>
  <si>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</si>
  <si>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</si>
  <si>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</si>
  <si>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</si>
  <si>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</si>
  <si>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</si>
  <si>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</si>
  <si>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</si>
  <si>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</si>
  <si>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</si>
  <si>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</si>
  <si>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</si>
  <si>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</si>
  <si>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</si>
  <si>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</si>
  <si>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</si>
  <si>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</si>
  <si>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</si>
  <si>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</si>
  <si>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</si>
  <si>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</si>
  <si>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</si>
  <si>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</si>
  <si>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</si>
  <si>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</si>
  <si>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</si>
  <si>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</si>
  <si>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</si>
  <si>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</si>
  <si>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</si>
  <si>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</si>
  <si>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</si>
  <si>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</si>
  <si>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</si>
  <si>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</si>
  <si>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</si>
  <si>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</si>
  <si>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</si>
  <si>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</si>
  <si>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</si>
  <si>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</si>
  <si>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</si>
  <si>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</si>
  <si>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</si>
  <si>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</si>
  <si>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</si>
  <si>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</si>
  <si>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</si>
  <si>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</si>
  <si>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</si>
  <si>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</si>
  <si>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</si>
  <si>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</si>
  <si>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</si>
  <si>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</si>
  <si>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</si>
  <si>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</si>
  <si>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</si>
  <si>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</si>
  <si>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</si>
  <si>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</si>
  <si>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</si>
  <si>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</si>
  <si>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</si>
  <si>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</si>
  <si>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</si>
  <si>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</si>
  <si>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</si>
  <si>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</si>
  <si>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</si>
  <si>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</si>
  <si>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</si>
  <si>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</si>
  <si>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</si>
  <si>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</si>
  <si>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</si>
  <si>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</si>
  <si>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</si>
  <si>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</si>
  <si>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</si>
  <si>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</si>
  <si>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</si>
  <si>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</si>
  <si>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</si>
  <si>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</si>
  <si>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</si>
  <si>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</si>
  <si>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</si>
  <si>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</si>
  <si>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</si>
  <si>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</si>
  <si>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</si>
  <si>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</si>
  <si>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</si>
  <si>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</si>
  <si>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</si>
  <si>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</si>
  <si>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</si>
  <si>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</si>
  <si>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</si>
  <si>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</si>
  <si>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</si>
  <si>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</si>
  <si>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</si>
  <si>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</si>
  <si>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</si>
  <si>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</si>
  <si>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</si>
  <si>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</si>
  <si>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</si>
  <si>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</si>
  <si>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</si>
  <si>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</si>
  <si>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</si>
  <si>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</si>
  <si>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</si>
  <si>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</si>
  <si>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</si>
  <si>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</si>
  <si>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</si>
  <si>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</si>
  <si>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</si>
  <si>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</si>
  <si>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</si>
  <si>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</si>
  <si>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</si>
  <si>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</si>
  <si>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</si>
  <si>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</si>
  <si>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</si>
  <si>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</si>
  <si>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</si>
  <si>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</si>
  <si>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</si>
  <si>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</si>
  <si>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</si>
  <si>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</si>
  <si>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</si>
  <si>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</si>
  <si>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</si>
  <si>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</si>
  <si>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</si>
  <si>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</si>
  <si>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</si>
  <si>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</si>
  <si>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</si>
  <si>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</si>
  <si>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</si>
  <si>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</si>
  <si>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</si>
  <si>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</si>
  <si>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</si>
  <si>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</si>
  <si>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</si>
  <si>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</si>
  <si>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</si>
  <si>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</si>
  <si>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</si>
  <si>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</si>
  <si>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</si>
  <si>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</si>
  <si>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</si>
  <si>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</si>
  <si>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</si>
  <si>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</si>
  <si>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</si>
  <si>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</si>
  <si>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</si>
  <si>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</si>
  <si>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</si>
  <si>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</si>
  <si>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</si>
  <si>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</si>
  <si>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</si>
  <si>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</si>
  <si>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</si>
  <si>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</si>
  <si>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</si>
  <si>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</si>
  <si>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</si>
  <si>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</si>
  <si>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</si>
  <si>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</si>
  <si>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</si>
  <si>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</si>
  <si>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</si>
  <si>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</si>
  <si>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</si>
  <si>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</si>
  <si>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</si>
  <si>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</si>
  <si>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</si>
  <si>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</si>
  <si>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</si>
  <si>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</si>
  <si>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</si>
  <si>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</si>
  <si>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</si>
  <si>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</si>
  <si>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</si>
  <si>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</si>
  <si>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</si>
  <si>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</si>
  <si>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</si>
  <si>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</si>
  <si>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</si>
  <si>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</si>
  <si>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</si>
  <si>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</si>
  <si>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</si>
  <si>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</si>
  <si>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</si>
  <si>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</si>
  <si>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</si>
  <si>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</si>
  <si>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</si>
  <si>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</si>
  <si>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</si>
  <si>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</si>
  <si>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</si>
  <si>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</si>
  <si>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</si>
  <si>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</si>
  <si>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</si>
  <si>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</si>
  <si>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</si>
  <si>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</si>
  <si>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</si>
  <si>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</si>
  <si>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</si>
  <si>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</si>
  <si>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</si>
  <si>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</si>
  <si>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</si>
  <si>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</si>
  <si>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</si>
  <si>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</si>
  <si>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</si>
  <si>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</si>
  <si>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</si>
  <si>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</si>
  <si>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</si>
  <si>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</si>
  <si>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</si>
  <si>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</si>
  <si>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</si>
  <si>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</si>
  <si>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</si>
  <si>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</si>
  <si>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</si>
  <si>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</si>
  <si>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</si>
  <si>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</si>
  <si>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</si>
  <si>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</si>
  <si>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</si>
  <si>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</si>
  <si>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</si>
  <si>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</si>
  <si>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</si>
  <si>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</si>
  <si>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</si>
  <si>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</si>
  <si>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</si>
  <si>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</si>
  <si>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</si>
  <si>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</si>
  <si>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</si>
  <si>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</si>
  <si>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</si>
  <si>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</si>
  <si>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</si>
  <si>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</si>
  <si>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</si>
  <si>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</si>
  <si>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</si>
  <si>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</si>
  <si>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</si>
  <si>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</si>
  <si>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</si>
  <si>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</si>
  <si>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</si>
  <si>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</si>
  <si>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</si>
  <si>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</si>
  <si>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</si>
  <si>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</si>
  <si>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</si>
  <si>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</si>
  <si>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</si>
  <si>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</si>
  <si>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</si>
  <si>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</si>
  <si>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</si>
  <si>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</si>
  <si>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</si>
  <si>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</si>
  <si>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</si>
  <si>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</si>
  <si>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</si>
  <si>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</si>
  <si>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</si>
  <si>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</si>
  <si>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</si>
  <si>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</si>
  <si>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</si>
  <si>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</si>
  <si>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</si>
  <si>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</si>
  <si>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</si>
  <si>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</si>
  <si>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</si>
  <si>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</si>
  <si>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</si>
  <si>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</si>
  <si>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</si>
  <si>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</si>
  <si>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</si>
  <si>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</si>
  <si>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</si>
  <si>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</si>
  <si>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</si>
  <si>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</si>
  <si>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</si>
  <si>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</si>
  <si>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</si>
  <si>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</si>
  <si>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</si>
  <si>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</si>
  <si>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</si>
  <si>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</si>
  <si>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</si>
  <si>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</si>
  <si>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</si>
  <si>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</si>
  <si>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</si>
  <si>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</si>
  <si>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</si>
  <si>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</si>
  <si>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</si>
  <si>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</si>
  <si>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</si>
  <si>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</si>
  <si>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</si>
  <si>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</si>
  <si>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</si>
  <si>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</si>
  <si>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</si>
  <si>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</si>
  <si>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</si>
  <si>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</si>
  <si>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</si>
  <si>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</si>
  <si>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</si>
  <si>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</si>
  <si>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</si>
  <si>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</si>
  <si>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</si>
  <si>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</si>
  <si>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</si>
  <si>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</si>
  <si>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</si>
  <si>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</si>
  <si>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</si>
  <si>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</si>
  <si>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</si>
  <si>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</si>
  <si>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</si>
  <si>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</si>
  <si>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</si>
  <si>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</si>
  <si>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</si>
  <si>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</si>
  <si>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</si>
  <si>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</si>
  <si>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</si>
  <si>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</si>
  <si>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</si>
  <si>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</si>
  <si>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</si>
  <si>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</si>
  <si>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</si>
  <si>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</si>
  <si>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</si>
  <si>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</si>
  <si>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</si>
  <si>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</si>
  <si>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</si>
  <si>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</si>
  <si>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</si>
  <si>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</si>
  <si>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</si>
  <si>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</si>
  <si>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</si>
  <si>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</si>
  <si>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</si>
  <si>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</si>
  <si>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</si>
  <si>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</si>
  <si>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</si>
  <si>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</si>
  <si>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</si>
  <si>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</si>
  <si>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</si>
  <si>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</si>
  <si>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</si>
  <si>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</si>
  <si>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</si>
  <si>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</si>
  <si>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</si>
  <si>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</si>
  <si>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</si>
  <si>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</si>
  <si>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</si>
  <si>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</si>
  <si>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</si>
  <si>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</si>
  <si>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</si>
  <si>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</si>
  <si>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</si>
  <si>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</si>
  <si>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</si>
  <si>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</si>
  <si>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</si>
  <si>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</si>
  <si>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</si>
  <si>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</si>
  <si>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</si>
  <si>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</si>
  <si>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</si>
  <si>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</si>
  <si>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</si>
  <si>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</si>
  <si>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</si>
  <si>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</si>
  <si>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</si>
  <si>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</si>
  <si>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</si>
  <si>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</si>
  <si>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</si>
  <si>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</si>
  <si>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</si>
  <si>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</si>
  <si>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</si>
  <si>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</si>
  <si>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</si>
  <si>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</si>
  <si>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</si>
  <si>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</si>
  <si>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</si>
  <si>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</si>
  <si>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</si>
  <si>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</si>
  <si>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</si>
  <si>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</si>
  <si>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</si>
  <si>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</si>
  <si>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</si>
  <si>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</si>
  <si>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</si>
  <si>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</si>
  <si>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</si>
  <si>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</si>
  <si>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</si>
  <si>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</si>
  <si>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</si>
  <si>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</si>
  <si>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</si>
  <si>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</si>
  <si>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</si>
  <si>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</si>
  <si>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</si>
  <si>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</si>
  <si>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</si>
  <si>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</si>
  <si>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</si>
  <si>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</si>
  <si>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</si>
  <si>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</si>
  <si>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</si>
  <si>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</si>
  <si>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</si>
  <si>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</si>
  <si>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</si>
  <si>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</si>
  <si>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</si>
  <si>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</si>
  <si>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</si>
  <si>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</si>
  <si>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</si>
  <si>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</si>
  <si>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</si>
  <si>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</si>
  <si>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</si>
  <si>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</si>
  <si>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</si>
  <si>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</si>
  <si>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</si>
  <si>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</si>
  <si>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</si>
  <si>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</si>
  <si>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</si>
  <si>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</si>
  <si>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</si>
  <si>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</si>
  <si>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</si>
  <si>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</si>
  <si>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</si>
  <si>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</si>
  <si>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</si>
  <si>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</si>
  <si>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</si>
  <si>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</si>
  <si>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</si>
  <si>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</si>
  <si>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</si>
  <si>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</si>
  <si>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</si>
  <si>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</si>
  <si>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</si>
  <si>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</si>
  <si>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</si>
  <si>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</si>
  <si>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</si>
  <si>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</si>
  <si>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</si>
  <si>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</si>
  <si>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</si>
  <si>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</si>
  <si>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</si>
  <si>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</si>
  <si>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</si>
  <si>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</si>
  <si>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</si>
  <si>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</si>
  <si>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</si>
  <si>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</si>
  <si>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</si>
  <si>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</si>
  <si>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</si>
  <si>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</si>
  <si>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</si>
  <si>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</si>
  <si>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</si>
  <si>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</si>
  <si>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</si>
  <si>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</si>
  <si>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</si>
  <si>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</si>
  <si>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</si>
  <si>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</si>
  <si>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</si>
  <si>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</si>
  <si>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</si>
  <si>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</si>
  <si>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</si>
  <si>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</si>
  <si>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</si>
  <si>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</si>
  <si>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</si>
  <si>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</si>
  <si>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</si>
  <si>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</si>
  <si>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</si>
  <si>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</si>
  <si>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</si>
  <si>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</si>
  <si>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</si>
  <si>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</si>
  <si>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</si>
  <si>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</si>
  <si>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</si>
  <si>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</si>
  <si>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</si>
  <si>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</si>
  <si>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</si>
  <si>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</si>
  <si>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</si>
  <si>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</si>
  <si>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</si>
  <si>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</si>
  <si>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</si>
  <si>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</si>
  <si>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</si>
  <si>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</si>
  <si>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</si>
  <si>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</si>
  <si>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</si>
  <si>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</si>
  <si>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</si>
  <si>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</si>
  <si>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</si>
  <si>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</si>
  <si>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</si>
  <si>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</si>
  <si>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</si>
  <si>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</si>
  <si>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</si>
  <si>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</si>
  <si>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</si>
  <si>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</si>
  <si>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</si>
  <si>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</si>
  <si>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</si>
  <si>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</si>
  <si>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</si>
  <si>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</si>
  <si>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</si>
  <si>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</si>
  <si>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</si>
  <si>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</si>
  <si>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</si>
  <si>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</si>
  <si>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</si>
  <si>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</si>
  <si>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</si>
  <si>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</si>
  <si>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</si>
  <si>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</si>
  <si>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</si>
  <si>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</si>
  <si>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</si>
  <si>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</si>
  <si>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</si>
  <si>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</si>
  <si>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</si>
  <si>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</si>
  <si>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</si>
  <si>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</si>
  <si>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</si>
  <si>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</si>
  <si>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</si>
  <si>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</si>
  <si>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</si>
  <si>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</si>
  <si>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</si>
  <si>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</si>
  <si>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</si>
  <si>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</si>
  <si>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</si>
  <si>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</si>
  <si>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</si>
  <si>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</si>
  <si>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</si>
  <si>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</si>
  <si>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</si>
  <si>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</si>
  <si>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</si>
  <si>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</si>
  <si>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</si>
  <si>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</si>
  <si>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</si>
  <si>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</si>
  <si>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</si>
  <si>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</si>
  <si>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</si>
  <si>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</si>
  <si>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</si>
  <si>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</si>
  <si>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</si>
  <si>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</si>
  <si>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</si>
  <si>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</si>
  <si>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</si>
  <si>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</si>
  <si>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</si>
  <si>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</si>
  <si>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</si>
  <si>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</si>
  <si>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</si>
  <si>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</si>
  <si>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</si>
  <si>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</si>
  <si>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</si>
  <si>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</si>
  <si>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</si>
  <si>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</si>
  <si>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</si>
  <si>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</si>
  <si>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</si>
  <si>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</si>
  <si>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</si>
  <si>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</si>
  <si>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</si>
  <si>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</si>
  <si>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</si>
  <si>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</si>
  <si>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</si>
  <si>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</si>
  <si>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</si>
  <si>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</si>
  <si>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</si>
  <si>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</si>
  <si>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</si>
  <si>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</si>
  <si>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</si>
  <si>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</si>
  <si>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</si>
  <si>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</si>
  <si>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</si>
  <si>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</si>
  <si>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</si>
  <si>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</si>
  <si>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</si>
  <si>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</si>
  <si>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</si>
  <si>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</si>
  <si>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</si>
  <si>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</si>
  <si>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</si>
  <si>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</si>
  <si>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</si>
  <si>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</si>
  <si>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</si>
  <si>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</si>
  <si>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</si>
  <si>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</si>
  <si>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</si>
  <si>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</si>
  <si>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</si>
  <si>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</si>
  <si>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</si>
  <si>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</si>
  <si>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</si>
  <si>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</si>
  <si>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</si>
  <si>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</si>
  <si>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</si>
  <si>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</si>
  <si>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</si>
  <si>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</si>
  <si>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</si>
  <si>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</si>
  <si>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</si>
  <si>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</si>
  <si>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</si>
  <si>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</si>
  <si>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</si>
  <si>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</si>
  <si>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</si>
  <si>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</si>
  <si>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</si>
  <si>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</si>
  <si>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</si>
  <si>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</si>
  <si>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</si>
  <si>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</si>
  <si>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</si>
  <si>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</si>
  <si>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</si>
  <si>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</si>
  <si>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</si>
  <si>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</si>
  <si>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</si>
  <si>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</si>
  <si>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</si>
  <si>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</si>
  <si>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</si>
  <si>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</si>
  <si>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</si>
  <si>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</si>
  <si>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</si>
  <si>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</si>
  <si>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</si>
  <si>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</si>
  <si>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</si>
  <si>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</si>
  <si>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</si>
  <si>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</si>
  <si>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</si>
  <si>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</si>
  <si>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</si>
  <si>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</si>
  <si>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</si>
  <si>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</si>
  <si>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</si>
  <si>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</si>
  <si>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</si>
  <si>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</si>
  <si>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</si>
  <si>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</si>
  <si>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</si>
  <si>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</si>
  <si>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</si>
  <si>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</si>
  <si>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</si>
  <si>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</si>
  <si>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</si>
  <si>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</si>
  <si>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</si>
  <si>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</si>
  <si>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</si>
  <si>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</si>
  <si>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</si>
  <si>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</si>
  <si>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</si>
  <si>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</si>
  <si>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</si>
  <si>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</si>
  <si>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</si>
  <si>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</si>
  <si>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</si>
  <si>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</si>
  <si>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</si>
  <si>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</si>
  <si>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</si>
  <si>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</si>
  <si>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</si>
  <si>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</si>
  <si>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</si>
  <si>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</si>
  <si>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</si>
  <si>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</si>
  <si>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</si>
  <si>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</si>
  <si>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</si>
  <si>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</si>
  <si>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</si>
  <si>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</si>
  <si>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</si>
  <si>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</si>
  <si>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</si>
  <si>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</si>
  <si>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</si>
  <si>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</si>
  <si>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</si>
  <si>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</si>
  <si>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</si>
  <si>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</si>
  <si>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</si>
  <si>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</si>
  <si>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</si>
  <si>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</si>
  <si>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</si>
  <si>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</si>
  <si>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</si>
  <si>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</si>
  <si>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</si>
  <si>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</si>
  <si>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</si>
  <si>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</si>
  <si>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</si>
  <si>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</si>
  <si>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</si>
  <si>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</si>
  <si>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</si>
  <si>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</si>
  <si>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</si>
  <si>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</si>
  <si>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</si>
  <si>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</si>
  <si>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</si>
  <si>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</si>
  <si>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</si>
  <si>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</si>
  <si>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</si>
  <si>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</si>
  <si>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</si>
  <si>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</si>
  <si>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</si>
  <si>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</si>
  <si>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</si>
  <si>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</si>
  <si>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</si>
  <si>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</si>
  <si>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</si>
  <si>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</si>
  <si>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</si>
  <si>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</si>
  <si>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</si>
  <si>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</si>
  <si>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</si>
  <si>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</si>
  <si>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</si>
  <si>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</si>
  <si>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</si>
  <si>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</si>
  <si>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</si>
  <si>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</si>
  <si>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</si>
  <si>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</si>
  <si>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</si>
  <si>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</si>
  <si>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</si>
  <si>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</si>
  <si>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</si>
  <si>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</si>
  <si>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</si>
  <si>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</si>
  <si>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</si>
  <si>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</si>
  <si>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</si>
  <si>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</si>
  <si>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</si>
  <si>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</si>
  <si>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</si>
  <si>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</si>
  <si>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</si>
  <si>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</si>
  <si>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</si>
  <si>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</si>
  <si>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</si>
  <si>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</si>
  <si>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</si>
  <si>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</si>
  <si>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</si>
  <si>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</si>
  <si>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</si>
  <si>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</si>
  <si>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</si>
  <si>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</si>
  <si>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</si>
  <si>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</si>
  <si>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</si>
  <si>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</si>
  <si>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</si>
  <si>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</si>
  <si>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</si>
  <si>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</si>
  <si>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</si>
  <si>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</si>
  <si>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</si>
  <si>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</si>
  <si>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</si>
  <si>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</si>
  <si>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</si>
  <si>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</si>
  <si>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</si>
  <si>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</si>
  <si>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</si>
  <si>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</si>
  <si>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</si>
  <si>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</si>
  <si>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</si>
  <si>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</si>
  <si>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</si>
  <si>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</si>
  <si>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</si>
  <si>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</si>
  <si>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</si>
  <si>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</si>
  <si>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</si>
  <si>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</si>
  <si>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</si>
  <si>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</si>
  <si>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</si>
  <si>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</si>
  <si>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</si>
  <si>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</si>
  <si>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</si>
  <si>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</si>
  <si>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</si>
  <si>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</si>
  <si>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</si>
  <si>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</si>
  <si>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</si>
  <si>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</si>
  <si>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</si>
  <si>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</si>
  <si>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</si>
  <si>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</si>
  <si>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</si>
  <si>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</si>
  <si>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</si>
  <si>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</si>
  <si>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</si>
  <si>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</si>
  <si>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</si>
  <si>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</si>
  <si>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</si>
  <si>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</si>
  <si>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</si>
  <si>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</si>
  <si>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</si>
  <si>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</si>
  <si>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</si>
  <si>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</si>
  <si>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</si>
  <si>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</si>
  <si>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</si>
  <si>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</si>
  <si>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</si>
  <si>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</si>
  <si>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</si>
  <si>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</si>
  <si>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</si>
  <si>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</si>
  <si>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</si>
  <si>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</si>
  <si>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</si>
  <si>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</si>
  <si>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</si>
  <si>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</si>
  <si>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</si>
  <si>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</si>
  <si>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</si>
  <si>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</si>
  <si>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</si>
  <si>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</si>
  <si>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</si>
  <si>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</si>
  <si>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</si>
  <si>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</si>
  <si>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</si>
  <si>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</si>
  <si>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</si>
  <si>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</si>
  <si>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</si>
  <si>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</si>
  <si>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</si>
  <si>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</si>
  <si>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</si>
  <si>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</si>
  <si>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</si>
  <si>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</si>
  <si>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</si>
  <si>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</si>
  <si>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</si>
  <si>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</si>
  <si>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</si>
  <si>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</si>
  <si>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</si>
  <si>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</si>
  <si>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</si>
  <si>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</si>
  <si>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</si>
  <si>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</si>
  <si>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</si>
  <si>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</si>
  <si>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</si>
  <si>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</si>
  <si>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</si>
  <si>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</si>
  <si>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</si>
  <si>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</si>
  <si>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</si>
  <si>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</si>
  <si>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</si>
  <si>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</si>
  <si>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</si>
  <si>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</si>
  <si>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</si>
  <si>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</si>
  <si>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</si>
  <si>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</si>
  <si>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</si>
  <si>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</si>
  <si>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</si>
  <si>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</si>
  <si>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</si>
  <si>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</si>
  <si>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</si>
  <si>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</si>
  <si>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</si>
  <si>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</si>
  <si>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</si>
  <si>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</si>
  <si>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</si>
  <si>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</si>
  <si>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</si>
  <si>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</si>
  <si>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</si>
  <si>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</si>
  <si>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</si>
  <si>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</si>
  <si>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</si>
  <si>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</si>
  <si>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</si>
  <si>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</si>
  <si>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</si>
  <si>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</si>
  <si>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</si>
  <si>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</si>
  <si>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</si>
  <si>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</si>
  <si>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</si>
  <si>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</si>
  <si>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</si>
  <si>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</si>
  <si>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</si>
  <si>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</si>
  <si>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</si>
  <si>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</si>
  <si>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</si>
  <si>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</si>
  <si>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</si>
  <si>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</si>
  <si>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</si>
  <si>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</si>
  <si>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</si>
  <si>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</si>
  <si>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</si>
  <si>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</si>
  <si>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</si>
  <si>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</si>
  <si>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</si>
  <si>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</si>
  <si>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</si>
  <si>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</si>
  <si>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</si>
  <si>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</si>
  <si>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</si>
  <si>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</si>
  <si>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</si>
  <si>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</si>
  <si>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</si>
  <si>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</si>
  <si>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</si>
  <si>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</si>
  <si>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</si>
  <si>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</si>
  <si>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</si>
  <si>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</si>
  <si>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</si>
  <si>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</si>
  <si>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</si>
  <si>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</si>
  <si>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</si>
  <si>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</si>
  <si>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</si>
  <si>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</si>
  <si>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</si>
  <si>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</si>
  <si>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</si>
  <si>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</si>
  <si>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</si>
  <si>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</si>
  <si>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</si>
  <si>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</si>
  <si>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</si>
  <si>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</si>
  <si>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</si>
  <si>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</si>
  <si>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</si>
  <si>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</si>
  <si>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</si>
  <si>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</si>
  <si>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</si>
  <si>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</si>
  <si>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</si>
  <si>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</si>
  <si>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</si>
  <si>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</si>
  <si>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</si>
  <si>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</si>
  <si>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</si>
  <si>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</si>
  <si>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</si>
  <si>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</si>
  <si>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</si>
  <si>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</si>
  <si>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</si>
  <si>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</si>
  <si>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</si>
  <si>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</si>
  <si>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</si>
  <si>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</si>
  <si>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</si>
  <si>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</si>
  <si>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</si>
  <si>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</si>
  <si>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</si>
  <si>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</si>
  <si>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</si>
  <si>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</si>
  <si>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</si>
  <si>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</si>
  <si>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</si>
  <si>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</si>
  <si>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</si>
  <si>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</si>
  <si>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</si>
  <si>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</si>
  <si>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</si>
  <si>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</si>
  <si>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</si>
  <si>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</si>
  <si>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</si>
  <si>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</si>
  <si>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</si>
  <si>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</si>
  <si>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</si>
  <si>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</si>
  <si>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</si>
  <si>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</si>
  <si>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</si>
  <si>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</si>
  <si>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</si>
  <si>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</si>
  <si>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</si>
  <si>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</si>
  <si>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</si>
  <si>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</si>
  <si>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</si>
  <si>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</si>
  <si>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</si>
  <si>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</si>
  <si>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</si>
  <si>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</si>
  <si>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</si>
  <si>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</si>
  <si>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</si>
  <si>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</si>
  <si>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</si>
  <si>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</si>
  <si>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</si>
  <si>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</si>
  <si>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</si>
  <si>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</si>
  <si>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</si>
  <si>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</si>
  <si>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</si>
  <si>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</si>
  <si>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</si>
  <si>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</si>
  <si>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</si>
  <si>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</si>
  <si>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</si>
  <si>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</si>
  <si>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</si>
  <si>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</si>
  <si>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</si>
  <si>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</si>
  <si>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</si>
  <si>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</si>
  <si>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</si>
  <si>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</si>
  <si>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</si>
  <si>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</si>
  <si>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</si>
  <si>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</si>
  <si>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</si>
  <si>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</si>
  <si>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</si>
  <si>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</si>
  <si>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</si>
  <si>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</si>
  <si>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</si>
  <si>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</si>
  <si>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</si>
  <si>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</si>
  <si>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</si>
  <si>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</si>
  <si>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</si>
  <si>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</si>
  <si>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</si>
  <si>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</si>
  <si>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</si>
  <si>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</si>
  <si>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</si>
  <si>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</si>
  <si>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</si>
  <si>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</si>
  <si>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</si>
  <si>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</si>
  <si>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</si>
  <si>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</si>
  <si>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</si>
  <si>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</si>
  <si>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</si>
  <si>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</si>
  <si>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</si>
  <si>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</si>
  <si>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</si>
  <si>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</si>
  <si>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</si>
  <si>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</si>
  <si>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</si>
  <si>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</si>
  <si>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</si>
  <si>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</si>
  <si>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</si>
  <si>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</si>
  <si>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</si>
  <si>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</si>
  <si>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</si>
  <si>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</si>
  <si>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</si>
  <si>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</si>
  <si>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</si>
  <si>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</si>
  <si>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</si>
  <si>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</si>
  <si>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</si>
  <si>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</si>
  <si>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</si>
  <si>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</si>
  <si>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</si>
  <si>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</si>
  <si>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</si>
  <si>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</si>
  <si>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</si>
  <si>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</si>
  <si>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</si>
  <si>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</si>
  <si>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</si>
  <si>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</si>
  <si>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</si>
  <si>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</si>
  <si>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</si>
  <si>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</si>
  <si>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</si>
  <si>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</si>
  <si>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</si>
  <si>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</si>
  <si>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</si>
  <si>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</si>
  <si>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</si>
  <si>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</si>
  <si>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</si>
  <si>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</si>
  <si>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</si>
  <si>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</si>
  <si>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</si>
  <si>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</si>
  <si>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</si>
  <si>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</si>
  <si>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</si>
  <si>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</si>
  <si>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</si>
  <si>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</si>
  <si>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</si>
  <si>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</si>
  <si>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</si>
  <si>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</si>
  <si>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</si>
  <si>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</si>
  <si>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</si>
  <si>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</si>
  <si>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</si>
  <si>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</si>
  <si>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</si>
  <si>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</si>
  <si>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</si>
  <si>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</si>
  <si>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</si>
  <si>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</si>
  <si>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</si>
  <si>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</si>
  <si>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</si>
  <si>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</si>
  <si>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</si>
  <si>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</si>
  <si>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</si>
  <si>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</si>
  <si>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</si>
  <si>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</si>
  <si>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</si>
  <si>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</si>
  <si>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</si>
  <si>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</si>
  <si>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</si>
  <si>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</si>
  <si>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</si>
  <si>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</si>
  <si>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</si>
  <si>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</si>
  <si>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</si>
  <si>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</si>
  <si>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</si>
  <si>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</si>
  <si>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</si>
  <si>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</si>
  <si>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</si>
  <si>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</si>
  <si>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</si>
  <si>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</si>
  <si>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</si>
  <si>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</si>
  <si>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</si>
  <si>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</si>
  <si>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</si>
  <si>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</si>
  <si>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</si>
  <si>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</si>
  <si>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</si>
  <si>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</si>
  <si>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</si>
  <si>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</si>
  <si>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</si>
  <si>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</si>
  <si>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</si>
  <si>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</si>
  <si>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</si>
  <si>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</si>
  <si>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</si>
  <si>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</si>
  <si>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</si>
  <si>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</si>
  <si>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</si>
  <si>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</si>
  <si>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</si>
  <si>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</si>
  <si>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</si>
  <si>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</si>
  <si>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</si>
  <si>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</si>
  <si>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</si>
  <si>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</si>
  <si>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</si>
  <si>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</si>
  <si>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</si>
  <si>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</si>
  <si>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</si>
  <si>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</si>
  <si>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</si>
  <si>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</si>
  <si>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</si>
  <si>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</si>
  <si>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</si>
  <si>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</si>
  <si>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</si>
  <si>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</si>
  <si>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</si>
  <si>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</si>
  <si>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</si>
  <si>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</si>
  <si>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</si>
  <si>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</si>
  <si>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</si>
  <si>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</si>
  <si>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</si>
  <si>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</si>
  <si>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</si>
  <si>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</si>
  <si>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</si>
  <si>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</si>
  <si>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</si>
  <si>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</si>
  <si>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</si>
  <si>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</si>
  <si>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</si>
  <si>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</si>
  <si>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</si>
  <si>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</si>
  <si>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</si>
  <si>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</si>
  <si>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</si>
  <si>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</si>
  <si>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</si>
  <si>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</si>
  <si>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</si>
  <si>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</si>
  <si>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</si>
  <si>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</si>
  <si>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</si>
  <si>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</si>
  <si>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</si>
  <si>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</si>
  <si>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</si>
  <si>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</si>
  <si>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</si>
  <si>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</si>
  <si>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</si>
  <si>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</si>
  <si>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</si>
  <si>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</si>
  <si>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</si>
  <si>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</si>
  <si>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</si>
  <si>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</si>
  <si>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</si>
  <si>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</si>
  <si>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</si>
  <si>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</si>
  <si>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</si>
  <si>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</si>
  <si>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</si>
  <si>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</si>
  <si>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</si>
  <si>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</si>
  <si>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</si>
  <si>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</si>
  <si>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</si>
  <si>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</si>
  <si>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</si>
  <si>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</si>
  <si>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</si>
  <si>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</si>
  <si>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</si>
  <si>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</si>
  <si>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</si>
  <si>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</si>
  <si>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</si>
  <si>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</si>
  <si>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</si>
  <si>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</si>
  <si>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</si>
  <si>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</si>
  <si>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</si>
  <si>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</si>
  <si>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</si>
  <si>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</si>
  <si>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</si>
  <si>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</si>
  <si>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</si>
  <si>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</si>
  <si>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</si>
  <si>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</si>
  <si>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</si>
  <si>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</si>
  <si>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</si>
  <si>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</si>
  <si>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</si>
  <si>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</si>
  <si>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</si>
  <si>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</si>
  <si>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</si>
  <si>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</si>
  <si>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</si>
  <si>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</si>
  <si>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</si>
  <si>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</si>
  <si>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</si>
  <si>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</si>
  <si>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</si>
  <si>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</si>
  <si>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</si>
  <si>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</si>
  <si>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</si>
  <si>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</si>
  <si>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</si>
  <si>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</si>
  <si>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</si>
  <si>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</si>
  <si>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</si>
  <si>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</si>
  <si>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</si>
  <si>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</si>
  <si>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</si>
  <si>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</si>
  <si>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</si>
  <si>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</si>
  <si>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</si>
  <si>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</si>
  <si>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</si>
  <si>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</si>
  <si>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</si>
  <si>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</si>
  <si>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</si>
  <si>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</si>
  <si>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</si>
  <si>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</si>
  <si>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</si>
  <si>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</si>
  <si>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</si>
  <si>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</si>
  <si>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</si>
  <si>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</si>
  <si>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</si>
  <si>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</si>
  <si>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</si>
  <si>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</si>
  <si>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</si>
  <si>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</si>
  <si>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</si>
  <si>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</si>
  <si>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</si>
  <si>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</si>
  <si>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</si>
  <si>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</si>
  <si>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</si>
  <si>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</si>
  <si>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</si>
  <si>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</si>
  <si>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</si>
  <si>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</si>
  <si>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</si>
  <si>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</si>
  <si>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</si>
  <si>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</si>
  <si>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</si>
  <si>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</si>
  <si>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</si>
  <si>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</si>
  <si>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</si>
  <si>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</si>
  <si>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</si>
  <si>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</si>
  <si>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</si>
  <si>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</si>
  <si>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</si>
  <si>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</si>
  <si>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</si>
  <si>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</si>
  <si>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</si>
  <si>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</si>
  <si>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</si>
  <si>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</si>
  <si>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</si>
  <si>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</si>
  <si>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</si>
  <si>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</si>
  <si>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</si>
  <si>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</si>
  <si>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</si>
  <si>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</si>
  <si>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</si>
  <si>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</si>
  <si>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</si>
  <si>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</si>
  <si>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</si>
  <si>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</si>
  <si>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</si>
  <si>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</si>
  <si>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</si>
  <si>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</si>
  <si>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</si>
  <si>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</si>
  <si>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</si>
  <si>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</si>
  <si>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</si>
  <si>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</si>
  <si>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</si>
  <si>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</si>
  <si>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</si>
  <si>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</si>
  <si>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</si>
  <si>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</si>
  <si>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</si>
  <si>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</si>
  <si>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</si>
  <si>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</si>
  <si>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</si>
  <si>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</si>
  <si>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</si>
  <si>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</si>
  <si>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</si>
  <si>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</si>
  <si>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</si>
  <si>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</si>
  <si>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</si>
  <si>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</si>
  <si>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</si>
  <si>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</si>
  <si>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</si>
  <si>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</si>
  <si>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</si>
  <si>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</si>
  <si>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</si>
  <si>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</si>
  <si>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</si>
  <si>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</si>
  <si>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</si>
  <si>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</si>
  <si>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</si>
  <si>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</si>
  <si>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</si>
  <si>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</si>
  <si>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</si>
  <si>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</si>
  <si>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</si>
  <si>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</si>
  <si>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</si>
  <si>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</si>
  <si>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</si>
  <si>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</si>
  <si>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</si>
  <si>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</si>
  <si>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</si>
  <si>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</si>
  <si>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</si>
  <si>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</si>
  <si>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</si>
  <si>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</si>
  <si>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</si>
  <si>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</si>
  <si>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</si>
  <si>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</si>
  <si>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</si>
  <si>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</si>
  <si>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</si>
  <si>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</si>
  <si>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</si>
  <si>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</si>
  <si>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</si>
  <si>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</si>
  <si>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</si>
  <si>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</si>
  <si>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</si>
  <si>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</si>
  <si>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</si>
  <si>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</si>
  <si>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</si>
  <si>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</si>
  <si>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</si>
  <si>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</si>
  <si>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</si>
  <si>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</si>
  <si>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</si>
  <si>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</si>
  <si>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</si>
  <si>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</si>
  <si>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</si>
  <si>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</si>
  <si>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</si>
  <si>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</si>
  <si>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</si>
  <si>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</si>
  <si>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</si>
  <si>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</si>
  <si>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</si>
  <si>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</si>
  <si>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</si>
  <si>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</si>
  <si>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</si>
  <si>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</si>
  <si>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</si>
  <si>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</si>
  <si>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</si>
  <si>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</si>
  <si>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</si>
  <si>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</si>
  <si>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</si>
  <si>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</si>
  <si>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</si>
  <si>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</si>
  <si>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</si>
  <si>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</si>
  <si>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</si>
  <si>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</si>
  <si>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</si>
  <si>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</si>
  <si>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</si>
  <si>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</si>
  <si>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</si>
  <si>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</si>
  <si>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</si>
  <si>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</si>
  <si>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</si>
  <si>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</si>
  <si>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</si>
  <si>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</si>
  <si>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</si>
  <si>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</si>
  <si>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</si>
  <si>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</si>
  <si>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</si>
  <si>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</si>
  <si>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</si>
  <si>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</si>
  <si>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</si>
  <si>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</si>
  <si>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</si>
  <si>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</si>
  <si>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</si>
  <si>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</si>
  <si>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</si>
  <si>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</si>
  <si>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</si>
  <si>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</si>
  <si>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</si>
  <si>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</si>
  <si>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</si>
  <si>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</si>
  <si>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</si>
  <si>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</si>
  <si>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</si>
  <si>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</si>
  <si>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</si>
  <si>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</si>
  <si>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</si>
  <si>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</si>
  <si>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</si>
  <si>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</si>
  <si>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</si>
  <si>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</si>
  <si>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</si>
  <si>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</si>
  <si>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</si>
  <si>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</si>
  <si>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</si>
  <si>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</si>
  <si>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</si>
  <si>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</si>
  <si>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</si>
  <si>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</si>
  <si>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</si>
  <si>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</si>
  <si>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</si>
  <si>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</si>
  <si>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</si>
  <si>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</si>
  <si>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</si>
  <si>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</si>
  <si>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</si>
  <si>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</si>
  <si>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</si>
  <si>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</si>
  <si>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</si>
  <si>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</si>
  <si>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</si>
  <si>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</si>
  <si>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</si>
  <si>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</si>
  <si>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</si>
  <si>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</si>
  <si>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</si>
  <si>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</si>
  <si>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</si>
  <si>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</si>
  <si>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</si>
  <si>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</si>
  <si>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</si>
  <si>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</si>
  <si>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刘梅</t>
  </si>
  <si>
    <t>吴薇</t>
  </si>
  <si>
    <t>抵押</t>
  </si>
  <si>
    <t>房地产抵押价值</t>
  </si>
  <si>
    <t>北京市</t>
  </si>
  <si>
    <t>企业</t>
  </si>
  <si>
    <t>出让</t>
  </si>
  <si>
    <t>地上</t>
  </si>
  <si>
    <t>是</t>
  </si>
  <si>
    <t>是</t>
    <phoneticPr fontId="4" type="noConversion"/>
  </si>
  <si>
    <t>否</t>
  </si>
  <si>
    <t>地块名称</t>
  </si>
  <si>
    <t>城市</t>
  </si>
  <si>
    <t>用地性质</t>
  </si>
  <si>
    <t>建设用地面积(㎡)</t>
  </si>
  <si>
    <t>规划建筑面积(㎡)</t>
  </si>
  <si>
    <t>容积率</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</si>
  <si>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</si>
  <si>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</si>
  <si>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</si>
  <si>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</si>
  <si>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</si>
  <si>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4" type="noConversion"/>
  </si>
  <si>
    <t>溢价率</t>
  </si>
  <si>
    <t>受让单位</t>
  </si>
  <si>
    <t>驸马街以南,架鼓山路以东</t>
  </si>
  <si>
    <t>镇江市</t>
  </si>
  <si>
    <t>商业/办公用地</t>
  </si>
  <si>
    <t>1＜容积率≤2.75</t>
  </si>
  <si>
    <t>挂牌</t>
  </si>
  <si>
    <t>2018-02-12</t>
  </si>
  <si>
    <t>镇江市丹徒区城建投资有限公司</t>
  </si>
  <si>
    <t>润兴路以西,润旺路以南</t>
  </si>
  <si>
    <t>1＜容积率≤3.50</t>
  </si>
  <si>
    <t>镇江高新置业有限公司</t>
  </si>
  <si>
    <t>铭东路以北,慈行路以西</t>
  </si>
  <si>
    <t>容积率≤0.65</t>
  </si>
  <si>
    <t>镇江华建置业有限公司</t>
  </si>
  <si>
    <t>金山路以南</t>
  </si>
  <si>
    <t>容积率≤2.02</t>
  </si>
  <si>
    <t>镇江市润州区恒发土地房屋开发公司</t>
  </si>
  <si>
    <t>黄山西路以南,檀山路以东</t>
  </si>
  <si>
    <t>1＜容积率≤2.50</t>
  </si>
  <si>
    <t>倪戚华</t>
  </si>
  <si>
    <t>宜侯路以南、赵声路以西</t>
  </si>
  <si>
    <t>容积率≤0.60</t>
  </si>
  <si>
    <t>2017-12-07</t>
  </si>
  <si>
    <t>江苏圌山旅游文化发展有限公司</t>
  </si>
  <si>
    <t>赵声路以东、平昌路以北</t>
  </si>
  <si>
    <t>容积率≤0.80</t>
  </si>
  <si>
    <t>金润大道以北</t>
  </si>
  <si>
    <t>容积率≤0.40</t>
  </si>
  <si>
    <t>2017-09-08</t>
  </si>
  <si>
    <t>镇江南出口石化有限公司</t>
  </si>
  <si>
    <t>大西路以南、旺角广场以西</t>
  </si>
  <si>
    <t>1＜容积率≤1.20</t>
  </si>
  <si>
    <t>江苏朱方置业股份有限公司</t>
  </si>
  <si>
    <t>盛丹路以北、新城福联以东</t>
  </si>
  <si>
    <t>镇江华荣利丰汽车销售服务有限公司</t>
  </si>
  <si>
    <t>长香西大道以北,长青路以西</t>
  </si>
  <si>
    <t>1＜容积率≤1.15</t>
  </si>
  <si>
    <t>镇江市丹徒区西麓上甸加油站</t>
  </si>
  <si>
    <t>谷阳东大道以北</t>
  </si>
  <si>
    <t>容积率≤0.20</t>
  </si>
  <si>
    <t>镇江市丹徒区三山液化气供应站(普通合伙)</t>
  </si>
  <si>
    <t>盛丹路以北、盛园路以东</t>
  </si>
  <si>
    <t>1＜容积率≤1.05</t>
  </si>
  <si>
    <t>镇江新城福联汽车贸易有限公司</t>
  </si>
  <si>
    <t>润州区长江路以北、环湖路以东</t>
  </si>
  <si>
    <t>容积率≤0.75</t>
  </si>
  <si>
    <t>2017-01-12</t>
  </si>
  <si>
    <t>镇江文化旅游产业集团有限责任公司</t>
  </si>
  <si>
    <t>2016-2-3</t>
  </si>
  <si>
    <t>镇江市中港石油有限公司</t>
  </si>
  <si>
    <t>R1601地块(金山湖以西2号地块)</t>
  </si>
  <si>
    <t>容积率≤0.37</t>
  </si>
  <si>
    <t>2016-06-08</t>
  </si>
  <si>
    <t>R1605地块(金山湖以西5-1号地块)</t>
  </si>
  <si>
    <t>容积率≤0.17</t>
  </si>
  <si>
    <t>R1603地块(金山湖以西3-2号地块)</t>
  </si>
  <si>
    <t>容积率≤0.30</t>
  </si>
  <si>
    <t>镇江大白鲸海洋世界有限公司</t>
  </si>
  <si>
    <t>R1606地块(金山湖以西5-2号地块)</t>
  </si>
  <si>
    <t>容积率≤0.12</t>
  </si>
  <si>
    <t>R1602地块(金山湖以西3-1号地块)</t>
  </si>
  <si>
    <t>丹徒区宝堰镇</t>
  </si>
  <si>
    <t>1≤容积率≤1.20</t>
  </si>
  <si>
    <t>2016-03-03</t>
  </si>
  <si>
    <t>镇江市丹徒区凯瑞建材有限公司</t>
  </si>
  <si>
    <t>R1509地块</t>
  </si>
  <si>
    <t>1＜容积率≤1.12</t>
  </si>
  <si>
    <t>2016-01-14</t>
  </si>
  <si>
    <t>镇江交通产业集团有限公司</t>
  </si>
  <si>
    <t>D1506地块</t>
  </si>
  <si>
    <t>1＜容积率≤3.9</t>
  </si>
  <si>
    <t>江苏乾景文化创意产业发展有限公司</t>
  </si>
  <si>
    <t>R1512地块</t>
  </si>
  <si>
    <t>镇江市润州区土地房屋开发总公司</t>
  </si>
  <si>
    <t>丹徒区上党镇</t>
  </si>
  <si>
    <t>1≤容积率≤2.45</t>
  </si>
  <si>
    <t>2015-12-31</t>
  </si>
  <si>
    <t>镇江万豪置业有限公司</t>
  </si>
  <si>
    <t>R1507地块</t>
  </si>
  <si>
    <t>2015-11-19</t>
  </si>
  <si>
    <t>镇江市诚润置业有限公司</t>
  </si>
  <si>
    <t>J1502地块</t>
  </si>
  <si>
    <t>镇江城市建设产业集团有限公司</t>
  </si>
  <si>
    <t>J1501地块</t>
  </si>
  <si>
    <t>镇江长江游戏谷文化产业发展有限公司</t>
  </si>
  <si>
    <t>R1510地块</t>
  </si>
  <si>
    <t>/</t>
  </si>
  <si>
    <t>滨江大道以东、长江工艺品公司以南</t>
  </si>
  <si>
    <t>2015-06-29</t>
  </si>
  <si>
    <t>镇江瑞城房地产开发有限公司</t>
  </si>
  <si>
    <t>苗家湾路以南</t>
  </si>
  <si>
    <t>容积率≤1.60</t>
  </si>
  <si>
    <t>2015-03-30</t>
  </si>
  <si>
    <t>宜侯路以南、赵声路以东</t>
  </si>
  <si>
    <t>大于1并且小于或等于1.2</t>
  </si>
  <si>
    <t>2015-01-30</t>
  </si>
  <si>
    <t>镇江新区城市建设投资有限公司</t>
  </si>
  <si>
    <t>禹山路以北</t>
  </si>
  <si>
    <t>小于或等于0.3</t>
  </si>
  <si>
    <t>镇江金鹰石化有限公司</t>
  </si>
  <si>
    <t>宜侯路以南、银山南路以西</t>
  </si>
  <si>
    <t>枣林路以东、站前路以南</t>
  </si>
  <si>
    <t>小于或等于1.6</t>
  </si>
  <si>
    <t>镇江市西津渡文化旅游有限责任公司</t>
  </si>
  <si>
    <t>捆山河以西</t>
  </si>
  <si>
    <t>大于1并且小于或等于1.05</t>
  </si>
  <si>
    <t>纬三路以北</t>
  </si>
  <si>
    <t>镇江中贸汽车销售有限公司</t>
  </si>
  <si>
    <t>苗家湾路以东、丁卯桥路以南</t>
  </si>
  <si>
    <t>大于1并且小于或等于2.85</t>
  </si>
  <si>
    <t>江苏大港置业有限公司</t>
  </si>
  <si>
    <t>DT1318地块</t>
  </si>
  <si>
    <t>大于1并且小于或等于1.6</t>
  </si>
  <si>
    <t>2014-06-30</t>
  </si>
  <si>
    <t>朱健栋</t>
  </si>
  <si>
    <t>DT1323G地块</t>
  </si>
  <si>
    <t>镇江市丹徒区宝堰镇家庭家禽批发部</t>
  </si>
  <si>
    <t>DT1312地块</t>
  </si>
  <si>
    <t>大于1并且小于或等于1.3</t>
  </si>
  <si>
    <t>镇江天成房地产开发有限公司</t>
  </si>
  <si>
    <t>DT1136地块</t>
  </si>
  <si>
    <t>小于等于2.5</t>
  </si>
  <si>
    <t>2014-05-30</t>
  </si>
  <si>
    <t>镇江领尚房地产有限公司</t>
  </si>
  <si>
    <t>丁卯桥路北地块</t>
  </si>
  <si>
    <t>小于等于1.05</t>
  </si>
  <si>
    <t>镇江宝德汽车服务有限公司</t>
  </si>
  <si>
    <t>智慧大道西地块</t>
  </si>
  <si>
    <t>小于等于3.5</t>
  </si>
  <si>
    <t>江苏鑫利华锐置业有限公司</t>
  </si>
  <si>
    <t>二道巷以西地块</t>
  </si>
  <si>
    <t>小于等于1.38</t>
  </si>
  <si>
    <t>长江路以南地块</t>
  </si>
  <si>
    <t>小于等于0.3</t>
  </si>
  <si>
    <t>中国石油化工股份有限公司江苏镇江石油分公司</t>
  </si>
  <si>
    <t>DT1355地块</t>
  </si>
  <si>
    <t>小于等于1.8</t>
  </si>
  <si>
    <t>镇江益海芯投资管理有限公司</t>
  </si>
  <si>
    <t>DT1338地块</t>
  </si>
  <si>
    <t>镇江高运石油制品有限公司</t>
  </si>
  <si>
    <t>DT1357地块</t>
  </si>
  <si>
    <t>镇江市长达能源有限公司</t>
  </si>
  <si>
    <t>聚贤路东地块</t>
  </si>
  <si>
    <t>小于等于3.25</t>
  </si>
  <si>
    <t>镇江幸福屯电子商务产业发展有限公司</t>
  </si>
  <si>
    <t>商业</t>
    <phoneticPr fontId="32" type="noConversion"/>
  </si>
  <si>
    <t>楼面地价</t>
  </si>
  <si>
    <t>主干道</t>
    <phoneticPr fontId="32" type="noConversion"/>
  </si>
  <si>
    <t>次干道</t>
  </si>
  <si>
    <t>次干道</t>
    <phoneticPr fontId="32" type="noConversion"/>
  </si>
  <si>
    <t>支路</t>
    <phoneticPr fontId="32" type="noConversion"/>
  </si>
  <si>
    <t>港南路</t>
    <phoneticPr fontId="32" type="noConversion"/>
  </si>
  <si>
    <t>规则</t>
    <phoneticPr fontId="32" type="noConversion"/>
  </si>
  <si>
    <t>较规则</t>
  </si>
  <si>
    <t>较规则</t>
    <phoneticPr fontId="32" type="noConversion"/>
  </si>
  <si>
    <t>较不规则</t>
    <phoneticPr fontId="32" type="noConversion"/>
  </si>
  <si>
    <t>较适宜</t>
  </si>
  <si>
    <t>较适宜</t>
    <phoneticPr fontId="32" type="noConversion"/>
  </si>
  <si>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</si>
  <si>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</si>
  <si>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</si>
  <si>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</si>
  <si>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</si>
  <si>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</si>
  <si>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好</t>
    <phoneticPr fontId="32" type="noConversion"/>
  </si>
  <si>
    <t>较好</t>
  </si>
  <si>
    <t>较好</t>
    <phoneticPr fontId="32" type="noConversion"/>
  </si>
  <si>
    <t>现房</t>
  </si>
  <si>
    <t>成新度</t>
  </si>
  <si>
    <t>未包含在土地购买价格中</t>
  </si>
  <si>
    <t>全部缴纳</t>
  </si>
  <si>
    <t>已包含在土地取得成本中</t>
  </si>
  <si>
    <t>土地比较法-住宅、综合</t>
  </si>
  <si>
    <t>中信信托</t>
    <phoneticPr fontId="7" type="noConversion"/>
  </si>
  <si>
    <t>宜侯璐</t>
    <phoneticPr fontId="32" type="noConversion"/>
  </si>
  <si>
    <t>平昌路</t>
    <phoneticPr fontId="32" type="noConversion"/>
  </si>
  <si>
    <t>健康路</t>
    <phoneticPr fontId="32" type="noConversion"/>
  </si>
  <si>
    <t>一般</t>
  </si>
  <si>
    <t>押一</t>
  </si>
  <si>
    <t>按租金收入计税</t>
  </si>
  <si>
    <t>钢混</t>
  </si>
  <si>
    <t>非生产用房</t>
  </si>
  <si>
    <t>收益法 (车库)</t>
    <phoneticPr fontId="17" type="noConversion"/>
  </si>
  <si>
    <t>自定义</t>
  </si>
  <si>
    <t>其他省市系数</t>
  </si>
  <si>
    <t>建筑面积</t>
    <phoneticPr fontId="144" type="noConversion"/>
  </si>
  <si>
    <t>土地面积</t>
    <phoneticPr fontId="144" type="noConversion"/>
  </si>
  <si>
    <t>楼层</t>
    <phoneticPr fontId="144" type="noConversion"/>
  </si>
  <si>
    <t>楼号</t>
    <phoneticPr fontId="144" type="noConversion"/>
  </si>
  <si>
    <t>不动产证</t>
    <phoneticPr fontId="144" type="noConversion"/>
  </si>
  <si>
    <r>
      <t>苏（2018）镇江市不动产权第0042753号</t>
    </r>
    <r>
      <rPr>
        <sz val="11"/>
        <color theme="1"/>
        <rFont val="宋体"/>
        <family val="2"/>
        <charset val="134"/>
        <scheme val="minor"/>
      </rPr>
      <t/>
    </r>
    <phoneticPr fontId="144" type="noConversion"/>
  </si>
  <si>
    <r>
      <t>1幢105室</t>
    </r>
    <r>
      <rPr>
        <sz val="11"/>
        <color theme="1"/>
        <rFont val="宋体"/>
        <family val="2"/>
        <charset val="134"/>
        <scheme val="minor"/>
      </rPr>
      <t/>
    </r>
    <phoneticPr fontId="144" type="noConversion"/>
  </si>
  <si>
    <t>总楼层</t>
    <phoneticPr fontId="144" type="noConversion"/>
  </si>
  <si>
    <t>苏（2018）镇江市不动产权第0042181号</t>
    <phoneticPr fontId="144" type="noConversion"/>
  </si>
  <si>
    <t>1幢106室</t>
  </si>
  <si>
    <t>苏（2018）镇江市不动产权第0042748号</t>
    <phoneticPr fontId="144" type="noConversion"/>
  </si>
  <si>
    <t>1幢107室</t>
  </si>
  <si>
    <t>1幢108室</t>
  </si>
  <si>
    <t>1幢109室</t>
  </si>
  <si>
    <t>1幢110室</t>
  </si>
  <si>
    <t>1幢111室</t>
  </si>
  <si>
    <t>1幢112室</t>
  </si>
  <si>
    <t>1幢113室</t>
  </si>
  <si>
    <t>1幢114室</t>
  </si>
  <si>
    <t>1幢115室</t>
  </si>
  <si>
    <t>1幢116室</t>
  </si>
  <si>
    <t>1幢117室</t>
  </si>
  <si>
    <t>1幢118室</t>
  </si>
  <si>
    <t>1幢119室</t>
  </si>
  <si>
    <t>1幢120室</t>
  </si>
  <si>
    <t>苏（2018）镇江市不动产权第0042756号</t>
    <phoneticPr fontId="144" type="noConversion"/>
  </si>
  <si>
    <t>苏（2018）镇江市不动产权第0042750号</t>
    <phoneticPr fontId="144" type="noConversion"/>
  </si>
  <si>
    <t>苏（2018）镇江市不动产权第0042180号</t>
    <phoneticPr fontId="144" type="noConversion"/>
  </si>
  <si>
    <t>苏（2018）镇江市不动产权第0042749号</t>
    <phoneticPr fontId="144" type="noConversion"/>
  </si>
  <si>
    <t>苏（2018）镇江市不动产权第0042751号</t>
    <phoneticPr fontId="144" type="noConversion"/>
  </si>
  <si>
    <t>苏（2018）镇江市不动产权第0042728号</t>
    <phoneticPr fontId="144" type="noConversion"/>
  </si>
  <si>
    <t>苏（2018）镇江市不动产权第0042546号</t>
    <phoneticPr fontId="144" type="noConversion"/>
  </si>
  <si>
    <t>苏（2018）镇江市不动产权第0042726号</t>
    <phoneticPr fontId="144" type="noConversion"/>
  </si>
  <si>
    <t>苏（2018）镇江市不动产权第0042718号</t>
    <phoneticPr fontId="144" type="noConversion"/>
  </si>
  <si>
    <t>苏（2018）镇江市不动产权第0042704号</t>
    <phoneticPr fontId="144" type="noConversion"/>
  </si>
  <si>
    <t>苏（2018）镇江市不动产权第0042706号</t>
    <phoneticPr fontId="144" type="noConversion"/>
  </si>
  <si>
    <t>苏（2018）镇江市不动产权第0042703号</t>
    <phoneticPr fontId="144" type="noConversion"/>
  </si>
  <si>
    <t>苏（2018）镇江市不动产权第0042561号</t>
    <phoneticPr fontId="144" type="noConversion"/>
  </si>
  <si>
    <t>1幢121室</t>
  </si>
  <si>
    <t>1幢122室</t>
  </si>
  <si>
    <t>1幢123室</t>
  </si>
  <si>
    <t>1幢124室</t>
  </si>
  <si>
    <t>苏（2018）镇江市不动产权第0042548号</t>
    <phoneticPr fontId="144" type="noConversion"/>
  </si>
  <si>
    <t>苏（2018）镇江市不动产权第0042173号</t>
    <phoneticPr fontId="144" type="noConversion"/>
  </si>
  <si>
    <t>苏（2018）镇江市不动产权第0042744号</t>
    <phoneticPr fontId="144" type="noConversion"/>
  </si>
  <si>
    <t>苏（2018）镇江市不动产权第0042739号</t>
    <phoneticPr fontId="144" type="noConversion"/>
  </si>
  <si>
    <t>苏（2018）镇江市不动产权第0042547号</t>
    <phoneticPr fontId="144" type="noConversion"/>
  </si>
  <si>
    <t>1幢203室</t>
  </si>
  <si>
    <t>1幢203室</t>
    <phoneticPr fontId="144" type="noConversion"/>
  </si>
  <si>
    <t>1幢204室</t>
  </si>
  <si>
    <t>1幢205室</t>
  </si>
  <si>
    <t>1幢206室</t>
  </si>
  <si>
    <t>1幢207室</t>
  </si>
  <si>
    <t>1幢208室</t>
  </si>
  <si>
    <t>1幢209室</t>
  </si>
  <si>
    <t>1幢210室</t>
  </si>
  <si>
    <t>1幢211室</t>
  </si>
  <si>
    <t>1幢212室</t>
  </si>
  <si>
    <t>1幢213室</t>
  </si>
  <si>
    <t>1幢214室</t>
  </si>
  <si>
    <t>1幢215室</t>
  </si>
  <si>
    <t>1幢216室</t>
  </si>
  <si>
    <t>1幢217室</t>
  </si>
  <si>
    <t>1幢218室</t>
  </si>
  <si>
    <t>1幢219室</t>
  </si>
  <si>
    <t>1幢220室</t>
  </si>
  <si>
    <t>1幢221室</t>
  </si>
  <si>
    <t>1幢222室</t>
  </si>
  <si>
    <t>1幢223室</t>
  </si>
  <si>
    <t>苏（2018）镇江市不动产权第0042545号</t>
    <phoneticPr fontId="144" type="noConversion"/>
  </si>
  <si>
    <t>苏（2018）镇江市不动产权第0042735号</t>
    <phoneticPr fontId="144" type="noConversion"/>
  </si>
  <si>
    <t>苏（2018）镇江市不动产权第0042731号</t>
    <phoneticPr fontId="144" type="noConversion"/>
  </si>
  <si>
    <t>苏（2018）镇江市不动产权第0042725号</t>
    <phoneticPr fontId="144" type="noConversion"/>
  </si>
  <si>
    <t>苏（2018）镇江市不动产权第0042717号</t>
    <phoneticPr fontId="144" type="noConversion"/>
  </si>
  <si>
    <t>苏（2018）镇江市不动产权第0042705号</t>
    <phoneticPr fontId="144" type="noConversion"/>
  </si>
  <si>
    <t>苏（2018）镇江市不动产权第0042702号</t>
    <phoneticPr fontId="144" type="noConversion"/>
  </si>
  <si>
    <t>苏（2018）镇江市不动产权第0042741号</t>
    <phoneticPr fontId="144" type="noConversion"/>
  </si>
  <si>
    <t>苏（2018）镇江市不动产权第0042740号</t>
    <phoneticPr fontId="144" type="noConversion"/>
  </si>
  <si>
    <t>苏（2018）镇江市不动产权第0042737号</t>
    <phoneticPr fontId="144" type="noConversion"/>
  </si>
  <si>
    <t>苏（2018）镇江市不动产权第0042733号</t>
    <phoneticPr fontId="144" type="noConversion"/>
  </si>
  <si>
    <t>苏（2018）镇江市不动产权第0042727号</t>
    <phoneticPr fontId="144" type="noConversion"/>
  </si>
  <si>
    <t>苏（2018）镇江市不动产权第0042719号</t>
    <phoneticPr fontId="144" type="noConversion"/>
  </si>
  <si>
    <t>苏（2018）镇江市不动产权第0042178号</t>
    <phoneticPr fontId="144" type="noConversion"/>
  </si>
  <si>
    <t>苏（2018）镇江市不动产权第0042176号</t>
    <phoneticPr fontId="144" type="noConversion"/>
  </si>
  <si>
    <t>苏（2018）镇江市不动产权第0042699号</t>
    <phoneticPr fontId="144" type="noConversion"/>
  </si>
  <si>
    <t>苏（2018）镇江市不动产权第0042175号</t>
    <phoneticPr fontId="144" type="noConversion"/>
  </si>
  <si>
    <t>苏（2018）镇江市不动产权第0042746号</t>
    <phoneticPr fontId="144" type="noConversion"/>
  </si>
  <si>
    <t>苏（2018）镇江市不动产权第0042754号</t>
    <phoneticPr fontId="144" type="noConversion"/>
  </si>
  <si>
    <t>苏（2018）镇江市不动产权第0042182号</t>
    <phoneticPr fontId="144" type="noConversion"/>
  </si>
  <si>
    <t>1幢第3层0302室</t>
  </si>
  <si>
    <t>1幢第3层0302室</t>
    <phoneticPr fontId="144" type="noConversion"/>
  </si>
  <si>
    <r>
      <t>竣工时间2</t>
    </r>
    <r>
      <rPr>
        <sz val="11"/>
        <color theme="1"/>
        <rFont val="宋体"/>
        <family val="3"/>
        <charset val="134"/>
        <scheme val="minor"/>
      </rPr>
      <t>013年12月12日</t>
    </r>
    <phoneticPr fontId="144" type="noConversion"/>
  </si>
  <si>
    <t>苏（2018）镇江市不动产权第0042758号</t>
    <phoneticPr fontId="144" type="noConversion"/>
  </si>
  <si>
    <t>1幢0303室</t>
  </si>
  <si>
    <t>1幢0303室</t>
    <phoneticPr fontId="144" type="noConversion"/>
  </si>
  <si>
    <t>苏（2018）镇江市不动产权第0042757号</t>
    <phoneticPr fontId="144" type="noConversion"/>
  </si>
  <si>
    <t>1幢0402室</t>
  </si>
  <si>
    <t>1幢0402室</t>
    <phoneticPr fontId="144" type="noConversion"/>
  </si>
  <si>
    <r>
      <t>竣工时间2</t>
    </r>
    <r>
      <rPr>
        <sz val="11"/>
        <color theme="1"/>
        <rFont val="宋体"/>
        <family val="3"/>
        <charset val="134"/>
        <scheme val="minor"/>
      </rPr>
      <t>013年12月13日</t>
    </r>
    <r>
      <rPr>
        <sz val="11"/>
        <color theme="1"/>
        <rFont val="宋体"/>
        <family val="2"/>
        <charset val="134"/>
        <scheme val="minor"/>
      </rPr>
      <t/>
    </r>
  </si>
  <si>
    <r>
      <t>竣工时间2</t>
    </r>
    <r>
      <rPr>
        <sz val="11"/>
        <color theme="1"/>
        <rFont val="宋体"/>
        <family val="3"/>
        <charset val="134"/>
        <scheme val="minor"/>
      </rPr>
      <t>013年12月14日</t>
    </r>
    <r>
      <rPr>
        <sz val="11"/>
        <color theme="1"/>
        <rFont val="宋体"/>
        <family val="2"/>
        <charset val="134"/>
        <scheme val="minor"/>
      </rPr>
      <t/>
    </r>
  </si>
  <si>
    <r>
      <t>竣工时间2</t>
    </r>
    <r>
      <rPr>
        <sz val="11"/>
        <color theme="1"/>
        <rFont val="宋体"/>
        <family val="3"/>
        <charset val="134"/>
        <scheme val="minor"/>
      </rPr>
      <t>013年12月15日</t>
    </r>
    <r>
      <rPr>
        <sz val="11"/>
        <color theme="1"/>
        <rFont val="宋体"/>
        <family val="2"/>
        <charset val="134"/>
        <scheme val="minor"/>
      </rPr>
      <t/>
    </r>
  </si>
  <si>
    <r>
      <t>竣工时间2</t>
    </r>
    <r>
      <rPr>
        <sz val="11"/>
        <color theme="1"/>
        <rFont val="宋体"/>
        <family val="3"/>
        <charset val="134"/>
        <scheme val="minor"/>
      </rPr>
      <t>013年12月16日</t>
    </r>
    <r>
      <rPr>
        <sz val="11"/>
        <color theme="1"/>
        <rFont val="宋体"/>
        <family val="2"/>
        <charset val="134"/>
        <scheme val="minor"/>
      </rPr>
      <t/>
    </r>
  </si>
  <si>
    <r>
      <t>竣工时间2</t>
    </r>
    <r>
      <rPr>
        <sz val="11"/>
        <color theme="1"/>
        <rFont val="宋体"/>
        <family val="3"/>
        <charset val="134"/>
        <scheme val="minor"/>
      </rPr>
      <t>013年12月17日</t>
    </r>
    <r>
      <rPr>
        <sz val="11"/>
        <color theme="1"/>
        <rFont val="宋体"/>
        <family val="2"/>
        <charset val="134"/>
        <scheme val="minor"/>
      </rPr>
      <t/>
    </r>
  </si>
  <si>
    <t>苏（2018）镇江市不动产权第0042188号</t>
    <phoneticPr fontId="144" type="noConversion"/>
  </si>
  <si>
    <t>1幢0403室</t>
  </si>
  <si>
    <t>苏（2018）镇江市不动产权第0042187号</t>
    <phoneticPr fontId="144" type="noConversion"/>
  </si>
  <si>
    <t>1幢0502室</t>
  </si>
  <si>
    <t>1幢0502室</t>
    <phoneticPr fontId="144" type="noConversion"/>
  </si>
  <si>
    <t>苏（2018）镇江市不动产权第0042186号</t>
    <phoneticPr fontId="144" type="noConversion"/>
  </si>
  <si>
    <t>1幢0503室</t>
  </si>
  <si>
    <t>1幢0503室</t>
    <phoneticPr fontId="144" type="noConversion"/>
  </si>
  <si>
    <t>苏（2018）镇江市不动产权第0042184号</t>
    <phoneticPr fontId="144" type="noConversion"/>
  </si>
  <si>
    <t>2幢0101室</t>
  </si>
  <si>
    <t>2幢0101室</t>
    <phoneticPr fontId="144" type="noConversion"/>
  </si>
  <si>
    <r>
      <t>竣工时间2013年12月14日</t>
    </r>
    <r>
      <rPr>
        <sz val="11"/>
        <color theme="1"/>
        <rFont val="宋体"/>
        <family val="2"/>
        <charset val="134"/>
        <scheme val="minor"/>
      </rPr>
      <t/>
    </r>
    <phoneticPr fontId="144" type="noConversion"/>
  </si>
  <si>
    <t>宗地面积12873.1</t>
    <phoneticPr fontId="144" type="noConversion"/>
  </si>
  <si>
    <t>宗地面积4339.2</t>
    <phoneticPr fontId="144" type="noConversion"/>
  </si>
  <si>
    <r>
      <t>1</t>
    </r>
    <r>
      <rPr>
        <sz val="11"/>
        <color theme="1"/>
        <rFont val="宋体"/>
        <family val="3"/>
        <charset val="134"/>
        <scheme val="minor"/>
      </rPr>
      <t>-2层挑高</t>
    </r>
    <phoneticPr fontId="144" type="noConversion"/>
  </si>
  <si>
    <t>合计</t>
    <phoneticPr fontId="144" type="noConversion"/>
  </si>
  <si>
    <t>商业项目</t>
  </si>
  <si>
    <t>是</t>
    <phoneticPr fontId="4" type="noConversion"/>
  </si>
  <si>
    <t>1幢105室</t>
  </si>
  <si>
    <t>商业用房</t>
  </si>
  <si>
    <t>商业用房</t>
    <phoneticPr fontId="8" type="noConversion"/>
  </si>
  <si>
    <r>
      <t>1</t>
    </r>
    <r>
      <rPr>
        <sz val="10"/>
        <color indexed="8"/>
        <rFont val="宋体"/>
        <family val="3"/>
        <charset val="134"/>
      </rPr>
      <t>层</t>
    </r>
    <phoneticPr fontId="26" type="noConversion"/>
  </si>
  <si>
    <r>
      <t>2</t>
    </r>
    <r>
      <rPr>
        <sz val="10"/>
        <color indexed="8"/>
        <rFont val="宋体"/>
        <family val="3"/>
        <charset val="134"/>
      </rPr>
      <t>层</t>
    </r>
    <phoneticPr fontId="26"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</si>
  <si>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</si>
  <si>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</si>
  <si>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</si>
  <si>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r>
      <t>1-2</t>
    </r>
    <r>
      <rPr>
        <sz val="10"/>
        <color indexed="8"/>
        <rFont val="宋体"/>
        <family val="3"/>
        <charset val="134"/>
      </rPr>
      <t>层</t>
    </r>
    <phoneticPr fontId="26" type="noConversion"/>
  </si>
  <si>
    <t>临街状况</t>
    <phoneticPr fontId="4" type="noConversion"/>
  </si>
  <si>
    <t>可视性</t>
    <phoneticPr fontId="4" type="noConversion"/>
  </si>
  <si>
    <t>装修情况</t>
    <phoneticPr fontId="4" type="noConversion"/>
  </si>
  <si>
    <t>多面临街</t>
    <phoneticPr fontId="32" type="noConversion"/>
  </si>
  <si>
    <t>双面临街</t>
    <phoneticPr fontId="32" type="noConversion"/>
  </si>
  <si>
    <t>单面临街</t>
    <phoneticPr fontId="32" type="noConversion"/>
  </si>
  <si>
    <t>临街坊路</t>
    <phoneticPr fontId="32" type="noConversion"/>
  </si>
  <si>
    <t>大</t>
    <phoneticPr fontId="32" type="noConversion"/>
  </si>
  <si>
    <t>较大</t>
    <phoneticPr fontId="32" type="noConversion"/>
  </si>
  <si>
    <r>
      <t>1</t>
    </r>
    <r>
      <rPr>
        <sz val="11"/>
        <color indexed="8"/>
        <rFont val="宋体"/>
        <family val="3"/>
        <charset val="134"/>
      </rPr>
      <t>层</t>
    </r>
    <phoneticPr fontId="32" type="noConversion"/>
  </si>
  <si>
    <r>
      <t>2</t>
    </r>
    <r>
      <rPr>
        <sz val="11"/>
        <color indexed="8"/>
        <rFont val="宋体"/>
        <family val="3"/>
        <charset val="134"/>
      </rPr>
      <t>层</t>
    </r>
    <phoneticPr fontId="32" type="noConversion"/>
  </si>
  <si>
    <t>商业综合体</t>
    <phoneticPr fontId="32" type="noConversion"/>
  </si>
  <si>
    <t>商业街商铺</t>
    <phoneticPr fontId="32" type="noConversion"/>
  </si>
  <si>
    <t>独栋商业</t>
    <phoneticPr fontId="32" type="noConversion"/>
  </si>
  <si>
    <t>住宅底商</t>
    <phoneticPr fontId="32" type="noConversion"/>
  </si>
  <si>
    <t>写字楼底商</t>
    <phoneticPr fontId="32" type="noConversion"/>
  </si>
  <si>
    <t>钢混</t>
    <phoneticPr fontId="32" type="noConversion"/>
  </si>
  <si>
    <t>精装</t>
    <phoneticPr fontId="32" type="noConversion"/>
  </si>
  <si>
    <t>普装</t>
    <phoneticPr fontId="32" type="noConversion"/>
  </si>
  <si>
    <t>简装</t>
    <phoneticPr fontId="32" type="noConversion"/>
  </si>
  <si>
    <t>毛坯</t>
    <phoneticPr fontId="32" type="noConversion"/>
  </si>
  <si>
    <t>较适宜</t>
    <phoneticPr fontId="32" type="noConversion"/>
  </si>
  <si>
    <t>超高</t>
    <phoneticPr fontId="32" type="noConversion"/>
  </si>
  <si>
    <t>标准</t>
    <phoneticPr fontId="32" type="noConversion"/>
  </si>
  <si>
    <t>可餐饮</t>
    <phoneticPr fontId="32" type="noConversion"/>
  </si>
  <si>
    <t>不可餐饮</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</si>
  <si>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</si>
  <si>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</si>
  <si>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</si>
  <si>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</si>
  <si>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</si>
  <si>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业态</t>
    <phoneticPr fontId="4" type="noConversion"/>
  </si>
  <si>
    <t>层高</t>
    <phoneticPr fontId="4" type="noConversion"/>
  </si>
  <si>
    <t>正常</t>
  </si>
  <si>
    <t>售价</t>
  </si>
  <si>
    <t>比较法-商业</t>
  </si>
  <si>
    <t>1层</t>
  </si>
  <si>
    <t>2层</t>
  </si>
  <si>
    <t>3层</t>
  </si>
  <si>
    <t>4层</t>
  </si>
  <si>
    <t>5层</t>
  </si>
  <si>
    <t>1-2层</t>
  </si>
  <si>
    <t>超高</t>
  </si>
  <si>
    <t>超高</t>
    <phoneticPr fontId="26" type="noConversion"/>
  </si>
  <si>
    <t>标准</t>
  </si>
  <si>
    <t>标准</t>
    <phoneticPr fontId="26" type="noConversion"/>
  </si>
  <si>
    <t>多面临街</t>
  </si>
  <si>
    <t>双面临街</t>
  </si>
  <si>
    <t>单面临街</t>
  </si>
  <si>
    <t>临街坊路</t>
  </si>
  <si>
    <t>好</t>
  </si>
  <si>
    <t>较差</t>
  </si>
  <si>
    <t>差</t>
  </si>
  <si>
    <t>精装</t>
  </si>
  <si>
    <t>普装</t>
  </si>
  <si>
    <t>简装</t>
  </si>
  <si>
    <t>毛坯</t>
  </si>
  <si>
    <t>可餐饮</t>
  </si>
  <si>
    <t>不可餐饮</t>
  </si>
  <si>
    <r>
      <t>苏（2</t>
    </r>
    <r>
      <rPr>
        <sz val="11"/>
        <color theme="1"/>
        <rFont val="宋体"/>
        <family val="3"/>
        <charset val="134"/>
        <scheme val="minor"/>
      </rPr>
      <t>018）镇江市不动产权第0042183号</t>
    </r>
    <phoneticPr fontId="144" type="noConversion"/>
  </si>
  <si>
    <t>1幢104室</t>
    <phoneticPr fontId="144" type="noConversion"/>
  </si>
  <si>
    <t>商业</t>
    <phoneticPr fontId="32" type="noConversion"/>
  </si>
  <si>
    <t>30-40（含）</t>
  </si>
  <si>
    <r>
      <t>1</t>
    </r>
    <r>
      <rPr>
        <sz val="11"/>
        <rFont val="宋体"/>
        <family val="3"/>
        <charset val="134"/>
      </rPr>
      <t>层</t>
    </r>
    <phoneticPr fontId="32" type="noConversion"/>
  </si>
  <si>
    <t>独栋商业</t>
  </si>
  <si>
    <t>商业街商铺</t>
  </si>
  <si>
    <t>苏（2018）镇江市不动产权第0042185号</t>
    <phoneticPr fontId="144" type="noConversion"/>
  </si>
  <si>
    <t>镇江农副产品批发市场</t>
    <phoneticPr fontId="4" type="noConversion"/>
  </si>
  <si>
    <t>旭辉时代城</t>
    <phoneticPr fontId="4" type="noConversion"/>
  </si>
  <si>
    <t>云开甲第花园</t>
    <phoneticPr fontId="4" type="noConversion"/>
  </si>
  <si>
    <t>住宅底商</t>
  </si>
  <si>
    <t>大</t>
  </si>
  <si>
    <t>结构</t>
    <phoneticPr fontId="4" type="noConversion"/>
  </si>
  <si>
    <t>钢混</t>
    <phoneticPr fontId="26" type="noConversion"/>
  </si>
  <si>
    <t>钢</t>
  </si>
  <si>
    <t>钢</t>
    <phoneticPr fontId="26" type="noConversion"/>
  </si>
  <si>
    <r>
      <t>1</t>
    </r>
    <r>
      <rPr>
        <b/>
        <sz val="10"/>
        <color indexed="10"/>
        <rFont val="宋体"/>
        <family val="3"/>
        <charset val="134"/>
      </rPr>
      <t>幢</t>
    </r>
    <r>
      <rPr>
        <b/>
        <sz val="10"/>
        <color indexed="10"/>
        <rFont val="Arial"/>
        <family val="2"/>
      </rPr>
      <t>104</t>
    </r>
    <r>
      <rPr>
        <b/>
        <sz val="10"/>
        <color indexed="10"/>
        <rFont val="宋体"/>
        <family val="3"/>
        <charset val="134"/>
      </rPr>
      <t>室</t>
    </r>
    <phoneticPr fontId="26" type="noConversion"/>
  </si>
  <si>
    <t>收益法 (元)</t>
  </si>
  <si>
    <t>位置/类型</t>
  </si>
  <si>
    <t>建筑面积</t>
  </si>
  <si>
    <t>修正系数</t>
  </si>
  <si>
    <t>装修情况</t>
  </si>
  <si>
    <t>层高</t>
  </si>
  <si>
    <t>结构</t>
  </si>
  <si>
    <t>楼层</t>
  </si>
  <si>
    <t>修正单价</t>
  </si>
  <si>
    <t>总价</t>
  </si>
  <si>
    <t>1幢104室</t>
  </si>
  <si>
    <t>项目名称</t>
  </si>
  <si>
    <t>分摊土地面积</t>
  </si>
  <si>
    <t>房地产价值</t>
  </si>
  <si>
    <t>楼面单价</t>
  </si>
  <si>
    <r>
      <t>总</t>
    </r>
    <r>
      <rPr>
        <sz val="9"/>
        <color theme="1"/>
        <rFont val="Arial"/>
        <family val="2"/>
      </rPr>
      <t xml:space="preserve"> </t>
    </r>
    <r>
      <rPr>
        <sz val="9"/>
        <color theme="1"/>
        <rFont val="华文细黑"/>
        <family val="3"/>
        <charset val="134"/>
      </rPr>
      <t>价</t>
    </r>
  </si>
  <si>
    <t>大写金额</t>
  </si>
  <si>
    <t>肆亿贰仟陆佰贰拾贰万元整</t>
  </si>
  <si>
    <t>估价师知悉的法定优先受偿款</t>
  </si>
  <si>
    <t>江苏省镇江市镇江新区智慧大道399号银湖花园1幢104室商业用房房地产</t>
    <phoneticPr fontId="144" type="noConversion"/>
  </si>
  <si>
    <t>江苏省镇江市镇江新区智慧大道399号银湖花园1幢105室商业用房房地产</t>
  </si>
  <si>
    <t>江苏省镇江市镇江新区智慧大道399号银湖花园1幢106室商业用房房地产</t>
  </si>
  <si>
    <t>江苏省镇江市镇江新区智慧大道399号银湖花园1幢107室商业用房房地产</t>
  </si>
  <si>
    <t>江苏省镇江市镇江新区智慧大道399号银湖花园1幢108室商业用房房地产</t>
  </si>
  <si>
    <t>江苏省镇江市镇江新区智慧大道399号银湖花园1幢109室商业用房房地产</t>
  </si>
  <si>
    <t>江苏省镇江市镇江新区智慧大道399号银湖花园1幢110室商业用房房地产</t>
  </si>
  <si>
    <t>江苏省镇江市镇江新区智慧大道399号银湖花园1幢111室商业用房房地产</t>
  </si>
  <si>
    <t>江苏省镇江市镇江新区智慧大道399号银湖花园1幢112室商业用房房地产</t>
  </si>
  <si>
    <t>江苏省镇江市镇江新区智慧大道399号银湖花园1幢113室商业用房房地产</t>
  </si>
  <si>
    <t>江苏省镇江市镇江新区智慧大道399号银湖花园1幢114室商业用房房地产</t>
  </si>
  <si>
    <t>江苏省镇江市镇江新区智慧大道399号银湖花园1幢115室商业用房房地产</t>
  </si>
  <si>
    <t>江苏省镇江市镇江新区智慧大道399号银湖花园1幢116室商业用房房地产</t>
  </si>
  <si>
    <t>江苏省镇江市镇江新区智慧大道399号银湖花园1幢117室商业用房房地产</t>
  </si>
  <si>
    <t>江苏省镇江市镇江新区智慧大道399号银湖花园1幢118室商业用房房地产</t>
  </si>
  <si>
    <t>江苏省镇江市镇江新区智慧大道399号银湖花园1幢119室商业用房房地产</t>
  </si>
  <si>
    <t>江苏省镇江市镇江新区智慧大道399号银湖花园1幢120室商业用房房地产</t>
  </si>
  <si>
    <t>江苏省镇江市镇江新区智慧大道399号银湖花园1幢121室商业用房房地产</t>
  </si>
  <si>
    <t>江苏省镇江市镇江新区智慧大道399号银湖花园1幢122室商业用房房地产</t>
  </si>
  <si>
    <t>江苏省镇江市镇江新区智慧大道399号银湖花园1幢123室商业用房房地产</t>
  </si>
  <si>
    <t>江苏省镇江市镇江新区智慧大道399号银湖花园1幢124室商业用房房地产</t>
  </si>
  <si>
    <t>江苏省镇江市镇江新区智慧大道399号银湖花园1幢203室商业用房房地产</t>
    <phoneticPr fontId="144" type="noConversion"/>
  </si>
  <si>
    <t>江苏省镇江市镇江新区智慧大道399号银湖花园1幢204室商业用房房地产</t>
  </si>
  <si>
    <t>江苏省镇江市镇江新区智慧大道399号银湖花园1幢205室商业用房房地产</t>
  </si>
  <si>
    <t>江苏省镇江市镇江新区智慧大道399号银湖花园1幢206室商业用房房地产</t>
  </si>
  <si>
    <t>江苏省镇江市镇江新区智慧大道399号银湖花园1幢207室商业用房房地产</t>
  </si>
  <si>
    <t>江苏省镇江市镇江新区智慧大道399号银湖花园1幢208室商业用房房地产</t>
  </si>
  <si>
    <t>江苏省镇江市镇江新区智慧大道399号银湖花园1幢209室商业用房房地产</t>
  </si>
  <si>
    <t>江苏省镇江市镇江新区智慧大道399号银湖花园1幢210室商业用房房地产</t>
  </si>
  <si>
    <t>江苏省镇江市镇江新区智慧大道399号银湖花园1幢211室商业用房房地产</t>
  </si>
  <si>
    <t>江苏省镇江市镇江新区智慧大道399号银湖花园1幢212室商业用房房地产</t>
  </si>
  <si>
    <t>江苏省镇江市镇江新区智慧大道399号银湖花园1幢213室商业用房房地产</t>
  </si>
  <si>
    <t>江苏省镇江市镇江新区智慧大道399号银湖花园1幢214室商业用房房地产</t>
  </si>
  <si>
    <t>江苏省镇江市镇江新区智慧大道399号银湖花园1幢215室商业用房房地产</t>
  </si>
  <si>
    <t>江苏省镇江市镇江新区智慧大道399号银湖花园1幢216室商业用房房地产</t>
  </si>
  <si>
    <t>江苏省镇江市镇江新区智慧大道399号银湖花园1幢217室商业用房房地产</t>
  </si>
  <si>
    <t>江苏省镇江市镇江新区智慧大道399号银湖花园1幢218室商业用房房地产</t>
  </si>
  <si>
    <t>江苏省镇江市镇江新区智慧大道399号银湖花园1幢219室商业用房房地产</t>
  </si>
  <si>
    <t>江苏省镇江市镇江新区智慧大道399号银湖花园1幢220室商业用房房地产</t>
  </si>
  <si>
    <t>江苏省镇江市镇江新区智慧大道399号银湖花园1幢221室商业用房房地产</t>
  </si>
  <si>
    <t>江苏省镇江市镇江新区智慧大道399号银湖花园1幢222室商业用房房地产</t>
  </si>
  <si>
    <t>江苏省镇江市镇江新区智慧大道399号银湖花园1幢223室商业用房房地产</t>
  </si>
  <si>
    <t>江苏省镇江市镇江新区智慧大道399号银湖花园1幢第3层0302室商业用房房地产</t>
    <phoneticPr fontId="144" type="noConversion"/>
  </si>
  <si>
    <t>江苏省镇江市镇江新区智慧大道399号银湖花园1幢0303室商业用房房地产</t>
    <phoneticPr fontId="144" type="noConversion"/>
  </si>
  <si>
    <t>江苏省镇江市镇江新区智慧大道399号银湖花园1幢0402室商业用房房地产</t>
    <phoneticPr fontId="144" type="noConversion"/>
  </si>
  <si>
    <t>江苏省镇江市镇江新区智慧大道399号银湖花园1幢0403室商业用房房地产</t>
  </si>
  <si>
    <t>江苏省镇江市镇江新区智慧大道399号银湖花园1幢0502室商业用房房地产</t>
    <phoneticPr fontId="144" type="noConversion"/>
  </si>
  <si>
    <t>江苏省镇江市镇江新区智慧大道399号银湖花园1幢0503室商业用房房地产</t>
  </si>
  <si>
    <t>江苏省镇江市镇江新区智慧大道399号银湖花园2幢0101室商业用房房地产</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</si>
</sst>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indexed="64"/>
      </top>
      <bottom/>
      <diagonal/>
    </border>
    <border>
      <left style="dotted">
        <color rgb="FF404040"/>
      </left>
      <right style="dotted">
        <color rgb="FF404040"/>
      </right>
      <top/>
      <bottom style="dotted">
        <color rgb="FF404040"/>
      </bottom>
      <diagonal/>
    </border>
    <border>
      <left/>
      <right style="dotted">
        <color rgb="FF404040"/>
      </right>
      <top style="double">
        <color indexed="64"/>
      </top>
      <bottom style="dotted">
        <color rgb="FF404040"/>
      </bottom>
      <diagonal/>
    </border>
    <border>
      <left/>
      <right style="dotted">
        <color rgb="FF404040"/>
      </right>
      <top/>
      <bottom style="dotted">
        <color rgb="FF404040"/>
      </bottom>
      <diagonal/>
    </border>
    <border>
      <left style="dotted">
        <color rgb="FF404040"/>
      </left>
      <right/>
      <top style="double">
        <color indexed="64"/>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indexed="64"/>
      </bottom>
      <diagonal/>
    </border>
    <border>
      <left/>
      <right/>
      <top style="dotted">
        <color rgb="FF404040"/>
      </top>
      <bottom style="double">
        <color indexed="64"/>
      </bottom>
      <diagonal/>
    </border>
    <border>
      <left/>
      <right style="dotted">
        <color rgb="FF404040"/>
      </right>
      <top style="dotted">
        <color rgb="FF404040"/>
      </top>
      <bottom style="double">
        <color indexed="64"/>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38" fillId="0" borderId="0"/>
    <xf numFmtId="0" fontId="57" fillId="0" borderId="0"/>
  </cellStyleXfs>
  <cellXfs count="332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81" fillId="2" borderId="2" xfId="0" applyFont="1" applyFill="1" applyBorder="1" applyAlignment="1" applyProtection="1">
      <alignment horizontal="center" vertical="center" wrapText="1"/>
      <protection locked="0"/>
    </xf>
    <xf numFmtId="0" fontId="57" fillId="0" borderId="0" xfId="14"/>
    <xf numFmtId="0" fontId="57" fillId="0" borderId="0" xfId="14" applyFont="1"/>
    <xf numFmtId="0" fontId="57" fillId="17" borderId="0" xfId="14" applyFill="1"/>
    <xf numFmtId="0" fontId="57" fillId="0" borderId="0" xfId="14" applyFill="1"/>
    <xf numFmtId="0" fontId="138" fillId="2"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9" fontId="51" fillId="6" borderId="0" xfId="0" applyNumberFormat="1" applyFont="1" applyFill="1" applyAlignment="1" applyProtection="1">
      <alignment vertical="center"/>
      <protection locked="0"/>
    </xf>
    <xf numFmtId="0" fontId="191" fillId="7" borderId="5" xfId="0" applyFont="1" applyFill="1" applyBorder="1" applyAlignment="1" applyProtection="1">
      <alignment vertical="center"/>
      <protection locked="0"/>
    </xf>
    <xf numFmtId="49" fontId="99" fillId="0" borderId="35" xfId="0" applyNumberFormat="1" applyFont="1" applyFill="1" applyBorder="1" applyAlignment="1" applyProtection="1">
      <alignment horizontal="center" vertical="center" wrapText="1"/>
      <protection locked="0"/>
    </xf>
    <xf numFmtId="49" fontId="99" fillId="2" borderId="35" xfId="0" applyNumberFormat="1" applyFont="1" applyFill="1" applyBorder="1" applyAlignment="1" applyProtection="1">
      <alignment horizontal="center" vertical="center" wrapText="1"/>
      <protection locked="0"/>
    </xf>
    <xf numFmtId="0" fontId="100" fillId="0" borderId="0" xfId="0" applyFont="1">
      <alignment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01" fillId="0" borderId="1" xfId="0" applyFont="1" applyBorder="1" applyAlignment="1">
      <alignment horizontal="center" vertical="center"/>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138" fillId="2" borderId="41"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222" fillId="6" borderId="1" xfId="0" applyFont="1" applyFill="1" applyBorder="1" applyAlignment="1">
      <alignment horizontal="center" vertical="center"/>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5" fillId="0" borderId="159" xfId="0" applyFont="1" applyBorder="1" applyAlignment="1">
      <alignment horizontal="justify" vertical="center" wrapText="1"/>
    </xf>
    <xf numFmtId="0" fontId="255" fillId="0" borderId="157" xfId="0" applyFont="1" applyBorder="1" applyAlignment="1">
      <alignment horizontal="justify" vertical="center" wrapText="1"/>
    </xf>
    <xf numFmtId="0" fontId="256" fillId="0" borderId="159" xfId="0" applyFont="1" applyBorder="1" applyAlignment="1">
      <alignment horizontal="justify" vertical="center" wrapText="1"/>
    </xf>
    <xf numFmtId="0" fontId="255" fillId="0" borderId="156" xfId="0" applyFont="1" applyBorder="1" applyAlignment="1">
      <alignment horizontal="justify" vertical="center" wrapText="1"/>
    </xf>
    <xf numFmtId="0" fontId="255" fillId="0" borderId="157" xfId="0" applyFont="1" applyBorder="1" applyAlignment="1">
      <alignment horizontal="justify" vertical="center" wrapText="1"/>
    </xf>
    <xf numFmtId="0" fontId="255" fillId="0" borderId="160" xfId="0" applyFont="1" applyBorder="1" applyAlignment="1">
      <alignment horizontal="justify" vertical="center" wrapText="1"/>
    </xf>
    <xf numFmtId="0" fontId="255" fillId="0" borderId="158" xfId="0" applyFont="1" applyBorder="1" applyAlignment="1">
      <alignment horizontal="justify" vertical="center" wrapText="1"/>
    </xf>
    <xf numFmtId="0" fontId="256" fillId="0" borderId="161" xfId="0" applyFont="1" applyBorder="1" applyAlignment="1">
      <alignment horizontal="justify" vertical="center" wrapText="1"/>
    </xf>
    <xf numFmtId="0" fontId="256" fillId="0" borderId="162" xfId="0" applyFont="1" applyBorder="1" applyAlignment="1">
      <alignment horizontal="justify" vertical="center" wrapText="1"/>
    </xf>
    <xf numFmtId="0" fontId="255" fillId="0" borderId="161" xfId="0" applyFont="1" applyBorder="1" applyAlignment="1">
      <alignment horizontal="justify" vertical="center" wrapText="1"/>
    </xf>
    <xf numFmtId="0" fontId="255" fillId="0" borderId="163" xfId="0" applyFont="1" applyBorder="1" applyAlignment="1">
      <alignment horizontal="justify" vertical="center" wrapText="1"/>
    </xf>
    <xf numFmtId="0" fontId="255" fillId="0" borderId="162" xfId="0" applyFont="1" applyBorder="1" applyAlignment="1">
      <alignment horizontal="justify" vertical="center" wrapText="1"/>
    </xf>
    <xf numFmtId="0" fontId="256" fillId="0" borderId="163" xfId="0" applyFont="1" applyBorder="1" applyAlignment="1">
      <alignment horizontal="justify" vertical="center" wrapText="1"/>
    </xf>
    <xf numFmtId="0" fontId="255" fillId="0" borderId="164" xfId="0" applyFont="1" applyBorder="1" applyAlignment="1">
      <alignment horizontal="justify" vertical="center" wrapText="1"/>
    </xf>
    <xf numFmtId="0" fontId="255" fillId="0" borderId="165" xfId="0" applyFont="1" applyBorder="1" applyAlignment="1">
      <alignment horizontal="justify" vertical="center" wrapText="1"/>
    </xf>
    <xf numFmtId="0" fontId="255" fillId="0" borderId="166" xfId="0" applyFont="1" applyBorder="1" applyAlignment="1">
      <alignment horizontal="justify" vertical="center" wrapText="1"/>
    </xf>
  </cellXfs>
  <cellStyles count="15">
    <cellStyle name="常规" xfId="0" builtinId="0"/>
    <cellStyle name="常规 10" xfId="13"/>
    <cellStyle name="常规 11"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7</xdr:col>
      <xdr:colOff>8610</xdr:colOff>
      <xdr:row>86</xdr:row>
      <xdr:rowOff>123124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258300"/>
          <a:ext cx="7323810" cy="5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38100</xdr:rowOff>
    </xdr:from>
    <xdr:to>
      <xdr:col>4</xdr:col>
      <xdr:colOff>994613</xdr:colOff>
      <xdr:row>79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77250"/>
          <a:ext cx="5538038" cy="4333875"/>
        </a:xfrm>
        <a:prstGeom prst="rect">
          <a:avLst/>
        </a:prstGeom>
      </xdr:spPr>
    </xdr:pic>
    <xdr:clientData/>
  </xdr:twoCellAnchor>
  <xdr:twoCellAnchor editAs="oneCell">
    <xdr:from>
      <xdr:col>5</xdr:col>
      <xdr:colOff>95249</xdr:colOff>
      <xdr:row>52</xdr:row>
      <xdr:rowOff>28575</xdr:rowOff>
    </xdr:from>
    <xdr:to>
      <xdr:col>10</xdr:col>
      <xdr:colOff>865840</xdr:colOff>
      <xdr:row>78</xdr:row>
      <xdr:rowOff>102912</xdr:rowOff>
    </xdr:to>
    <xdr:pic>
      <xdr:nvPicPr>
        <xdr:cNvPr id="3" name="图片 2"/>
        <xdr:cNvPicPr>
          <a:picLocks noChangeAspect="1"/>
        </xdr:cNvPicPr>
      </xdr:nvPicPr>
      <xdr:blipFill>
        <a:blip xmlns:r="http://schemas.openxmlformats.org/officeDocument/2006/relationships" r:embed="rId2"/>
        <a:stretch>
          <a:fillRect/>
        </a:stretch>
      </xdr:blipFill>
      <xdr:spPr>
        <a:xfrm>
          <a:off x="5695949" y="8467725"/>
          <a:ext cx="5190191" cy="4284387"/>
        </a:xfrm>
        <a:prstGeom prst="rect">
          <a:avLst/>
        </a:prstGeom>
      </xdr:spPr>
    </xdr:pic>
    <xdr:clientData/>
  </xdr:twoCellAnchor>
  <xdr:twoCellAnchor editAs="oneCell">
    <xdr:from>
      <xdr:col>4</xdr:col>
      <xdr:colOff>1022202</xdr:colOff>
      <xdr:row>77</xdr:row>
      <xdr:rowOff>104774</xdr:rowOff>
    </xdr:from>
    <xdr:to>
      <xdr:col>10</xdr:col>
      <xdr:colOff>1019175</xdr:colOff>
      <xdr:row>103</xdr:row>
      <xdr:rowOff>108405</xdr:rowOff>
    </xdr:to>
    <xdr:pic>
      <xdr:nvPicPr>
        <xdr:cNvPr id="4" name="图片 3"/>
        <xdr:cNvPicPr>
          <a:picLocks noChangeAspect="1"/>
        </xdr:cNvPicPr>
      </xdr:nvPicPr>
      <xdr:blipFill>
        <a:blip xmlns:r="http://schemas.openxmlformats.org/officeDocument/2006/relationships" r:embed="rId3"/>
        <a:stretch>
          <a:fillRect/>
        </a:stretch>
      </xdr:blipFill>
      <xdr:spPr>
        <a:xfrm>
          <a:off x="5565627" y="12592049"/>
          <a:ext cx="5473848" cy="4213681"/>
        </a:xfrm>
        <a:prstGeom prst="rect">
          <a:avLst/>
        </a:prstGeom>
      </xdr:spPr>
    </xdr:pic>
    <xdr:clientData/>
  </xdr:twoCellAnchor>
  <xdr:twoCellAnchor editAs="oneCell">
    <xdr:from>
      <xdr:col>0</xdr:col>
      <xdr:colOff>0</xdr:colOff>
      <xdr:row>82</xdr:row>
      <xdr:rowOff>0</xdr:rowOff>
    </xdr:from>
    <xdr:to>
      <xdr:col>4</xdr:col>
      <xdr:colOff>876910</xdr:colOff>
      <xdr:row>89</xdr:row>
      <xdr:rowOff>57150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296900"/>
          <a:ext cx="5420335" cy="1190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8215;&#27743;&#37329;&#34701;&#22823;&#21414;&#21150;&#20844;&#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元)"/>
      <sheetName val="酒店收入计算"/>
      <sheetName val="比较法-住宅"/>
      <sheetName val="比较法-商业"/>
      <sheetName val="比较法-办公"/>
      <sheetName val="比较法-工业"/>
      <sheetName val="比较法-车位"/>
      <sheetName val="比较法-仓储"/>
      <sheetName val="收益法（汇总）"/>
      <sheetName val="土地比较法-住宅、综合"/>
      <sheetName val="土地案例"/>
      <sheetName val="收益法"/>
      <sheetName val="收益法 (车库)"/>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明细"/>
      <sheetName val="房地价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v>45737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北京市房地产抵押价值预评估</v>
      </c>
    </row>
    <row r="3" spans="1:2" s="1595" customFormat="1">
      <c r="A3" s="1593" t="s">
        <v>1221</v>
      </c>
      <c r="B3" s="1594">
        <f>'预评函-封皮'!B40</f>
        <v>0</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受贵公司委托，我公司对北京市房地产抵押价值进行了预评估。</v>
      </c>
    </row>
    <row r="7" spans="1:2" s="1595" customFormat="1">
      <c r="A7" s="1593" t="s">
        <v>1264</v>
      </c>
      <c r="B7" s="1594" t="str">
        <f>'预评函-1'!A7</f>
        <v>估价对象为北京市房地产，为所有。根据《国有土地使用证》[]，估价对象（分摊）出让国有建设用地使用权面积为114.7平方米，建筑面积为249.95平方米。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估价对象为北京市房地产,属开发建设的商业项目，该项目尚在开发建设中。根据《国有土地使用证》[]，估价对象（分摊）出让国有建设用地使用权面积为114.7平方米，规划建筑面积为249.95平方米。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为估价委托人在向中信信托办理贷款手续过程中，确定房地产抵押贷款额度提供参考依据而评估房地产抵押价值。</v>
      </c>
    </row>
    <row r="12" spans="1:2" s="1595" customFormat="1">
      <c r="A12" s="1593" t="s">
        <v>1226</v>
      </c>
      <c r="B12" s="1594" t="str">
        <f>'预评函-1'!A15</f>
        <v>2018年7月15日（评估专业人员实地查勘之日）</v>
      </c>
    </row>
    <row r="13" spans="1:2" s="1595" customFormat="1">
      <c r="A13" s="1593" t="s">
        <v>1227</v>
      </c>
      <c r="B13" s="1594" t="str">
        <f>'预评函-1'!A18</f>
        <v>本次估价的“房地产价值”是指在正常市场情况下，在价值时点2018年7月15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418</v>
      </c>
    </row>
    <row r="21" spans="1:2" s="1595" customFormat="1">
      <c r="A21" s="1593" t="s">
        <v>1235</v>
      </c>
      <c r="B21" s="1594">
        <f ca="1">'预评函-2'!D7</f>
        <v>16723</v>
      </c>
    </row>
    <row r="22" spans="1:2" s="1595" customFormat="1">
      <c r="A22" s="1593" t="s">
        <v>1236</v>
      </c>
      <c r="B22" s="1594" t="str">
        <f ca="1">'预评函-2'!D6</f>
        <v>肆佰壹拾捌万元整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418</v>
      </c>
    </row>
    <row r="31" spans="1:2" s="1595" customFormat="1">
      <c r="A31" s="1593" t="s">
        <v>1274</v>
      </c>
      <c r="B31" s="1594">
        <f ca="1">'预评函-2'!D15</f>
        <v>16723</v>
      </c>
    </row>
    <row r="32" spans="1:2" s="1595" customFormat="1">
      <c r="A32" s="1593" t="s">
        <v>1241</v>
      </c>
      <c r="B32" s="1594" t="str">
        <f ca="1">'预评函-2'!D14</f>
        <v>肆佰壹拾捌万元整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北京市房地产</v>
      </c>
    </row>
    <row r="42" spans="1:2" s="1595" customFormat="1">
      <c r="A42" s="1593" t="s">
        <v>1288</v>
      </c>
      <c r="B42" s="1594" t="str">
        <f>'预评函-3'!B2</f>
        <v>建筑面积</v>
      </c>
    </row>
    <row r="43" spans="1:2" s="1595" customFormat="1">
      <c r="A43" s="1593" t="s">
        <v>1289</v>
      </c>
      <c r="B43" s="1594">
        <f>'预评函-3'!B4</f>
        <v>249.95</v>
      </c>
    </row>
    <row r="44" spans="1:2" s="1595" customFormat="1">
      <c r="A44" s="1593" t="s">
        <v>1273</v>
      </c>
      <c r="B44" s="1594" t="str">
        <f>'预评函-3'!C2</f>
        <v>(分摊)土地面积</v>
      </c>
    </row>
    <row r="45" spans="1:2" s="1595" customFormat="1">
      <c r="A45" s="1593" t="s">
        <v>1245</v>
      </c>
      <c r="B45" s="1594">
        <f>'预评函-3'!C4</f>
        <v>114.7</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3251</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中信信托办理贷款手续。中信信托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24"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022" t="s">
        <v>864</v>
      </c>
      <c r="C54" s="2019" t="s">
        <v>1281</v>
      </c>
    </row>
    <row r="55" spans="1:4">
      <c r="A55" s="3024"/>
      <c r="B55" s="2022" t="s">
        <v>865</v>
      </c>
      <c r="C55" s="2019" t="s">
        <v>1282</v>
      </c>
    </row>
    <row r="56" spans="1:4">
      <c r="A56" s="3024"/>
      <c r="B56" s="2022" t="s">
        <v>866</v>
      </c>
      <c r="C56" s="2019" t="s">
        <v>1286</v>
      </c>
    </row>
    <row r="57" spans="1:4">
      <c r="A57" s="3024"/>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0" sqref="C30:D30"/>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1776</v>
      </c>
      <c r="B1" s="3025" t="str">
        <f>IF(B10="北京市","北京市",C10)&amp;F10&amp;IF(结果表!G1="在建","出让国有建设用地使用权及在建建筑物",IF(结果表!G1="土地","出让国有建设用地使用权",))&amp;B9&amp;"预评估"</f>
        <v>北京市房地产抵押价值预评估</v>
      </c>
      <c r="C1" s="3026"/>
      <c r="D1" s="3026"/>
      <c r="E1" s="3026"/>
      <c r="F1" s="3026"/>
      <c r="G1" s="3026"/>
      <c r="H1" s="3026"/>
      <c r="I1" s="302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6" t="s">
        <v>1777</v>
      </c>
      <c r="B2" s="1041"/>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北京市房地产</v>
      </c>
    </row>
    <row r="3" spans="1:19" ht="18" customHeight="1">
      <c r="A3" s="2035" t="s">
        <v>1778</v>
      </c>
      <c r="B3" s="2036">
        <v>43296</v>
      </c>
      <c r="C3" s="2037" t="s">
        <v>1779</v>
      </c>
      <c r="D3" s="2036">
        <f>B3</f>
        <v>43296</v>
      </c>
      <c r="E3" s="2026"/>
      <c r="F3" s="2026"/>
      <c r="G3" s="2026"/>
      <c r="H3" s="2026"/>
      <c r="I3" s="2026"/>
      <c r="J3" s="2026"/>
      <c r="K3" s="2027"/>
      <c r="L3" s="2028"/>
      <c r="M3" s="2028"/>
      <c r="N3" s="2029"/>
      <c r="O3" s="2030"/>
      <c r="P3" s="2029"/>
      <c r="Q3" s="2029"/>
      <c r="R3" s="2029"/>
      <c r="S3" s="2031"/>
    </row>
    <row r="4" spans="1:19" ht="18" customHeight="1" thickBot="1">
      <c r="A4" s="2038" t="s">
        <v>1780</v>
      </c>
      <c r="B4" s="2039" t="s">
        <v>3045</v>
      </c>
      <c r="C4" s="1039">
        <f ca="1">SUMIF(注册房地产估价师,B4,估价师及机构信息!B3:B24)</f>
        <v>1120140022</v>
      </c>
      <c r="D4" s="2039" t="s">
        <v>3046</v>
      </c>
      <c r="E4" s="1040">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966" t="s">
        <v>3242</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8" t="s">
        <v>1783</v>
      </c>
      <c r="B7" s="2052"/>
      <c r="C7" s="2049"/>
      <c r="D7" s="2050"/>
      <c r="E7" s="2034"/>
      <c r="F7" s="2042"/>
      <c r="G7" s="2042"/>
      <c r="H7" s="2042"/>
      <c r="I7" s="2042"/>
      <c r="J7" s="2042"/>
      <c r="K7" s="2053"/>
      <c r="L7" s="2028"/>
      <c r="M7" s="2028"/>
      <c r="N7" s="2029"/>
      <c r="O7" s="2030"/>
      <c r="P7" s="2029"/>
      <c r="Q7" s="2029"/>
      <c r="R7" s="2029"/>
    </row>
    <row r="8" spans="1:19" ht="18" customHeight="1">
      <c r="A8" s="2048" t="s">
        <v>1784</v>
      </c>
      <c r="B8" s="2054" t="s">
        <v>3047</v>
      </c>
      <c r="C8" s="2055"/>
      <c r="D8" s="3028" t="s">
        <v>1785</v>
      </c>
      <c r="E8" s="2056" t="s">
        <v>3048</v>
      </c>
      <c r="F8" s="2057"/>
      <c r="G8" s="2026"/>
      <c r="H8" s="2026"/>
      <c r="I8" s="2026"/>
      <c r="J8" s="2042"/>
      <c r="K8" s="2043"/>
      <c r="L8" s="2028"/>
      <c r="M8" s="2028"/>
      <c r="N8" s="2029"/>
      <c r="O8" s="2030"/>
      <c r="P8" s="2029"/>
      <c r="Q8" s="2029"/>
      <c r="R8" s="2029"/>
    </row>
    <row r="9" spans="1:19" ht="18" customHeight="1" thickBot="1">
      <c r="A9" s="2040" t="s">
        <v>1786</v>
      </c>
      <c r="B9" s="2058" t="s">
        <v>3048</v>
      </c>
      <c r="C9" s="2059"/>
      <c r="D9" s="3029"/>
      <c r="E9" s="2058"/>
      <c r="F9" s="2060"/>
      <c r="G9" s="2061"/>
      <c r="H9" s="2061"/>
      <c r="I9" s="2061"/>
      <c r="J9" s="2042"/>
      <c r="K9" s="2053"/>
      <c r="L9" s="2028"/>
      <c r="M9" s="2028"/>
      <c r="N9" s="2029"/>
      <c r="O9" s="2030"/>
      <c r="P9" s="2029"/>
      <c r="Q9" s="2029"/>
      <c r="R9" s="2029"/>
    </row>
    <row r="10" spans="1:19" ht="18" customHeight="1" thickTop="1">
      <c r="A10" s="2062" t="s">
        <v>1787</v>
      </c>
      <c r="B10" s="2063" t="s">
        <v>3049</v>
      </c>
      <c r="C10" s="2064"/>
      <c r="D10" s="2047"/>
      <c r="E10" s="2065" t="s">
        <v>1788</v>
      </c>
      <c r="F10" s="2066"/>
      <c r="G10" s="2067"/>
      <c r="H10" s="2068"/>
      <c r="I10" s="2047"/>
      <c r="J10" s="2042"/>
      <c r="K10" s="2053"/>
      <c r="L10" s="2028"/>
      <c r="M10" s="2028"/>
      <c r="N10" s="2029"/>
      <c r="O10" s="2030"/>
      <c r="P10" s="2029"/>
      <c r="Q10" s="2029"/>
      <c r="R10" s="2029"/>
    </row>
    <row r="11" spans="1:19" ht="18" customHeight="1">
      <c r="A11" s="2069" t="s">
        <v>1789</v>
      </c>
      <c r="B11" s="2070" t="s">
        <v>3050</v>
      </c>
      <c r="C11" s="2071"/>
      <c r="D11" s="2072"/>
      <c r="E11" s="2042"/>
      <c r="F11" s="2042"/>
      <c r="G11" s="2042"/>
      <c r="H11" s="2042"/>
      <c r="I11" s="2042"/>
      <c r="J11" s="2042"/>
      <c r="K11" s="2053"/>
      <c r="L11" s="2028"/>
      <c r="M11" s="2028"/>
      <c r="N11" s="2029"/>
      <c r="O11" s="2030"/>
      <c r="P11" s="2029"/>
      <c r="Q11" s="2029"/>
      <c r="R11" s="2029"/>
    </row>
    <row r="12" spans="1:19" ht="18" customHeight="1">
      <c r="A12" s="2073" t="s">
        <v>1790</v>
      </c>
      <c r="B12" s="2070" t="s">
        <v>3051</v>
      </c>
      <c r="C12" s="2074" t="s">
        <v>1791</v>
      </c>
      <c r="D12" s="2075" t="s">
        <v>1792</v>
      </c>
      <c r="E12" s="2075" t="s">
        <v>1793</v>
      </c>
      <c r="F12" s="2075" t="s">
        <v>1794</v>
      </c>
      <c r="G12" s="2075" t="s">
        <v>1795</v>
      </c>
      <c r="H12" s="2075" t="s">
        <v>1796</v>
      </c>
      <c r="I12" s="2075" t="s">
        <v>1797</v>
      </c>
      <c r="J12" s="2042"/>
      <c r="K12" s="2053"/>
      <c r="L12" s="2028"/>
      <c r="M12" s="2028"/>
      <c r="N12" s="2029"/>
      <c r="O12" s="2030"/>
      <c r="P12" s="2029"/>
      <c r="Q12" s="2029"/>
      <c r="R12" s="2029"/>
    </row>
    <row r="13" spans="1:19" ht="18" customHeight="1">
      <c r="A13" s="2076"/>
      <c r="B13" s="2077"/>
      <c r="C13" s="2078" t="s">
        <v>1798</v>
      </c>
      <c r="D13" s="2079"/>
      <c r="E13" s="2079">
        <v>55130</v>
      </c>
      <c r="F13" s="2079"/>
      <c r="G13" s="2079"/>
      <c r="H13" s="2079"/>
      <c r="I13" s="1049"/>
      <c r="J13" s="2042"/>
      <c r="K13" s="2053"/>
      <c r="L13" s="2028"/>
      <c r="M13" s="2028"/>
      <c r="N13" s="2029"/>
      <c r="O13" s="2030"/>
      <c r="P13" s="2029"/>
      <c r="Q13" s="2029"/>
      <c r="R13" s="2029"/>
    </row>
    <row r="14" spans="1:19" ht="18" customHeight="1">
      <c r="A14" s="2076"/>
      <c r="B14" s="2077"/>
      <c r="C14" s="2078" t="s">
        <v>1799</v>
      </c>
      <c r="D14" s="1052"/>
      <c r="E14" s="1052">
        <v>40</v>
      </c>
      <c r="F14" s="1052"/>
      <c r="G14" s="1052"/>
      <c r="H14" s="1052"/>
      <c r="I14" s="1052"/>
      <c r="J14" s="2042"/>
      <c r="K14" s="2080"/>
      <c r="L14" s="2028"/>
      <c r="M14" s="2028"/>
      <c r="N14" s="2029"/>
      <c r="O14" s="2030"/>
      <c r="P14" s="2029"/>
      <c r="Q14" s="2029"/>
      <c r="R14" s="2029"/>
    </row>
    <row r="15" spans="1:19" ht="18" customHeight="1">
      <c r="A15" s="2062"/>
      <c r="B15" s="2081"/>
      <c r="C15" s="2078" t="s">
        <v>1800</v>
      </c>
      <c r="D15" s="1051" t="str">
        <f>IF(B12="出让",IF(D13="","",ROUNDDOWN(MIN((D13-$D$3)/365,D14),2)),D14)</f>
        <v/>
      </c>
      <c r="E15" s="1051">
        <f>IF(B12="出让",IF(E13="","",ROUNDDOWN(MIN((E13-$D$3)/365,E14),2)),E14)</f>
        <v>32.42</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2"/>
      <c r="K15" s="2082"/>
      <c r="L15" s="2083"/>
      <c r="M15" s="2083"/>
      <c r="N15" s="2084"/>
      <c r="O15" s="2083"/>
      <c r="P15" s="2084"/>
      <c r="Q15" s="2029"/>
      <c r="R15" s="2029"/>
    </row>
    <row r="16" spans="1:19" ht="30.75" customHeight="1">
      <c r="A16" s="2065" t="s">
        <v>1801</v>
      </c>
      <c r="B16" s="3035"/>
      <c r="C16" s="3036"/>
      <c r="D16" s="3037"/>
      <c r="E16" s="2085" t="s">
        <v>1802</v>
      </c>
      <c r="F16" s="3038"/>
      <c r="G16" s="3039"/>
      <c r="H16" s="3039"/>
      <c r="I16" s="3040"/>
      <c r="J16" s="2029"/>
      <c r="K16" s="2082"/>
      <c r="L16" s="2083"/>
      <c r="M16" s="2083"/>
      <c r="N16" s="2084"/>
      <c r="O16" s="2083"/>
      <c r="P16" s="2084"/>
      <c r="Q16" s="2029"/>
      <c r="R16" s="2029"/>
    </row>
    <row r="17" spans="1:22" ht="18" customHeight="1">
      <c r="A17" s="2086" t="s">
        <v>1803</v>
      </c>
      <c r="B17" s="2035" t="s">
        <v>1804</v>
      </c>
      <c r="C17" s="1056">
        <f>'数据-汇总表'!E3</f>
        <v>249.95</v>
      </c>
      <c r="D17" s="2087" t="s">
        <v>1805</v>
      </c>
      <c r="E17" s="3041" t="s">
        <v>1806</v>
      </c>
      <c r="F17" s="3042"/>
      <c r="G17" s="3042"/>
      <c r="H17" s="3042"/>
      <c r="I17" s="3043"/>
      <c r="J17" s="2029"/>
      <c r="K17" s="2088"/>
      <c r="L17" s="2083"/>
      <c r="M17" s="2083"/>
      <c r="N17" s="2084"/>
      <c r="O17" s="2083"/>
      <c r="P17" s="2084"/>
      <c r="Q17" s="2029"/>
      <c r="R17" s="2029"/>
      <c r="S17" s="2029"/>
      <c r="T17" s="2029"/>
      <c r="U17" s="2029"/>
      <c r="V17" s="2029"/>
    </row>
    <row r="18" spans="1:22" ht="36" customHeight="1" thickBot="1">
      <c r="A18" s="2089" t="s">
        <v>1807</v>
      </c>
      <c r="B18" s="2038" t="s">
        <v>1808</v>
      </c>
      <c r="C18" s="1446">
        <f>'数据-汇总表'!D3</f>
        <v>114.7</v>
      </c>
      <c r="D18" s="2090" t="s">
        <v>1805</v>
      </c>
      <c r="E18" s="3044" t="s">
        <v>1809</v>
      </c>
      <c r="F18" s="3045"/>
      <c r="G18" s="3045"/>
      <c r="H18" s="3045"/>
      <c r="I18" s="3046"/>
      <c r="J18" s="2029"/>
      <c r="K18" s="2088"/>
      <c r="L18" s="2083"/>
      <c r="M18" s="2083"/>
      <c r="N18" s="2084"/>
      <c r="O18" s="2083"/>
      <c r="P18" s="2084"/>
      <c r="Q18" s="2029"/>
      <c r="R18" s="2029"/>
      <c r="S18" s="2029"/>
      <c r="T18" s="2029"/>
      <c r="U18" s="2029"/>
      <c r="V18" s="2029"/>
    </row>
    <row r="19" spans="1:22" ht="37.5" customHeight="1" thickTop="1" thickBot="1">
      <c r="A19" s="373" t="s">
        <v>1810</v>
      </c>
      <c r="B19" s="352" t="s">
        <v>1811</v>
      </c>
      <c r="C19" s="2091"/>
      <c r="D19" s="2092" t="s">
        <v>1812</v>
      </c>
      <c r="E19" s="2093"/>
      <c r="F19" s="2094" t="str">
        <f>IF(AND(C19="是",E19="否"),"是否提供他项权证或相关说明","")</f>
        <v/>
      </c>
      <c r="G19" s="2095"/>
      <c r="H19" s="2042"/>
      <c r="I19" s="2042"/>
      <c r="J19" s="2042"/>
      <c r="K19" s="2053"/>
      <c r="L19" s="2028"/>
      <c r="M19" s="2028"/>
      <c r="N19" s="2084"/>
      <c r="O19" s="2083"/>
      <c r="P19" s="2084"/>
      <c r="Q19" s="2029"/>
      <c r="R19" s="2029"/>
      <c r="S19" s="2029"/>
      <c r="T19" s="2029"/>
      <c r="U19" s="2029"/>
      <c r="V19" s="2029"/>
    </row>
    <row r="20" spans="1:22" ht="18" customHeight="1">
      <c r="A20" s="2096" t="s">
        <v>1813</v>
      </c>
      <c r="B20" s="3031" t="s">
        <v>1814</v>
      </c>
      <c r="C20" s="3032"/>
      <c r="D20" s="3033" t="s">
        <v>1815</v>
      </c>
      <c r="E20" s="3034"/>
      <c r="F20" s="2097" t="s">
        <v>1816</v>
      </c>
      <c r="G20" s="2042"/>
      <c r="H20" s="2042"/>
      <c r="I20" s="2042"/>
      <c r="J20" s="2042"/>
      <c r="K20" s="3030"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4"/>
      <c r="O20" s="2083"/>
      <c r="P20" s="2084"/>
      <c r="Q20" s="2029"/>
      <c r="R20" s="2029"/>
      <c r="S20" s="2029"/>
      <c r="T20" s="2029"/>
      <c r="U20" s="2029"/>
      <c r="V20" s="2029"/>
    </row>
    <row r="21" spans="1:22" ht="24.75" customHeight="1">
      <c r="A21" s="2096"/>
      <c r="B21" s="2098" t="s">
        <v>1818</v>
      </c>
      <c r="C21" s="2099" t="s">
        <v>1819</v>
      </c>
      <c r="D21" s="2100" t="s">
        <v>1820</v>
      </c>
      <c r="E21" s="2101" t="s">
        <v>1819</v>
      </c>
      <c r="F21" s="2102"/>
      <c r="G21" s="2042"/>
      <c r="H21" s="2042"/>
      <c r="I21" s="2042"/>
      <c r="J21" s="2042"/>
      <c r="K21" s="303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4"/>
      <c r="O21" s="2083"/>
      <c r="P21" s="2084"/>
      <c r="Q21" s="2029"/>
      <c r="R21" s="2029"/>
      <c r="S21" s="2029"/>
      <c r="T21" s="2029"/>
      <c r="U21" s="2029"/>
      <c r="V21" s="2029"/>
    </row>
    <row r="22" spans="1:22" ht="24.75" customHeight="1" thickBot="1">
      <c r="A22" s="2096"/>
      <c r="B22" s="2103" t="s">
        <v>1821</v>
      </c>
      <c r="C22" s="2099" t="s">
        <v>1822</v>
      </c>
      <c r="D22" s="2026"/>
      <c r="E22" s="2026"/>
      <c r="F22" s="2104"/>
      <c r="G22" s="2042"/>
      <c r="H22" s="2042"/>
      <c r="I22" s="2042"/>
      <c r="J22" s="2042"/>
      <c r="K22" s="303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1823</v>
      </c>
      <c r="B23" s="183" t="s">
        <v>1824</v>
      </c>
      <c r="C23" s="2106"/>
      <c r="D23" s="2107" t="s">
        <v>1824</v>
      </c>
      <c r="E23" s="2108"/>
      <c r="F23" s="2104"/>
      <c r="G23" s="2042"/>
      <c r="H23" s="2042"/>
      <c r="I23" s="2042"/>
      <c r="J23" s="2042"/>
      <c r="K23" s="2109"/>
      <c r="L23" s="747"/>
      <c r="M23" s="2028"/>
      <c r="N23" s="2084"/>
      <c r="O23" s="2083"/>
      <c r="P23" s="2084"/>
      <c r="Q23" s="2029"/>
      <c r="R23" s="2029"/>
      <c r="S23" s="2029"/>
      <c r="T23" s="2029"/>
      <c r="U23" s="2029"/>
      <c r="V23" s="2029"/>
    </row>
    <row r="24" spans="1:22" ht="18" customHeight="1">
      <c r="A24" s="2110"/>
      <c r="B24" s="183" t="s">
        <v>1825</v>
      </c>
      <c r="C24" s="2111"/>
      <c r="D24" s="2105" t="s">
        <v>1825</v>
      </c>
      <c r="E24" s="2112"/>
      <c r="F24" s="2104"/>
      <c r="G24" s="2042"/>
      <c r="H24" s="2042"/>
      <c r="I24" s="2042"/>
      <c r="J24" s="2042"/>
      <c r="K24" s="2109"/>
      <c r="L24" s="747"/>
      <c r="M24" s="2028"/>
      <c r="N24" s="2084"/>
      <c r="O24" s="2083"/>
      <c r="P24" s="2084"/>
      <c r="Q24" s="2029"/>
      <c r="R24" s="2029"/>
      <c r="S24" s="2029"/>
      <c r="T24" s="2029"/>
      <c r="U24" s="2029"/>
      <c r="V24" s="2029"/>
    </row>
    <row r="25" spans="1:22" ht="18" customHeight="1">
      <c r="A25" s="2110"/>
      <c r="B25" s="183" t="s">
        <v>1826</v>
      </c>
      <c r="C25" s="2111"/>
      <c r="D25" s="2105" t="s">
        <v>1826</v>
      </c>
      <c r="E25" s="2112"/>
      <c r="F25" s="2104"/>
      <c r="G25" s="2042"/>
      <c r="H25" s="2042"/>
      <c r="I25" s="2042"/>
      <c r="J25" s="2042"/>
      <c r="K25" s="2053"/>
      <c r="L25" s="2028"/>
      <c r="M25" s="2028"/>
      <c r="N25" s="2084"/>
      <c r="O25" s="2083"/>
      <c r="P25" s="2084"/>
      <c r="Q25" s="2029"/>
      <c r="R25" s="2029"/>
      <c r="S25" s="2029"/>
      <c r="T25" s="2029"/>
      <c r="U25" s="2029"/>
      <c r="V25" s="2029"/>
    </row>
    <row r="26" spans="1:22" ht="18" customHeight="1" thickBot="1">
      <c r="A26" s="2113"/>
      <c r="B26" s="2114" t="s">
        <v>1827</v>
      </c>
      <c r="C26" s="2115"/>
      <c r="D26" s="2116" t="s">
        <v>1828</v>
      </c>
      <c r="E26" s="2117"/>
      <c r="F26" s="2118"/>
      <c r="G26" s="2061"/>
      <c r="H26" s="2061"/>
      <c r="I26" s="2061"/>
      <c r="J26" s="2042"/>
      <c r="K26" s="2053"/>
      <c r="L26" s="2028"/>
      <c r="M26" s="2028"/>
      <c r="N26" s="2084"/>
      <c r="O26" s="2083"/>
      <c r="P26" s="2084"/>
      <c r="Q26" s="2029"/>
      <c r="R26" s="2029"/>
      <c r="S26" s="2029"/>
      <c r="T26" s="2029"/>
      <c r="U26" s="2029"/>
      <c r="V26" s="2029"/>
    </row>
    <row r="27" spans="1:22" ht="18" customHeight="1" thickTop="1">
      <c r="A27" s="3048" t="s">
        <v>1829</v>
      </c>
      <c r="B27" s="2062" t="s">
        <v>1830</v>
      </c>
      <c r="C27" s="2119" t="s">
        <v>3373</v>
      </c>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48"/>
      <c r="B28" s="2035" t="s">
        <v>1831</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48"/>
      <c r="B29" s="2035" t="s">
        <v>1832</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49"/>
      <c r="B30" s="2035" t="s">
        <v>1833</v>
      </c>
      <c r="C30" s="3050"/>
      <c r="D30" s="3051"/>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52" t="s">
        <v>1834</v>
      </c>
      <c r="B31" s="2126" t="s">
        <v>3236</v>
      </c>
      <c r="C31" s="2127" t="str">
        <f>IF(B31="现房","成新及维护状况正常否",IF(B31="在建","工程状态是否正常",IF(B31="土地","是否闲置","-")))</f>
        <v>成新及维护状况正常否</v>
      </c>
      <c r="D31" s="2128"/>
      <c r="E31" s="2129"/>
      <c r="F31" s="2042"/>
      <c r="G31" s="2042"/>
      <c r="H31" s="2042"/>
      <c r="I31" s="2042"/>
      <c r="J31" s="2042"/>
      <c r="K31" s="2051"/>
      <c r="L31" s="2028"/>
      <c r="M31" s="2028"/>
      <c r="N31" s="2029"/>
      <c r="O31" s="2030"/>
      <c r="P31" s="2029"/>
      <c r="Q31" s="2029"/>
      <c r="R31" s="2029"/>
      <c r="S31" s="2029"/>
      <c r="T31" s="2029"/>
      <c r="U31" s="2029"/>
      <c r="V31" s="2029"/>
    </row>
    <row r="32" spans="1:22" ht="18" customHeight="1">
      <c r="A32" s="3053"/>
      <c r="B32" s="2126"/>
      <c r="C32" s="2127" t="str">
        <f>IF(B32="现房","成新及维护状况是否正常",IF(B32="在建","工程状态是否正常",IF(B32="土地","是否闲置","-")))</f>
        <v>-</v>
      </c>
      <c r="D32" s="2128"/>
      <c r="E32" s="2129"/>
      <c r="F32" s="2042"/>
      <c r="G32" s="2042"/>
      <c r="H32" s="2042"/>
      <c r="I32" s="2042"/>
      <c r="J32" s="2042"/>
      <c r="K32" s="2053"/>
      <c r="L32" s="2028"/>
      <c r="M32" s="2028"/>
      <c r="N32" s="2029"/>
      <c r="O32" s="2030"/>
      <c r="P32" s="2029"/>
      <c r="Q32" s="2029"/>
      <c r="R32" s="2029"/>
      <c r="S32" s="2029"/>
      <c r="T32" s="2029"/>
      <c r="U32" s="2029"/>
      <c r="V32" s="2029"/>
    </row>
    <row r="33" spans="1:22" ht="18" customHeight="1">
      <c r="A33" s="3053"/>
      <c r="B33" s="2130"/>
      <c r="C33" s="2069" t="str">
        <f>IF(B33="现房","成新及维护状况是否正常",IF(B33="在建","工程状态是否正常",IF(B33="土地","是否闲置","-")))</f>
        <v>-</v>
      </c>
      <c r="D33" s="2131"/>
      <c r="E33" s="2132"/>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1835</v>
      </c>
      <c r="B34" s="2133"/>
      <c r="C34" s="2133"/>
      <c r="D34" s="2133"/>
      <c r="E34" s="2133"/>
      <c r="F34" s="2133"/>
      <c r="G34" s="2133"/>
      <c r="H34" s="2133"/>
      <c r="I34" s="2042"/>
      <c r="J34" s="2042"/>
      <c r="K34" s="1795">
        <f>COUNTIF(B34:H34,"——")</f>
        <v>0</v>
      </c>
      <c r="L34" s="2074" t="s">
        <v>1836</v>
      </c>
      <c r="M34" s="2074" t="s">
        <v>1837</v>
      </c>
      <c r="N34" s="2074" t="s">
        <v>1838</v>
      </c>
      <c r="O34" s="2074" t="s">
        <v>1839</v>
      </c>
      <c r="P34" s="2074" t="s">
        <v>1840</v>
      </c>
      <c r="Q34" s="2074" t="s">
        <v>1841</v>
      </c>
      <c r="R34" s="2074" t="s">
        <v>1842</v>
      </c>
      <c r="S34" s="3047" t="s">
        <v>1843</v>
      </c>
      <c r="T34" s="2134" t="str">
        <f>NUMBERSTRING(7-K34,1)&amp;"通"</f>
        <v>七通</v>
      </c>
      <c r="U34" s="2029"/>
      <c r="V34" s="2029"/>
    </row>
    <row r="35" spans="1:22" ht="18" customHeight="1">
      <c r="A35" s="2135"/>
      <c r="B35" s="3054" t="s">
        <v>1844</v>
      </c>
      <c r="C35" s="3054"/>
      <c r="D35" s="3054"/>
      <c r="E35" s="3054"/>
      <c r="F35" s="2136">
        <f>C10</f>
        <v>0</v>
      </c>
      <c r="G35" s="2042"/>
      <c r="H35" s="2042"/>
      <c r="I35" s="2042"/>
      <c r="J35" s="2042"/>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7"/>
      <c r="T35" s="48" t="str">
        <f>IF(T34="一通",L35,IF(T34="二通",M35,IF(T34="三通",N35,IF(T34="四通",O35,IF(T34="五通",P35,IF(T34="六通",Q35,R35))))))</f>
        <v>、、、、、、</v>
      </c>
      <c r="U35" s="2029"/>
      <c r="V35" s="2029"/>
    </row>
    <row r="36" spans="1:22" ht="18" customHeight="1">
      <c r="A36" s="2137"/>
      <c r="B36" s="2136" t="s">
        <v>1845</v>
      </c>
      <c r="C36" s="2136" t="s">
        <v>1846</v>
      </c>
      <c r="D36" s="2136" t="s">
        <v>1847</v>
      </c>
      <c r="E36" s="2136" t="s">
        <v>1848</v>
      </c>
      <c r="F36" s="2138"/>
      <c r="G36" s="2042"/>
      <c r="H36" s="2042"/>
      <c r="I36" s="2042"/>
      <c r="J36" s="2042"/>
      <c r="K36" s="2053"/>
      <c r="L36" s="2028"/>
      <c r="M36" s="2028"/>
      <c r="N36" s="2029"/>
      <c r="O36" s="2030"/>
      <c r="P36" s="2029"/>
      <c r="Q36" s="2029"/>
      <c r="R36" s="2029"/>
      <c r="S36" s="2029"/>
      <c r="T36" s="2029"/>
      <c r="U36" s="2029"/>
      <c r="V36" s="2029"/>
    </row>
    <row r="37" spans="1:22" ht="18" customHeight="1">
      <c r="A37" s="2139" t="s">
        <v>1849</v>
      </c>
      <c r="B37" s="2140"/>
      <c r="C37" s="2140"/>
      <c r="D37" s="2140"/>
      <c r="E37" s="2140"/>
      <c r="F37" s="2138"/>
      <c r="G37" s="2042"/>
      <c r="H37" s="2042"/>
      <c r="I37" s="2042"/>
      <c r="J37" s="2042"/>
      <c r="K37" s="2053"/>
      <c r="L37" s="2028"/>
      <c r="M37" s="2028"/>
      <c r="N37" s="2029"/>
      <c r="O37" s="2030"/>
      <c r="P37" s="2029"/>
      <c r="Q37" s="2029"/>
      <c r="R37" s="2029"/>
      <c r="S37" s="2029"/>
      <c r="T37" s="2029"/>
      <c r="U37" s="2029"/>
      <c r="V37" s="2029"/>
    </row>
    <row r="38" spans="1:22" ht="18" customHeight="1" thickBot="1">
      <c r="A38" s="2141" t="s">
        <v>1850</v>
      </c>
      <c r="B38" s="2142"/>
      <c r="C38" s="2142"/>
      <c r="D38" s="2142"/>
      <c r="E38" s="2142"/>
      <c r="F38" s="2143"/>
      <c r="G38" s="2061"/>
      <c r="H38" s="2061"/>
      <c r="I38" s="2061"/>
      <c r="J38" s="2042"/>
      <c r="K38" s="2053"/>
      <c r="L38" s="2028"/>
      <c r="M38" s="2028"/>
      <c r="N38" s="2029"/>
      <c r="O38" s="2030"/>
      <c r="P38" s="2029"/>
      <c r="Q38" s="2029"/>
      <c r="R38" s="2029"/>
      <c r="S38" s="2029"/>
      <c r="T38" s="2029"/>
      <c r="U38" s="2029"/>
      <c r="V38" s="2029"/>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5"/>
      <c r="L40" s="2083"/>
      <c r="M40" s="2083"/>
      <c r="N40" s="2084"/>
      <c r="O40" s="2083"/>
      <c r="P40" s="2029"/>
      <c r="Q40" s="2029"/>
      <c r="R40" s="2029"/>
      <c r="S40" s="2029"/>
      <c r="T40" s="2029"/>
      <c r="U40" s="2029"/>
      <c r="V40" s="2029"/>
    </row>
    <row r="41" spans="1:22" ht="18" customHeight="1">
      <c r="A41" s="8" t="s">
        <v>1852</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1853</v>
      </c>
      <c r="B42" s="1795" t="s">
        <v>1854</v>
      </c>
      <c r="C42" s="1795" t="s">
        <v>1855</v>
      </c>
      <c r="D42" s="1795" t="s">
        <v>1856</v>
      </c>
      <c r="E42" s="1795" t="s">
        <v>1857</v>
      </c>
      <c r="F42" s="1795" t="s">
        <v>1858</v>
      </c>
      <c r="G42" s="1795" t="s">
        <v>1859</v>
      </c>
      <c r="H42" s="1795" t="s">
        <v>1860</v>
      </c>
      <c r="I42" s="1795" t="s">
        <v>1861</v>
      </c>
      <c r="J42" s="2152" t="s">
        <v>1862</v>
      </c>
      <c r="K42" s="2075" t="s">
        <v>1863</v>
      </c>
      <c r="L42" s="2075" t="s">
        <v>1864</v>
      </c>
      <c r="M42" s="2075" t="s">
        <v>1865</v>
      </c>
      <c r="N42" s="1795" t="s">
        <v>1866</v>
      </c>
      <c r="O42" s="1795" t="s">
        <v>1867</v>
      </c>
      <c r="P42" s="1795" t="s">
        <v>1868</v>
      </c>
      <c r="Q42" s="2074" t="s">
        <v>1869</v>
      </c>
      <c r="R42" s="2074" t="s">
        <v>1870</v>
      </c>
      <c r="S42" s="2029"/>
      <c r="T42" s="2029"/>
      <c r="U42" s="2029"/>
      <c r="V42" s="2029"/>
    </row>
    <row r="43" spans="1:22" s="2157" customFormat="1" ht="18" customHeight="1">
      <c r="A43" s="2153"/>
      <c r="B43" s="1274"/>
      <c r="C43" s="1274"/>
      <c r="D43" s="1274"/>
      <c r="E43" s="1274"/>
      <c r="F43" s="1274"/>
      <c r="G43" s="1274"/>
      <c r="H43" s="9"/>
      <c r="I43" s="9"/>
      <c r="J43" s="2154"/>
      <c r="K43" s="2155"/>
      <c r="L43" s="2155"/>
      <c r="M43" s="9"/>
      <c r="N43" s="1274"/>
      <c r="O43" s="9"/>
      <c r="P43" s="1274"/>
      <c r="Q43" s="1274"/>
      <c r="R43" s="1274"/>
      <c r="S43" s="2156"/>
      <c r="T43" s="2156"/>
      <c r="U43" s="2156"/>
      <c r="V43" s="2156"/>
    </row>
    <row r="44" spans="1:22" s="2157" customFormat="1" ht="18" customHeight="1">
      <c r="A44" s="2153"/>
      <c r="B44" s="2153"/>
      <c r="C44" s="1274"/>
      <c r="D44" s="1274"/>
      <c r="E44" s="1274"/>
      <c r="F44" s="1274"/>
      <c r="G44" s="1274"/>
      <c r="H44" s="9"/>
      <c r="I44" s="9"/>
      <c r="J44" s="2154"/>
      <c r="K44" s="2155"/>
      <c r="L44" s="2155"/>
      <c r="M44" s="9"/>
      <c r="N44" s="1274"/>
      <c r="O44" s="9"/>
      <c r="P44" s="1274"/>
      <c r="Q44" s="1274"/>
      <c r="R44" s="1274"/>
      <c r="S44" s="2156"/>
      <c r="T44" s="2156"/>
      <c r="U44" s="2156"/>
      <c r="V44" s="2156"/>
    </row>
    <row r="45" spans="1:22" s="2157" customFormat="1" ht="18" customHeight="1">
      <c r="A45" s="2153"/>
      <c r="B45" s="2153"/>
      <c r="C45" s="1274"/>
      <c r="D45" s="1274"/>
      <c r="E45" s="1274"/>
      <c r="F45" s="1274"/>
      <c r="G45" s="1274"/>
      <c r="H45" s="9"/>
      <c r="I45" s="9"/>
      <c r="J45" s="2154"/>
      <c r="K45" s="2155"/>
      <c r="L45" s="2155"/>
      <c r="M45" s="9"/>
      <c r="N45" s="1274"/>
      <c r="O45" s="9"/>
      <c r="P45" s="1274"/>
      <c r="Q45" s="1274"/>
      <c r="R45" s="1274"/>
      <c r="S45" s="2156"/>
      <c r="T45" s="2156"/>
      <c r="U45" s="2156"/>
      <c r="V45" s="2156"/>
    </row>
    <row r="46" spans="1:22" s="2157" customFormat="1" ht="18" customHeight="1">
      <c r="A46" s="2153"/>
      <c r="B46" s="2153"/>
      <c r="C46" s="1274"/>
      <c r="D46" s="1274"/>
      <c r="E46" s="1274"/>
      <c r="F46" s="1274"/>
      <c r="G46" s="1274"/>
      <c r="H46" s="9"/>
      <c r="I46" s="9"/>
      <c r="J46" s="2154"/>
      <c r="K46" s="2155"/>
      <c r="L46" s="2155"/>
      <c r="M46" s="9"/>
      <c r="N46" s="1274"/>
      <c r="O46" s="9"/>
      <c r="P46" s="1274"/>
      <c r="Q46" s="1274"/>
      <c r="R46" s="1274"/>
      <c r="S46" s="2156"/>
      <c r="T46" s="2156"/>
      <c r="U46" s="2156"/>
      <c r="V46" s="2156"/>
    </row>
    <row r="47" spans="1:22" s="2157" customFormat="1" ht="18" customHeight="1">
      <c r="A47" s="2153"/>
      <c r="B47" s="2153"/>
      <c r="C47" s="1274"/>
      <c r="D47" s="1274"/>
      <c r="E47" s="1274"/>
      <c r="F47" s="1274"/>
      <c r="G47" s="1274"/>
      <c r="H47" s="9"/>
      <c r="I47" s="9"/>
      <c r="J47" s="2154"/>
      <c r="K47" s="2155"/>
      <c r="L47" s="2155"/>
      <c r="M47" s="9"/>
      <c r="N47" s="1274"/>
      <c r="O47" s="9"/>
      <c r="P47" s="1274"/>
      <c r="Q47" s="1274"/>
      <c r="R47" s="1274"/>
      <c r="S47" s="2156"/>
      <c r="T47" s="2156"/>
      <c r="U47" s="2156"/>
      <c r="V47" s="2156"/>
    </row>
    <row r="48" spans="1:22" s="2157" customFormat="1" ht="18" customHeight="1">
      <c r="A48" s="2153"/>
      <c r="B48" s="2153"/>
      <c r="C48" s="1274"/>
      <c r="D48" s="1274"/>
      <c r="E48" s="1274"/>
      <c r="F48" s="1274"/>
      <c r="G48" s="1274"/>
      <c r="H48" s="9"/>
      <c r="I48" s="9"/>
      <c r="J48" s="2154"/>
      <c r="K48" s="2155"/>
      <c r="L48" s="2155"/>
      <c r="M48" s="9"/>
      <c r="N48" s="1274"/>
      <c r="O48" s="9"/>
      <c r="P48" s="1274"/>
      <c r="Q48" s="1274"/>
      <c r="R48" s="1274"/>
      <c r="S48" s="2156"/>
      <c r="T48" s="2156"/>
      <c r="U48" s="2156"/>
      <c r="V48" s="2156"/>
    </row>
    <row r="49" spans="1:22" s="2157" customFormat="1" ht="18" customHeight="1">
      <c r="A49" s="2153"/>
      <c r="B49" s="2153"/>
      <c r="C49" s="1274"/>
      <c r="D49" s="1274"/>
      <c r="E49" s="1274"/>
      <c r="F49" s="1274"/>
      <c r="G49" s="1274"/>
      <c r="H49" s="9"/>
      <c r="I49" s="9"/>
      <c r="J49" s="2154"/>
      <c r="K49" s="2155"/>
      <c r="L49" s="2155"/>
      <c r="M49" s="9"/>
      <c r="N49" s="1274"/>
      <c r="O49" s="9"/>
      <c r="P49" s="1274"/>
      <c r="Q49" s="1274"/>
      <c r="R49" s="1274"/>
      <c r="S49" s="2156"/>
      <c r="T49" s="2156"/>
      <c r="U49" s="2156"/>
      <c r="V49" s="2156"/>
    </row>
    <row r="50" spans="1:22" s="2157" customFormat="1" ht="18" customHeight="1">
      <c r="A50" s="2153"/>
      <c r="B50" s="2153"/>
      <c r="C50" s="1274"/>
      <c r="D50" s="1274"/>
      <c r="E50" s="1274"/>
      <c r="F50" s="1274"/>
      <c r="G50" s="1274"/>
      <c r="H50" s="9"/>
      <c r="I50" s="9"/>
      <c r="J50" s="2154"/>
      <c r="K50" s="2155"/>
      <c r="L50" s="2155"/>
      <c r="M50" s="9"/>
      <c r="N50" s="1274"/>
      <c r="O50" s="9"/>
      <c r="P50" s="1274"/>
      <c r="Q50" s="1274"/>
      <c r="R50" s="1274"/>
      <c r="S50" s="2156"/>
      <c r="T50" s="2156"/>
      <c r="U50" s="2156"/>
      <c r="V50" s="2156"/>
    </row>
    <row r="51" spans="1:22" s="2157" customFormat="1" ht="18" customHeight="1">
      <c r="A51" s="2153"/>
      <c r="B51" s="2153"/>
      <c r="C51" s="1274"/>
      <c r="D51" s="1274"/>
      <c r="E51" s="1274"/>
      <c r="F51" s="1274"/>
      <c r="G51" s="1274"/>
      <c r="H51" s="9"/>
      <c r="I51" s="9"/>
      <c r="J51" s="2154"/>
      <c r="K51" s="2155"/>
      <c r="L51" s="2155"/>
      <c r="M51" s="9"/>
      <c r="N51" s="1274"/>
      <c r="O51" s="9"/>
      <c r="P51" s="1274"/>
      <c r="Q51" s="1274"/>
      <c r="R51" s="1274"/>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1" t="s">
        <v>1876</v>
      </c>
      <c r="AZ2" s="1272"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114.7</v>
      </c>
      <c r="B3" s="14">
        <f>IF(C3="否",G5-AT5,G5)</f>
        <v>249.95</v>
      </c>
      <c r="C3" s="2168" t="s">
        <v>1879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3"/>
      <c r="AZ3" s="1274"/>
      <c r="BA3" s="1275"/>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1880</v>
      </c>
      <c r="B5" s="1803"/>
      <c r="C5" s="1803"/>
      <c r="D5" s="1806"/>
      <c r="E5" s="16" t="s">
        <v>1</v>
      </c>
      <c r="F5" s="16">
        <f>SUM(F13:F587)</f>
        <v>0</v>
      </c>
      <c r="G5" s="16">
        <f>SUM(G13:G587)</f>
        <v>249.95</v>
      </c>
      <c r="H5" s="16">
        <f t="shared" ref="H5:AT5" si="0">SUM(H13:H656)</f>
        <v>249.95</v>
      </c>
      <c r="I5" s="16">
        <f t="shared" si="0"/>
        <v>249.95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1880</v>
      </c>
      <c r="AW5" s="1803"/>
      <c r="AX5" s="1803"/>
      <c r="AY5" s="17" t="s">
        <v>3</v>
      </c>
      <c r="AZ5" s="18">
        <f t="shared" ref="AZ5:BT5" si="1">SUM(AZ13:AZ656)</f>
        <v>249.95</v>
      </c>
      <c r="BA5" s="18">
        <f t="shared" si="1"/>
        <v>249.95</v>
      </c>
      <c r="BB5" s="18">
        <f t="shared" si="1"/>
        <v>249.95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1881</v>
      </c>
      <c r="B6" s="2174"/>
      <c r="C6" s="2174"/>
      <c r="D6" s="2175"/>
      <c r="E6" s="16">
        <f>H6+AC6+AT6</f>
        <v>114.7</v>
      </c>
      <c r="F6" s="16" t="s">
        <v>1</v>
      </c>
      <c r="G6" s="16" t="s">
        <v>2</v>
      </c>
      <c r="H6" s="20">
        <f>SUMIF(I$12:AB$12,"总值",I6:AB6)</f>
        <v>114.7</v>
      </c>
      <c r="I6" s="16">
        <f t="shared" ref="I6:AB6" si="2">ROUND($A$3*I5/$B$3,2)</f>
        <v>114.7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1881</v>
      </c>
      <c r="AW6" s="2174"/>
      <c r="AX6" s="2174"/>
      <c r="AY6" s="21">
        <f>IF(AY3&gt;0,AY3,ROUND($A$3*AZ5/$B$3,2))</f>
        <v>114.7</v>
      </c>
      <c r="AZ6" s="16" t="s">
        <v>3</v>
      </c>
      <c r="BA6" s="16">
        <f>ROUND($AY$6*BA5/$AZ$5,2)</f>
        <v>114.7</v>
      </c>
      <c r="BB6" s="16">
        <f>ROUND($AY$6*BB5/$AZ$5,2)</f>
        <v>114.7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1882</v>
      </c>
      <c r="B7" s="2109" t="s">
        <v>1883</v>
      </c>
      <c r="C7" s="2109" t="s">
        <v>1884</v>
      </c>
      <c r="D7" s="2109" t="s">
        <v>1885</v>
      </c>
      <c r="E7" s="2109" t="s">
        <v>1886</v>
      </c>
      <c r="F7" s="2109" t="s">
        <v>1887</v>
      </c>
      <c r="G7" s="2178" t="s">
        <v>1888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1889</v>
      </c>
      <c r="AV7" s="23" t="s">
        <v>1890</v>
      </c>
      <c r="AW7" s="2166" t="s">
        <v>1891</v>
      </c>
      <c r="AX7" s="23" t="s">
        <v>1884</v>
      </c>
      <c r="AY7" s="1803" t="s">
        <v>1892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1893</v>
      </c>
      <c r="H8" s="2184" t="s">
        <v>1894</v>
      </c>
      <c r="I8" s="2185"/>
      <c r="J8" s="1818"/>
      <c r="K8" s="1818"/>
      <c r="L8" s="1818"/>
      <c r="M8" s="1818"/>
      <c r="N8" s="1818"/>
      <c r="O8" s="1818"/>
      <c r="P8" s="1818"/>
      <c r="Q8" s="1818"/>
      <c r="R8" s="1818"/>
      <c r="S8" s="1818"/>
      <c r="T8" s="1818"/>
      <c r="U8" s="1818"/>
      <c r="V8" s="2186"/>
      <c r="W8" s="1818"/>
      <c r="X8" s="1818"/>
      <c r="Y8" s="1818"/>
      <c r="Z8" s="1818"/>
      <c r="AA8" s="2186"/>
      <c r="AB8" s="2187"/>
      <c r="AC8" s="983" t="s">
        <v>1895</v>
      </c>
      <c r="AD8" s="2188"/>
      <c r="AE8" s="2180"/>
      <c r="AF8" s="1818"/>
      <c r="AG8" s="1818"/>
      <c r="AH8" s="1818"/>
      <c r="AI8" s="1818"/>
      <c r="AJ8" s="1818"/>
      <c r="AK8" s="1818"/>
      <c r="AL8" s="1818"/>
      <c r="AM8" s="1818"/>
      <c r="AN8" s="1818"/>
      <c r="AO8" s="1818"/>
      <c r="AP8" s="1818"/>
      <c r="AQ8" s="1818"/>
      <c r="AR8" s="1818"/>
      <c r="AS8" s="1818"/>
      <c r="AT8" s="1294" t="s">
        <v>1896</v>
      </c>
      <c r="AU8" s="2182" t="s">
        <v>1897</v>
      </c>
      <c r="AV8" s="1294"/>
      <c r="AW8" s="2165"/>
      <c r="AX8" s="1294"/>
      <c r="AY8" s="2166"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4"/>
      <c r="H9" s="2190" t="s">
        <v>1900</v>
      </c>
      <c r="I9" s="2191" t="s">
        <v>3052</v>
      </c>
      <c r="J9" s="983"/>
      <c r="K9" s="2191"/>
      <c r="L9" s="983"/>
      <c r="M9" s="2191"/>
      <c r="N9" s="983"/>
      <c r="O9" s="2191"/>
      <c r="P9" s="983"/>
      <c r="Q9" s="2191"/>
      <c r="R9" s="983"/>
      <c r="S9" s="2191"/>
      <c r="T9" s="983"/>
      <c r="U9" s="2191"/>
      <c r="V9" s="983"/>
      <c r="W9" s="2191"/>
      <c r="X9" s="2192"/>
      <c r="Y9" s="2191"/>
      <c r="Z9" s="983"/>
      <c r="AA9" s="2191"/>
      <c r="AB9" s="983"/>
      <c r="AC9" s="2183"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3"/>
      <c r="AT9" s="2182"/>
      <c r="AU9" s="2182" t="s">
        <v>1903</v>
      </c>
      <c r="AV9" s="1294"/>
      <c r="AW9" s="2165"/>
      <c r="AX9" s="1294"/>
      <c r="AY9" s="28"/>
      <c r="AZ9" s="28" t="s">
        <v>1893</v>
      </c>
      <c r="BA9" s="2194" t="s">
        <v>1904</v>
      </c>
      <c r="BB9" s="2195"/>
      <c r="BC9" s="1340"/>
      <c r="BD9" s="1340"/>
      <c r="BE9" s="1340"/>
      <c r="BF9" s="1340"/>
      <c r="BG9" s="1340"/>
      <c r="BH9" s="1340"/>
      <c r="BI9" s="1340"/>
      <c r="BJ9" s="1340"/>
      <c r="BK9" s="2196"/>
      <c r="BL9" s="15" t="s">
        <v>1905</v>
      </c>
      <c r="BM9" s="1818"/>
      <c r="BN9" s="2185"/>
      <c r="BO9" s="1818"/>
      <c r="BP9" s="1818"/>
      <c r="BQ9" s="1818"/>
      <c r="BR9" s="1818"/>
      <c r="BS9" s="1818"/>
      <c r="BT9" s="26"/>
    </row>
    <row r="10" spans="1:72" s="2189" customFormat="1" ht="12.75">
      <c r="A10" s="2182"/>
      <c r="B10" s="2182"/>
      <c r="C10" s="2182"/>
      <c r="D10" s="2182"/>
      <c r="E10" s="2182"/>
      <c r="F10" s="2182"/>
      <c r="G10" s="1294"/>
      <c r="H10" s="28"/>
      <c r="I10" s="2191" t="s">
        <v>1377</v>
      </c>
      <c r="J10" s="983"/>
      <c r="K10" s="2197"/>
      <c r="L10" s="983"/>
      <c r="M10" s="2197"/>
      <c r="N10" s="983"/>
      <c r="O10" s="2197"/>
      <c r="P10" s="983"/>
      <c r="Q10" s="2197"/>
      <c r="R10" s="983"/>
      <c r="S10" s="2197"/>
      <c r="T10" s="983"/>
      <c r="U10" s="2197"/>
      <c r="V10" s="983"/>
      <c r="W10" s="2197"/>
      <c r="X10" s="983"/>
      <c r="Y10" s="2197"/>
      <c r="Z10" s="983"/>
      <c r="AA10" s="2197"/>
      <c r="AB10" s="983"/>
      <c r="AC10" s="1294"/>
      <c r="AD10" s="15" t="s">
        <v>1906</v>
      </c>
      <c r="AE10" s="2198"/>
      <c r="AF10" s="15" t="s">
        <v>1906</v>
      </c>
      <c r="AG10" s="2198"/>
      <c r="AH10" s="15" t="s">
        <v>1907</v>
      </c>
      <c r="AI10" s="2198"/>
      <c r="AJ10" s="15" t="s">
        <v>1907</v>
      </c>
      <c r="AK10" s="2198"/>
      <c r="AL10" s="15" t="s">
        <v>1908</v>
      </c>
      <c r="AM10" s="1300"/>
      <c r="AN10" s="15" t="s">
        <v>1908</v>
      </c>
      <c r="AO10" s="1300"/>
      <c r="AP10" s="15" t="s">
        <v>1909</v>
      </c>
      <c r="AQ10" s="1300"/>
      <c r="AR10" s="15" t="s">
        <v>1909</v>
      </c>
      <c r="AS10" s="1300"/>
      <c r="AT10" s="2182"/>
      <c r="AU10" s="2182"/>
      <c r="AV10" s="1294"/>
      <c r="AW10" s="2165"/>
      <c r="AX10" s="1294"/>
      <c r="AY10" s="28"/>
      <c r="AZ10" s="28"/>
      <c r="BA10" s="2199" t="s">
        <v>1900</v>
      </c>
      <c r="BB10" s="2200" t="str">
        <f>I9</f>
        <v>地上</v>
      </c>
      <c r="BC10" s="29">
        <f>K9</f>
        <v>0</v>
      </c>
      <c r="BD10" s="29">
        <f>M9</f>
        <v>0</v>
      </c>
      <c r="BE10" s="29">
        <f>O9</f>
        <v>0</v>
      </c>
      <c r="BF10" s="29">
        <f>Q9</f>
        <v>0</v>
      </c>
      <c r="BG10" s="29">
        <f>S9</f>
        <v>0</v>
      </c>
      <c r="BH10" s="29">
        <f>U9</f>
        <v>0</v>
      </c>
      <c r="BI10" s="29">
        <f>W9</f>
        <v>0</v>
      </c>
      <c r="BJ10" s="29">
        <f>Y9</f>
        <v>0</v>
      </c>
      <c r="BK10" s="29">
        <f>AA9</f>
        <v>0</v>
      </c>
      <c r="BL10" s="25" t="s">
        <v>1900</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4"/>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4"/>
      <c r="AD11" s="2204" t="s">
        <v>1910</v>
      </c>
      <c r="AE11" s="1819"/>
      <c r="AF11" s="2204" t="s">
        <v>1910</v>
      </c>
      <c r="AG11" s="1819"/>
      <c r="AH11" s="2204" t="s">
        <v>1911</v>
      </c>
      <c r="AI11" s="2205"/>
      <c r="AJ11" s="2204" t="s">
        <v>1911</v>
      </c>
      <c r="AK11" s="1819"/>
      <c r="AL11" s="1817"/>
      <c r="AM11" s="1819"/>
      <c r="AN11" s="1817"/>
      <c r="AO11" s="1819"/>
      <c r="AP11" s="1817"/>
      <c r="AQ11" s="1819"/>
      <c r="AR11" s="1817"/>
      <c r="AS11" s="1819"/>
      <c r="AT11" s="2165"/>
      <c r="AU11" s="2182"/>
      <c r="AV11" s="1294"/>
      <c r="AW11" s="2165"/>
      <c r="AX11" s="1294"/>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4"/>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09"/>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7" t="s">
        <v>1913</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4"/>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4"/>
      <c r="B13" s="1274" t="str">
        <f>面积明细!A1</f>
        <v>不动产证</v>
      </c>
      <c r="C13" s="2153" t="str">
        <f>面积明细!B2</f>
        <v>1幢104室</v>
      </c>
      <c r="D13" s="2954" t="s">
        <v>3053</v>
      </c>
      <c r="E13" s="16">
        <f>IF($C$3="是",ROUND($A$3*G13/$B$3,2),ROUND($A$3*(G13-AT13)/$B$3,2))</f>
        <v>114.7</v>
      </c>
      <c r="F13" s="32"/>
      <c r="G13" s="33">
        <f>H13+AC13+AT13</f>
        <v>249.95</v>
      </c>
      <c r="H13" s="20">
        <f>SUMIF(I$12:AB$12,"总值",I13:AB13)</f>
        <v>249.95</v>
      </c>
      <c r="I13" s="2213">
        <f>面积明细!C2</f>
        <v>249.95</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t="str">
        <f t="shared" si="6"/>
        <v>不动产证</v>
      </c>
      <c r="AX13" s="11" t="str">
        <f t="shared" si="6"/>
        <v>1幢104室</v>
      </c>
      <c r="AY13" s="2953">
        <f>ROUND($AY$6*AZ13/$AZ$5,2)</f>
        <v>114.7</v>
      </c>
      <c r="AZ13" s="16">
        <f>BA13+BL13</f>
        <v>249.95</v>
      </c>
      <c r="BA13" s="16">
        <f>SUM(BB13:BK13)</f>
        <v>249.95</v>
      </c>
      <c r="BB13" s="16">
        <f>IF($D13="是",I13-J13,0)</f>
        <v>249.95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4"/>
      <c r="B14" s="1274"/>
      <c r="C14" s="2153" t="s">
        <v>3375</v>
      </c>
      <c r="D14" s="2954" t="s">
        <v>3055</v>
      </c>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1幢105室</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4"/>
      <c r="B15" s="1274"/>
      <c r="C15" s="2153" t="s">
        <v>3263</v>
      </c>
      <c r="D15" s="2954" t="s">
        <v>3055</v>
      </c>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1幢106室</v>
      </c>
      <c r="AY15" s="295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4"/>
      <c r="B16" s="1274"/>
      <c r="C16" s="2153" t="s">
        <v>3265</v>
      </c>
      <c r="D16" s="2954" t="s">
        <v>3055</v>
      </c>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1幢107室</v>
      </c>
      <c r="AY16" s="295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4"/>
      <c r="B17" s="1274"/>
      <c r="C17" s="2153" t="s">
        <v>3266</v>
      </c>
      <c r="D17" s="2954" t="s">
        <v>3055</v>
      </c>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1幢108室</v>
      </c>
      <c r="AY17" s="295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s="2167" customFormat="1" ht="12.75">
      <c r="A18" s="1274"/>
      <c r="B18" s="1274"/>
      <c r="C18" s="2153" t="s">
        <v>3267</v>
      </c>
      <c r="D18" s="2954" t="s">
        <v>3055</v>
      </c>
      <c r="E18" s="16">
        <f t="shared" ref="E18:E112" si="7">IF($C$3="是",ROUND($A$3*G18/$B$3,2),ROUND($A$3*(G18-AT18)/$B$3,2))</f>
        <v>0</v>
      </c>
      <c r="F18" s="32"/>
      <c r="G18" s="33">
        <f t="shared" ref="G18:G109" si="8">H18+AC18+AT18</f>
        <v>0</v>
      </c>
      <c r="H18" s="20">
        <f t="shared" ref="H18:H109" si="9">SUMIF(I$12:AB$12,"总值",I18:AB18)</f>
        <v>0</v>
      </c>
      <c r="I18" s="2213"/>
      <c r="J18" s="2213"/>
      <c r="K18" s="2213"/>
      <c r="L18" s="2213"/>
      <c r="M18" s="2213"/>
      <c r="N18" s="2213"/>
      <c r="O18" s="2213"/>
      <c r="P18" s="2213"/>
      <c r="Q18" s="2213"/>
      <c r="R18" s="2213"/>
      <c r="S18" s="2213"/>
      <c r="T18" s="2213"/>
      <c r="U18" s="2213"/>
      <c r="V18" s="2213"/>
      <c r="W18" s="2213"/>
      <c r="X18" s="2213"/>
      <c r="Y18" s="2213"/>
      <c r="Z18" s="2213"/>
      <c r="AA18" s="2213"/>
      <c r="AB18" s="2213"/>
      <c r="AC18" s="16">
        <f t="shared" ref="AC18:AC109" si="10">SUMIF(AD$12:AS$12,"总值",AD18:AS18)</f>
        <v>0</v>
      </c>
      <c r="AD18" s="2214"/>
      <c r="AE18" s="2214"/>
      <c r="AF18" s="2214"/>
      <c r="AG18" s="2214"/>
      <c r="AH18" s="2214"/>
      <c r="AI18" s="2214"/>
      <c r="AJ18" s="2214"/>
      <c r="AK18" s="2214"/>
      <c r="AL18" s="2214"/>
      <c r="AM18" s="2214"/>
      <c r="AN18" s="2214"/>
      <c r="AO18" s="2214"/>
      <c r="AP18" s="2214"/>
      <c r="AQ18" s="2214"/>
      <c r="AR18" s="2214"/>
      <c r="AS18" s="2214"/>
      <c r="AT18" s="2215"/>
      <c r="AU18" s="2216"/>
      <c r="AV18" s="11">
        <f t="shared" ref="AV18:AV112" si="11">A18</f>
        <v>0</v>
      </c>
      <c r="AW18" s="11">
        <f t="shared" ref="AW18:AW112" si="12">B18</f>
        <v>0</v>
      </c>
      <c r="AX18" s="11" t="str">
        <f t="shared" ref="AX18:AX112" si="13">C18</f>
        <v>1幢109室</v>
      </c>
      <c r="AY18" s="2953">
        <f t="shared" ref="AY18:AY109" si="14">ROUND($AY$6*AZ18/$AZ$5,2)</f>
        <v>0</v>
      </c>
      <c r="AZ18" s="16">
        <f t="shared" ref="AZ18:AZ109" si="15">BA18+BL18</f>
        <v>0</v>
      </c>
      <c r="BA18" s="16">
        <f t="shared" ref="BA18:BA109" si="16">SUM(BB18:BK18)</f>
        <v>0</v>
      </c>
      <c r="BB18" s="16">
        <f t="shared" ref="BB18:BB109" si="17">IF($D18="是",I18-J18,0)</f>
        <v>0</v>
      </c>
      <c r="BC18" s="16">
        <f t="shared" ref="BC18:BC109" si="18">IF($D18="是",K18-L18,0)</f>
        <v>0</v>
      </c>
      <c r="BD18" s="16">
        <f t="shared" ref="BD18:BD109" si="19">IF($D18="是",M18-N18,0)</f>
        <v>0</v>
      </c>
      <c r="BE18" s="16">
        <f t="shared" ref="BE18:BE109" si="20">IF($D18="是",O18-P18,0)</f>
        <v>0</v>
      </c>
      <c r="BF18" s="16">
        <f t="shared" ref="BF18:BF109" si="21">IF($D18="是",Q18-R18,0)</f>
        <v>0</v>
      </c>
      <c r="BG18" s="16">
        <f t="shared" ref="BG18:BG109" si="22">IF($D18="是",S18-T18,0)</f>
        <v>0</v>
      </c>
      <c r="BH18" s="16">
        <f t="shared" ref="BH18:BH109" si="23">IF($D18="是",U18-V18,0)</f>
        <v>0</v>
      </c>
      <c r="BI18" s="16">
        <f t="shared" ref="BI18:BI109" si="24">IF($D18="是",W18-X18,0)</f>
        <v>0</v>
      </c>
      <c r="BJ18" s="16">
        <f t="shared" ref="BJ18:BJ109" si="25">IF($D18="是",Y18-Z18,0)</f>
        <v>0</v>
      </c>
      <c r="BK18" s="16">
        <f t="shared" ref="BK18:BK109" si="26">IF($D18="是",AA18-AB18,0)</f>
        <v>0</v>
      </c>
      <c r="BL18" s="16">
        <f t="shared" ref="BL18:BL109" si="27">SUM(BM18:BT18)</f>
        <v>0</v>
      </c>
      <c r="BM18" s="16">
        <f t="shared" ref="BM18:BM109" si="28">IF($D18="是",AD18-AE18,0)</f>
        <v>0</v>
      </c>
      <c r="BN18" s="16">
        <f t="shared" ref="BN18:BN109" si="29">IF($D18="是",AF18-AG18,0)</f>
        <v>0</v>
      </c>
      <c r="BO18" s="16">
        <f t="shared" ref="BO18:BO109" si="30">IF($D18="是",AH18-AI18,0)</f>
        <v>0</v>
      </c>
      <c r="BP18" s="16">
        <f t="shared" ref="BP18:BP109" si="31">IF($D18="是",AJ18-AK18,0)</f>
        <v>0</v>
      </c>
      <c r="BQ18" s="16">
        <f t="shared" ref="BQ18:BQ109" si="32">IF($D18="是",AL18-AM18,0)</f>
        <v>0</v>
      </c>
      <c r="BR18" s="16">
        <f t="shared" ref="BR18:BR109" si="33">IF($D18="是",AN18-AO18,0)</f>
        <v>0</v>
      </c>
      <c r="BS18" s="16">
        <f t="shared" ref="BS18:BS109" si="34">IF($D18="是",AP18-AQ18,0)</f>
        <v>0</v>
      </c>
      <c r="BT18" s="22">
        <f t="shared" ref="BT18:BT109" si="35">IF($D18="是",AR18-AS18,0)</f>
        <v>0</v>
      </c>
    </row>
    <row r="19" spans="1:72" s="2167" customFormat="1" ht="12.75">
      <c r="A19" s="1274"/>
      <c r="B19" s="1274"/>
      <c r="C19" s="2153" t="s">
        <v>3268</v>
      </c>
      <c r="D19" s="2954" t="s">
        <v>3055</v>
      </c>
      <c r="E19" s="16">
        <f t="shared" si="7"/>
        <v>0</v>
      </c>
      <c r="F19" s="32"/>
      <c r="G19" s="33">
        <f t="shared" si="8"/>
        <v>0</v>
      </c>
      <c r="H19" s="20">
        <f t="shared" si="9"/>
        <v>0</v>
      </c>
      <c r="I19" s="2213"/>
      <c r="J19" s="2213"/>
      <c r="K19" s="2213"/>
      <c r="L19" s="2213"/>
      <c r="M19" s="2213"/>
      <c r="N19" s="2213"/>
      <c r="O19" s="2213"/>
      <c r="P19" s="2213"/>
      <c r="Q19" s="2213"/>
      <c r="R19" s="2213"/>
      <c r="S19" s="2213"/>
      <c r="T19" s="2213"/>
      <c r="U19" s="2213"/>
      <c r="V19" s="2213"/>
      <c r="W19" s="2213"/>
      <c r="X19" s="2213"/>
      <c r="Y19" s="2213"/>
      <c r="Z19" s="2213"/>
      <c r="AA19" s="2213"/>
      <c r="AB19" s="2213"/>
      <c r="AC19" s="16">
        <f t="shared" si="10"/>
        <v>0</v>
      </c>
      <c r="AD19" s="2214"/>
      <c r="AE19" s="2214"/>
      <c r="AF19" s="2214"/>
      <c r="AG19" s="2214"/>
      <c r="AH19" s="2214"/>
      <c r="AI19" s="2214"/>
      <c r="AJ19" s="2214"/>
      <c r="AK19" s="2214"/>
      <c r="AL19" s="2214"/>
      <c r="AM19" s="2214"/>
      <c r="AN19" s="2214"/>
      <c r="AO19" s="2214"/>
      <c r="AP19" s="2214"/>
      <c r="AQ19" s="2214"/>
      <c r="AR19" s="2214"/>
      <c r="AS19" s="2214"/>
      <c r="AT19" s="2215"/>
      <c r="AU19" s="2216"/>
      <c r="AV19" s="11">
        <f t="shared" si="11"/>
        <v>0</v>
      </c>
      <c r="AW19" s="11">
        <f t="shared" si="12"/>
        <v>0</v>
      </c>
      <c r="AX19" s="11" t="str">
        <f t="shared" si="13"/>
        <v>1幢110室</v>
      </c>
      <c r="AY19" s="2953">
        <f t="shared" si="14"/>
        <v>0</v>
      </c>
      <c r="AZ19" s="16">
        <f t="shared" si="15"/>
        <v>0</v>
      </c>
      <c r="BA19" s="16">
        <f t="shared" si="16"/>
        <v>0</v>
      </c>
      <c r="BB19" s="16">
        <f t="shared" si="17"/>
        <v>0</v>
      </c>
      <c r="BC19" s="16">
        <f t="shared" si="18"/>
        <v>0</v>
      </c>
      <c r="BD19" s="16">
        <f t="shared" si="19"/>
        <v>0</v>
      </c>
      <c r="BE19" s="16">
        <f t="shared" si="20"/>
        <v>0</v>
      </c>
      <c r="BF19" s="16">
        <f t="shared" si="21"/>
        <v>0</v>
      </c>
      <c r="BG19" s="16">
        <f t="shared" si="22"/>
        <v>0</v>
      </c>
      <c r="BH19" s="16">
        <f t="shared" si="23"/>
        <v>0</v>
      </c>
      <c r="BI19" s="16">
        <f t="shared" si="24"/>
        <v>0</v>
      </c>
      <c r="BJ19" s="16">
        <f t="shared" si="25"/>
        <v>0</v>
      </c>
      <c r="BK19" s="16">
        <f t="shared" si="26"/>
        <v>0</v>
      </c>
      <c r="BL19" s="16">
        <f t="shared" si="27"/>
        <v>0</v>
      </c>
      <c r="BM19" s="16">
        <f t="shared" si="28"/>
        <v>0</v>
      </c>
      <c r="BN19" s="16">
        <f t="shared" si="29"/>
        <v>0</v>
      </c>
      <c r="BO19" s="16">
        <f t="shared" si="30"/>
        <v>0</v>
      </c>
      <c r="BP19" s="16">
        <f t="shared" si="31"/>
        <v>0</v>
      </c>
      <c r="BQ19" s="16">
        <f t="shared" si="32"/>
        <v>0</v>
      </c>
      <c r="BR19" s="16">
        <f t="shared" si="33"/>
        <v>0</v>
      </c>
      <c r="BS19" s="16">
        <f t="shared" si="34"/>
        <v>0</v>
      </c>
      <c r="BT19" s="22">
        <f t="shared" si="35"/>
        <v>0</v>
      </c>
    </row>
    <row r="20" spans="1:72" s="2167" customFormat="1" ht="12.75">
      <c r="A20" s="1274"/>
      <c r="B20" s="1274"/>
      <c r="C20" s="2153" t="s">
        <v>3269</v>
      </c>
      <c r="D20" s="2954" t="s">
        <v>3055</v>
      </c>
      <c r="E20" s="16">
        <f t="shared" si="7"/>
        <v>0</v>
      </c>
      <c r="F20" s="32"/>
      <c r="G20" s="33">
        <f t="shared" si="8"/>
        <v>0</v>
      </c>
      <c r="H20" s="20">
        <f t="shared" si="9"/>
        <v>0</v>
      </c>
      <c r="I20" s="2213"/>
      <c r="J20" s="2213"/>
      <c r="K20" s="2213"/>
      <c r="L20" s="2213"/>
      <c r="M20" s="2213"/>
      <c r="N20" s="2213"/>
      <c r="O20" s="2213"/>
      <c r="P20" s="2213"/>
      <c r="Q20" s="2213"/>
      <c r="R20" s="2213"/>
      <c r="S20" s="2213"/>
      <c r="T20" s="2213"/>
      <c r="U20" s="2213"/>
      <c r="V20" s="2213"/>
      <c r="W20" s="2213"/>
      <c r="X20" s="2213"/>
      <c r="Y20" s="2213"/>
      <c r="Z20" s="2213"/>
      <c r="AA20" s="2213"/>
      <c r="AB20" s="2213"/>
      <c r="AC20" s="16">
        <f t="shared" si="10"/>
        <v>0</v>
      </c>
      <c r="AD20" s="2214"/>
      <c r="AE20" s="2214"/>
      <c r="AF20" s="2214"/>
      <c r="AG20" s="2214"/>
      <c r="AH20" s="2214"/>
      <c r="AI20" s="2214"/>
      <c r="AJ20" s="2214"/>
      <c r="AK20" s="2214"/>
      <c r="AL20" s="2214"/>
      <c r="AM20" s="2214"/>
      <c r="AN20" s="2214"/>
      <c r="AO20" s="2214"/>
      <c r="AP20" s="2214"/>
      <c r="AQ20" s="2214"/>
      <c r="AR20" s="2214"/>
      <c r="AS20" s="2214"/>
      <c r="AT20" s="2215"/>
      <c r="AU20" s="2216"/>
      <c r="AV20" s="11">
        <f t="shared" si="11"/>
        <v>0</v>
      </c>
      <c r="AW20" s="11">
        <f t="shared" si="12"/>
        <v>0</v>
      </c>
      <c r="AX20" s="11" t="str">
        <f t="shared" si="13"/>
        <v>1幢111室</v>
      </c>
      <c r="AY20" s="2953">
        <f t="shared" si="14"/>
        <v>0</v>
      </c>
      <c r="AZ20" s="16">
        <f t="shared" si="15"/>
        <v>0</v>
      </c>
      <c r="BA20" s="16">
        <f t="shared" si="16"/>
        <v>0</v>
      </c>
      <c r="BB20" s="16">
        <f t="shared" si="17"/>
        <v>0</v>
      </c>
      <c r="BC20" s="16">
        <f t="shared" si="18"/>
        <v>0</v>
      </c>
      <c r="BD20" s="16">
        <f t="shared" si="19"/>
        <v>0</v>
      </c>
      <c r="BE20" s="16">
        <f t="shared" si="20"/>
        <v>0</v>
      </c>
      <c r="BF20" s="16">
        <f t="shared" si="21"/>
        <v>0</v>
      </c>
      <c r="BG20" s="16">
        <f t="shared" si="22"/>
        <v>0</v>
      </c>
      <c r="BH20" s="16">
        <f t="shared" si="23"/>
        <v>0</v>
      </c>
      <c r="BI20" s="16">
        <f t="shared" si="24"/>
        <v>0</v>
      </c>
      <c r="BJ20" s="16">
        <f t="shared" si="25"/>
        <v>0</v>
      </c>
      <c r="BK20" s="16">
        <f t="shared" si="26"/>
        <v>0</v>
      </c>
      <c r="BL20" s="16">
        <f t="shared" si="27"/>
        <v>0</v>
      </c>
      <c r="BM20" s="16">
        <f t="shared" si="28"/>
        <v>0</v>
      </c>
      <c r="BN20" s="16">
        <f t="shared" si="29"/>
        <v>0</v>
      </c>
      <c r="BO20" s="16">
        <f t="shared" si="30"/>
        <v>0</v>
      </c>
      <c r="BP20" s="16">
        <f t="shared" si="31"/>
        <v>0</v>
      </c>
      <c r="BQ20" s="16">
        <f t="shared" si="32"/>
        <v>0</v>
      </c>
      <c r="BR20" s="16">
        <f t="shared" si="33"/>
        <v>0</v>
      </c>
      <c r="BS20" s="16">
        <f t="shared" si="34"/>
        <v>0</v>
      </c>
      <c r="BT20" s="22">
        <f t="shared" si="35"/>
        <v>0</v>
      </c>
    </row>
    <row r="21" spans="1:72" s="2167" customFormat="1" ht="12.75">
      <c r="A21" s="1274"/>
      <c r="B21" s="1274"/>
      <c r="C21" s="2153" t="s">
        <v>3270</v>
      </c>
      <c r="D21" s="2954" t="s">
        <v>3055</v>
      </c>
      <c r="E21" s="16">
        <f t="shared" si="7"/>
        <v>0</v>
      </c>
      <c r="F21" s="32"/>
      <c r="G21" s="33">
        <f t="shared" si="8"/>
        <v>0</v>
      </c>
      <c r="H21" s="20">
        <f t="shared" si="9"/>
        <v>0</v>
      </c>
      <c r="I21" s="2213"/>
      <c r="J21" s="2213"/>
      <c r="K21" s="2213"/>
      <c r="L21" s="2213"/>
      <c r="M21" s="2213"/>
      <c r="N21" s="2213"/>
      <c r="O21" s="2213"/>
      <c r="P21" s="2213"/>
      <c r="Q21" s="2213"/>
      <c r="R21" s="2213"/>
      <c r="S21" s="2213"/>
      <c r="T21" s="2213"/>
      <c r="U21" s="2213"/>
      <c r="V21" s="2213"/>
      <c r="W21" s="2213"/>
      <c r="X21" s="2213"/>
      <c r="Y21" s="2213"/>
      <c r="Z21" s="2213"/>
      <c r="AA21" s="2213"/>
      <c r="AB21" s="2213"/>
      <c r="AC21" s="16">
        <f t="shared" si="10"/>
        <v>0</v>
      </c>
      <c r="AD21" s="2214"/>
      <c r="AE21" s="2214"/>
      <c r="AF21" s="2214"/>
      <c r="AG21" s="2214"/>
      <c r="AH21" s="2214"/>
      <c r="AI21" s="2214"/>
      <c r="AJ21" s="2214"/>
      <c r="AK21" s="2214"/>
      <c r="AL21" s="2214"/>
      <c r="AM21" s="2214"/>
      <c r="AN21" s="2214"/>
      <c r="AO21" s="2214"/>
      <c r="AP21" s="2214"/>
      <c r="AQ21" s="2214"/>
      <c r="AR21" s="2214"/>
      <c r="AS21" s="2214"/>
      <c r="AT21" s="2215"/>
      <c r="AU21" s="2216"/>
      <c r="AV21" s="11">
        <f t="shared" si="11"/>
        <v>0</v>
      </c>
      <c r="AW21" s="11">
        <f t="shared" si="12"/>
        <v>0</v>
      </c>
      <c r="AX21" s="11" t="str">
        <f t="shared" si="13"/>
        <v>1幢112室</v>
      </c>
      <c r="AY21" s="2953">
        <f t="shared" si="14"/>
        <v>0</v>
      </c>
      <c r="AZ21" s="16">
        <f t="shared" si="15"/>
        <v>0</v>
      </c>
      <c r="BA21" s="16">
        <f t="shared" si="16"/>
        <v>0</v>
      </c>
      <c r="BB21" s="16">
        <f t="shared" si="17"/>
        <v>0</v>
      </c>
      <c r="BC21" s="16">
        <f t="shared" si="18"/>
        <v>0</v>
      </c>
      <c r="BD21" s="16">
        <f t="shared" si="19"/>
        <v>0</v>
      </c>
      <c r="BE21" s="16">
        <f t="shared" si="20"/>
        <v>0</v>
      </c>
      <c r="BF21" s="16">
        <f t="shared" si="21"/>
        <v>0</v>
      </c>
      <c r="BG21" s="16">
        <f t="shared" si="22"/>
        <v>0</v>
      </c>
      <c r="BH21" s="16">
        <f t="shared" si="23"/>
        <v>0</v>
      </c>
      <c r="BI21" s="16">
        <f t="shared" si="24"/>
        <v>0</v>
      </c>
      <c r="BJ21" s="16">
        <f t="shared" si="25"/>
        <v>0</v>
      </c>
      <c r="BK21" s="16">
        <f t="shared" si="26"/>
        <v>0</v>
      </c>
      <c r="BL21" s="16">
        <f t="shared" si="27"/>
        <v>0</v>
      </c>
      <c r="BM21" s="16">
        <f t="shared" si="28"/>
        <v>0</v>
      </c>
      <c r="BN21" s="16">
        <f t="shared" si="29"/>
        <v>0</v>
      </c>
      <c r="BO21" s="16">
        <f t="shared" si="30"/>
        <v>0</v>
      </c>
      <c r="BP21" s="16">
        <f t="shared" si="31"/>
        <v>0</v>
      </c>
      <c r="BQ21" s="16">
        <f t="shared" si="32"/>
        <v>0</v>
      </c>
      <c r="BR21" s="16">
        <f t="shared" si="33"/>
        <v>0</v>
      </c>
      <c r="BS21" s="16">
        <f t="shared" si="34"/>
        <v>0</v>
      </c>
      <c r="BT21" s="22">
        <f t="shared" si="35"/>
        <v>0</v>
      </c>
    </row>
    <row r="22" spans="1:72" s="2167" customFormat="1" ht="12.75">
      <c r="A22" s="1274"/>
      <c r="B22" s="1274"/>
      <c r="C22" s="2153" t="s">
        <v>3271</v>
      </c>
      <c r="D22" s="2954" t="s">
        <v>3055</v>
      </c>
      <c r="E22" s="16">
        <f t="shared" si="7"/>
        <v>0</v>
      </c>
      <c r="F22" s="32"/>
      <c r="G22" s="33">
        <f t="shared" si="8"/>
        <v>0</v>
      </c>
      <c r="H22" s="20">
        <f t="shared" si="9"/>
        <v>0</v>
      </c>
      <c r="I22" s="2213"/>
      <c r="J22" s="2213"/>
      <c r="K22" s="2213"/>
      <c r="L22" s="2213"/>
      <c r="M22" s="2213"/>
      <c r="N22" s="2213"/>
      <c r="O22" s="2213"/>
      <c r="P22" s="2213"/>
      <c r="Q22" s="2213"/>
      <c r="R22" s="2213"/>
      <c r="S22" s="2213"/>
      <c r="T22" s="2213"/>
      <c r="U22" s="2213"/>
      <c r="V22" s="2213"/>
      <c r="W22" s="2213"/>
      <c r="X22" s="2213"/>
      <c r="Y22" s="2213"/>
      <c r="Z22" s="2213"/>
      <c r="AA22" s="2213"/>
      <c r="AB22" s="2213"/>
      <c r="AC22" s="16">
        <f t="shared" si="10"/>
        <v>0</v>
      </c>
      <c r="AD22" s="2214"/>
      <c r="AE22" s="2214"/>
      <c r="AF22" s="2214"/>
      <c r="AG22" s="2214"/>
      <c r="AH22" s="2214"/>
      <c r="AI22" s="2214"/>
      <c r="AJ22" s="2214"/>
      <c r="AK22" s="2214"/>
      <c r="AL22" s="2214"/>
      <c r="AM22" s="2214"/>
      <c r="AN22" s="2214"/>
      <c r="AO22" s="2214"/>
      <c r="AP22" s="2214"/>
      <c r="AQ22" s="2214"/>
      <c r="AR22" s="2214"/>
      <c r="AS22" s="2214"/>
      <c r="AT22" s="2215"/>
      <c r="AU22" s="2216"/>
      <c r="AV22" s="11">
        <f t="shared" si="11"/>
        <v>0</v>
      </c>
      <c r="AW22" s="11">
        <f t="shared" si="12"/>
        <v>0</v>
      </c>
      <c r="AX22" s="11" t="str">
        <f t="shared" si="13"/>
        <v>1幢113室</v>
      </c>
      <c r="AY22" s="2953">
        <f t="shared" si="14"/>
        <v>0</v>
      </c>
      <c r="AZ22" s="16">
        <f t="shared" si="15"/>
        <v>0</v>
      </c>
      <c r="BA22" s="16">
        <f t="shared" si="16"/>
        <v>0</v>
      </c>
      <c r="BB22" s="16">
        <f t="shared" si="17"/>
        <v>0</v>
      </c>
      <c r="BC22" s="16">
        <f t="shared" si="18"/>
        <v>0</v>
      </c>
      <c r="BD22" s="16">
        <f t="shared" si="19"/>
        <v>0</v>
      </c>
      <c r="BE22" s="16">
        <f t="shared" si="20"/>
        <v>0</v>
      </c>
      <c r="BF22" s="16">
        <f t="shared" si="21"/>
        <v>0</v>
      </c>
      <c r="BG22" s="16">
        <f t="shared" si="22"/>
        <v>0</v>
      </c>
      <c r="BH22" s="16">
        <f t="shared" si="23"/>
        <v>0</v>
      </c>
      <c r="BI22" s="16">
        <f t="shared" si="24"/>
        <v>0</v>
      </c>
      <c r="BJ22" s="16">
        <f t="shared" si="25"/>
        <v>0</v>
      </c>
      <c r="BK22" s="16">
        <f t="shared" si="26"/>
        <v>0</v>
      </c>
      <c r="BL22" s="16">
        <f t="shared" si="27"/>
        <v>0</v>
      </c>
      <c r="BM22" s="16">
        <f t="shared" si="28"/>
        <v>0</v>
      </c>
      <c r="BN22" s="16">
        <f t="shared" si="29"/>
        <v>0</v>
      </c>
      <c r="BO22" s="16">
        <f t="shared" si="30"/>
        <v>0</v>
      </c>
      <c r="BP22" s="16">
        <f t="shared" si="31"/>
        <v>0</v>
      </c>
      <c r="BQ22" s="16">
        <f t="shared" si="32"/>
        <v>0</v>
      </c>
      <c r="BR22" s="16">
        <f t="shared" si="33"/>
        <v>0</v>
      </c>
      <c r="BS22" s="16">
        <f t="shared" si="34"/>
        <v>0</v>
      </c>
      <c r="BT22" s="22">
        <f t="shared" si="35"/>
        <v>0</v>
      </c>
    </row>
    <row r="23" spans="1:72" s="2167" customFormat="1" ht="12.75">
      <c r="A23" s="1274"/>
      <c r="B23" s="1274"/>
      <c r="C23" s="2153" t="s">
        <v>3272</v>
      </c>
      <c r="D23" s="2954" t="s">
        <v>3055</v>
      </c>
      <c r="E23" s="16">
        <f t="shared" si="7"/>
        <v>0</v>
      </c>
      <c r="F23" s="32"/>
      <c r="G23" s="33">
        <f t="shared" si="8"/>
        <v>0</v>
      </c>
      <c r="H23" s="20">
        <f t="shared" si="9"/>
        <v>0</v>
      </c>
      <c r="I23" s="2213"/>
      <c r="J23" s="2213"/>
      <c r="K23" s="2213"/>
      <c r="L23" s="2213"/>
      <c r="M23" s="2213"/>
      <c r="N23" s="2213"/>
      <c r="O23" s="2213"/>
      <c r="P23" s="2213"/>
      <c r="Q23" s="2213"/>
      <c r="R23" s="2213"/>
      <c r="S23" s="2213"/>
      <c r="T23" s="2213"/>
      <c r="U23" s="2213"/>
      <c r="V23" s="2213"/>
      <c r="W23" s="2213"/>
      <c r="X23" s="2213"/>
      <c r="Y23" s="2213"/>
      <c r="Z23" s="2213"/>
      <c r="AA23" s="2213"/>
      <c r="AB23" s="2213"/>
      <c r="AC23" s="16">
        <f t="shared" si="10"/>
        <v>0</v>
      </c>
      <c r="AD23" s="2214"/>
      <c r="AE23" s="2214"/>
      <c r="AF23" s="2214"/>
      <c r="AG23" s="2214"/>
      <c r="AH23" s="2214"/>
      <c r="AI23" s="2214"/>
      <c r="AJ23" s="2214"/>
      <c r="AK23" s="2214"/>
      <c r="AL23" s="2214"/>
      <c r="AM23" s="2214"/>
      <c r="AN23" s="2214"/>
      <c r="AO23" s="2214"/>
      <c r="AP23" s="2214"/>
      <c r="AQ23" s="2214"/>
      <c r="AR23" s="2214"/>
      <c r="AS23" s="2214"/>
      <c r="AT23" s="2215"/>
      <c r="AU23" s="2216"/>
      <c r="AV23" s="11">
        <f t="shared" si="11"/>
        <v>0</v>
      </c>
      <c r="AW23" s="11">
        <f t="shared" si="12"/>
        <v>0</v>
      </c>
      <c r="AX23" s="11" t="str">
        <f t="shared" si="13"/>
        <v>1幢114室</v>
      </c>
      <c r="AY23" s="2953">
        <f t="shared" si="14"/>
        <v>0</v>
      </c>
      <c r="AZ23" s="16">
        <f t="shared" si="15"/>
        <v>0</v>
      </c>
      <c r="BA23" s="16">
        <f t="shared" si="16"/>
        <v>0</v>
      </c>
      <c r="BB23" s="16">
        <f t="shared" si="17"/>
        <v>0</v>
      </c>
      <c r="BC23" s="16">
        <f t="shared" si="18"/>
        <v>0</v>
      </c>
      <c r="BD23" s="16">
        <f t="shared" si="19"/>
        <v>0</v>
      </c>
      <c r="BE23" s="16">
        <f t="shared" si="20"/>
        <v>0</v>
      </c>
      <c r="BF23" s="16">
        <f t="shared" si="21"/>
        <v>0</v>
      </c>
      <c r="BG23" s="16">
        <f t="shared" si="22"/>
        <v>0</v>
      </c>
      <c r="BH23" s="16">
        <f t="shared" si="23"/>
        <v>0</v>
      </c>
      <c r="BI23" s="16">
        <f t="shared" si="24"/>
        <v>0</v>
      </c>
      <c r="BJ23" s="16">
        <f t="shared" si="25"/>
        <v>0</v>
      </c>
      <c r="BK23" s="16">
        <f t="shared" si="26"/>
        <v>0</v>
      </c>
      <c r="BL23" s="16">
        <f t="shared" si="27"/>
        <v>0</v>
      </c>
      <c r="BM23" s="16">
        <f t="shared" si="28"/>
        <v>0</v>
      </c>
      <c r="BN23" s="16">
        <f t="shared" si="29"/>
        <v>0</v>
      </c>
      <c r="BO23" s="16">
        <f t="shared" si="30"/>
        <v>0</v>
      </c>
      <c r="BP23" s="16">
        <f t="shared" si="31"/>
        <v>0</v>
      </c>
      <c r="BQ23" s="16">
        <f t="shared" si="32"/>
        <v>0</v>
      </c>
      <c r="BR23" s="16">
        <f t="shared" si="33"/>
        <v>0</v>
      </c>
      <c r="BS23" s="16">
        <f t="shared" si="34"/>
        <v>0</v>
      </c>
      <c r="BT23" s="22">
        <f t="shared" si="35"/>
        <v>0</v>
      </c>
    </row>
    <row r="24" spans="1:72" s="2167" customFormat="1" ht="12.75">
      <c r="A24" s="1274"/>
      <c r="B24" s="1274"/>
      <c r="C24" s="2153" t="s">
        <v>3273</v>
      </c>
      <c r="D24" s="2954" t="s">
        <v>3055</v>
      </c>
      <c r="E24" s="16">
        <f t="shared" si="7"/>
        <v>0</v>
      </c>
      <c r="F24" s="32"/>
      <c r="G24" s="33">
        <f t="shared" si="8"/>
        <v>0</v>
      </c>
      <c r="H24" s="20">
        <f t="shared" si="9"/>
        <v>0</v>
      </c>
      <c r="I24" s="2213"/>
      <c r="J24" s="2213"/>
      <c r="K24" s="2213"/>
      <c r="L24" s="2213"/>
      <c r="M24" s="2213"/>
      <c r="N24" s="2213"/>
      <c r="O24" s="2213"/>
      <c r="P24" s="2213"/>
      <c r="Q24" s="2213"/>
      <c r="R24" s="2213"/>
      <c r="S24" s="2213"/>
      <c r="T24" s="2213"/>
      <c r="U24" s="2213"/>
      <c r="V24" s="2213"/>
      <c r="W24" s="2213"/>
      <c r="X24" s="2213"/>
      <c r="Y24" s="2213"/>
      <c r="Z24" s="2213"/>
      <c r="AA24" s="2213"/>
      <c r="AB24" s="2213"/>
      <c r="AC24" s="16">
        <f t="shared" si="10"/>
        <v>0</v>
      </c>
      <c r="AD24" s="2214"/>
      <c r="AE24" s="2214"/>
      <c r="AF24" s="2214"/>
      <c r="AG24" s="2214"/>
      <c r="AH24" s="2214"/>
      <c r="AI24" s="2214"/>
      <c r="AJ24" s="2214"/>
      <c r="AK24" s="2214"/>
      <c r="AL24" s="2214"/>
      <c r="AM24" s="2214"/>
      <c r="AN24" s="2214"/>
      <c r="AO24" s="2214"/>
      <c r="AP24" s="2214"/>
      <c r="AQ24" s="2214"/>
      <c r="AR24" s="2214"/>
      <c r="AS24" s="2214"/>
      <c r="AT24" s="2215"/>
      <c r="AU24" s="2216"/>
      <c r="AV24" s="11">
        <f t="shared" si="11"/>
        <v>0</v>
      </c>
      <c r="AW24" s="11">
        <f t="shared" si="12"/>
        <v>0</v>
      </c>
      <c r="AX24" s="11" t="str">
        <f t="shared" si="13"/>
        <v>1幢115室</v>
      </c>
      <c r="AY24" s="2953">
        <f t="shared" si="14"/>
        <v>0</v>
      </c>
      <c r="AZ24" s="16">
        <f t="shared" si="15"/>
        <v>0</v>
      </c>
      <c r="BA24" s="16">
        <f t="shared" si="16"/>
        <v>0</v>
      </c>
      <c r="BB24" s="16">
        <f t="shared" si="17"/>
        <v>0</v>
      </c>
      <c r="BC24" s="16">
        <f t="shared" si="18"/>
        <v>0</v>
      </c>
      <c r="BD24" s="16">
        <f t="shared" si="19"/>
        <v>0</v>
      </c>
      <c r="BE24" s="16">
        <f t="shared" si="20"/>
        <v>0</v>
      </c>
      <c r="BF24" s="16">
        <f t="shared" si="21"/>
        <v>0</v>
      </c>
      <c r="BG24" s="16">
        <f t="shared" si="22"/>
        <v>0</v>
      </c>
      <c r="BH24" s="16">
        <f t="shared" si="23"/>
        <v>0</v>
      </c>
      <c r="BI24" s="16">
        <f t="shared" si="24"/>
        <v>0</v>
      </c>
      <c r="BJ24" s="16">
        <f t="shared" si="25"/>
        <v>0</v>
      </c>
      <c r="BK24" s="16">
        <f t="shared" si="26"/>
        <v>0</v>
      </c>
      <c r="BL24" s="16">
        <f t="shared" si="27"/>
        <v>0</v>
      </c>
      <c r="BM24" s="16">
        <f t="shared" si="28"/>
        <v>0</v>
      </c>
      <c r="BN24" s="16">
        <f t="shared" si="29"/>
        <v>0</v>
      </c>
      <c r="BO24" s="16">
        <f t="shared" si="30"/>
        <v>0</v>
      </c>
      <c r="BP24" s="16">
        <f t="shared" si="31"/>
        <v>0</v>
      </c>
      <c r="BQ24" s="16">
        <f t="shared" si="32"/>
        <v>0</v>
      </c>
      <c r="BR24" s="16">
        <f t="shared" si="33"/>
        <v>0</v>
      </c>
      <c r="BS24" s="16">
        <f t="shared" si="34"/>
        <v>0</v>
      </c>
      <c r="BT24" s="22">
        <f t="shared" si="35"/>
        <v>0</v>
      </c>
    </row>
    <row r="25" spans="1:72" s="2167" customFormat="1" ht="12.75">
      <c r="A25" s="1274"/>
      <c r="B25" s="1274"/>
      <c r="C25" s="2153" t="s">
        <v>3274</v>
      </c>
      <c r="D25" s="2954" t="s">
        <v>3055</v>
      </c>
      <c r="E25" s="16">
        <f t="shared" si="7"/>
        <v>0</v>
      </c>
      <c r="F25" s="32"/>
      <c r="G25" s="33">
        <f t="shared" si="8"/>
        <v>0</v>
      </c>
      <c r="H25" s="20">
        <f t="shared" si="9"/>
        <v>0</v>
      </c>
      <c r="I25" s="2213"/>
      <c r="J25" s="2213"/>
      <c r="K25" s="2213"/>
      <c r="L25" s="2213"/>
      <c r="M25" s="2213"/>
      <c r="N25" s="2213"/>
      <c r="O25" s="2213"/>
      <c r="P25" s="2213"/>
      <c r="Q25" s="2213"/>
      <c r="R25" s="2213"/>
      <c r="S25" s="2213"/>
      <c r="T25" s="2213"/>
      <c r="U25" s="2213"/>
      <c r="V25" s="2213"/>
      <c r="W25" s="2213"/>
      <c r="X25" s="2213"/>
      <c r="Y25" s="2213"/>
      <c r="Z25" s="2213"/>
      <c r="AA25" s="2213"/>
      <c r="AB25" s="2213"/>
      <c r="AC25" s="16">
        <f t="shared" si="10"/>
        <v>0</v>
      </c>
      <c r="AD25" s="2214"/>
      <c r="AE25" s="2214"/>
      <c r="AF25" s="2214"/>
      <c r="AG25" s="2214"/>
      <c r="AH25" s="2214"/>
      <c r="AI25" s="2214"/>
      <c r="AJ25" s="2214"/>
      <c r="AK25" s="2214"/>
      <c r="AL25" s="2214"/>
      <c r="AM25" s="2214"/>
      <c r="AN25" s="2214"/>
      <c r="AO25" s="2214"/>
      <c r="AP25" s="2214"/>
      <c r="AQ25" s="2214"/>
      <c r="AR25" s="2214"/>
      <c r="AS25" s="2214"/>
      <c r="AT25" s="2215"/>
      <c r="AU25" s="2216"/>
      <c r="AV25" s="11">
        <f t="shared" si="11"/>
        <v>0</v>
      </c>
      <c r="AW25" s="11">
        <f t="shared" si="12"/>
        <v>0</v>
      </c>
      <c r="AX25" s="11" t="str">
        <f t="shared" si="13"/>
        <v>1幢116室</v>
      </c>
      <c r="AY25" s="2953">
        <f t="shared" si="14"/>
        <v>0</v>
      </c>
      <c r="AZ25" s="16">
        <f t="shared" si="15"/>
        <v>0</v>
      </c>
      <c r="BA25" s="16">
        <f t="shared" si="16"/>
        <v>0</v>
      </c>
      <c r="BB25" s="16">
        <f t="shared" si="17"/>
        <v>0</v>
      </c>
      <c r="BC25" s="16">
        <f t="shared" si="18"/>
        <v>0</v>
      </c>
      <c r="BD25" s="16">
        <f t="shared" si="19"/>
        <v>0</v>
      </c>
      <c r="BE25" s="16">
        <f t="shared" si="20"/>
        <v>0</v>
      </c>
      <c r="BF25" s="16">
        <f t="shared" si="21"/>
        <v>0</v>
      </c>
      <c r="BG25" s="16">
        <f t="shared" si="22"/>
        <v>0</v>
      </c>
      <c r="BH25" s="16">
        <f t="shared" si="23"/>
        <v>0</v>
      </c>
      <c r="BI25" s="16">
        <f t="shared" si="24"/>
        <v>0</v>
      </c>
      <c r="BJ25" s="16">
        <f t="shared" si="25"/>
        <v>0</v>
      </c>
      <c r="BK25" s="16">
        <f t="shared" si="26"/>
        <v>0</v>
      </c>
      <c r="BL25" s="16">
        <f t="shared" si="27"/>
        <v>0</v>
      </c>
      <c r="BM25" s="16">
        <f t="shared" si="28"/>
        <v>0</v>
      </c>
      <c r="BN25" s="16">
        <f t="shared" si="29"/>
        <v>0</v>
      </c>
      <c r="BO25" s="16">
        <f t="shared" si="30"/>
        <v>0</v>
      </c>
      <c r="BP25" s="16">
        <f t="shared" si="31"/>
        <v>0</v>
      </c>
      <c r="BQ25" s="16">
        <f t="shared" si="32"/>
        <v>0</v>
      </c>
      <c r="BR25" s="16">
        <f t="shared" si="33"/>
        <v>0</v>
      </c>
      <c r="BS25" s="16">
        <f t="shared" si="34"/>
        <v>0</v>
      </c>
      <c r="BT25" s="22">
        <f t="shared" si="35"/>
        <v>0</v>
      </c>
    </row>
    <row r="26" spans="1:72" s="2167" customFormat="1" ht="12.75">
      <c r="A26" s="1274"/>
      <c r="B26" s="1274"/>
      <c r="C26" s="2153" t="s">
        <v>3275</v>
      </c>
      <c r="D26" s="2954" t="s">
        <v>3055</v>
      </c>
      <c r="E26" s="16">
        <f t="shared" si="7"/>
        <v>0</v>
      </c>
      <c r="F26" s="32"/>
      <c r="G26" s="33">
        <f t="shared" si="8"/>
        <v>0</v>
      </c>
      <c r="H26" s="20">
        <f t="shared" si="9"/>
        <v>0</v>
      </c>
      <c r="I26" s="2213"/>
      <c r="J26" s="2213"/>
      <c r="K26" s="2213"/>
      <c r="L26" s="2213"/>
      <c r="M26" s="2213"/>
      <c r="N26" s="2213"/>
      <c r="O26" s="2213"/>
      <c r="P26" s="2213"/>
      <c r="Q26" s="2213"/>
      <c r="R26" s="2213"/>
      <c r="S26" s="2213"/>
      <c r="T26" s="2213"/>
      <c r="U26" s="2213"/>
      <c r="V26" s="2213"/>
      <c r="W26" s="2213"/>
      <c r="X26" s="2213"/>
      <c r="Y26" s="2213"/>
      <c r="Z26" s="2213"/>
      <c r="AA26" s="2213"/>
      <c r="AB26" s="2213"/>
      <c r="AC26" s="16">
        <f t="shared" si="10"/>
        <v>0</v>
      </c>
      <c r="AD26" s="2214"/>
      <c r="AE26" s="2214"/>
      <c r="AF26" s="2214"/>
      <c r="AG26" s="2214"/>
      <c r="AH26" s="2214"/>
      <c r="AI26" s="2214"/>
      <c r="AJ26" s="2214"/>
      <c r="AK26" s="2214"/>
      <c r="AL26" s="2214"/>
      <c r="AM26" s="2214"/>
      <c r="AN26" s="2214"/>
      <c r="AO26" s="2214"/>
      <c r="AP26" s="2214"/>
      <c r="AQ26" s="2214"/>
      <c r="AR26" s="2214"/>
      <c r="AS26" s="2214"/>
      <c r="AT26" s="2215"/>
      <c r="AU26" s="2216"/>
      <c r="AV26" s="11">
        <f t="shared" si="11"/>
        <v>0</v>
      </c>
      <c r="AW26" s="11">
        <f t="shared" si="12"/>
        <v>0</v>
      </c>
      <c r="AX26" s="11" t="str">
        <f t="shared" si="13"/>
        <v>1幢117室</v>
      </c>
      <c r="AY26" s="2953">
        <f t="shared" si="14"/>
        <v>0</v>
      </c>
      <c r="AZ26" s="16">
        <f t="shared" si="15"/>
        <v>0</v>
      </c>
      <c r="BA26" s="16">
        <f t="shared" si="16"/>
        <v>0</v>
      </c>
      <c r="BB26" s="16">
        <f t="shared" si="17"/>
        <v>0</v>
      </c>
      <c r="BC26" s="16">
        <f t="shared" si="18"/>
        <v>0</v>
      </c>
      <c r="BD26" s="16">
        <f t="shared" si="19"/>
        <v>0</v>
      </c>
      <c r="BE26" s="16">
        <f t="shared" si="20"/>
        <v>0</v>
      </c>
      <c r="BF26" s="16">
        <f t="shared" si="21"/>
        <v>0</v>
      </c>
      <c r="BG26" s="16">
        <f t="shared" si="22"/>
        <v>0</v>
      </c>
      <c r="BH26" s="16">
        <f t="shared" si="23"/>
        <v>0</v>
      </c>
      <c r="BI26" s="16">
        <f t="shared" si="24"/>
        <v>0</v>
      </c>
      <c r="BJ26" s="16">
        <f t="shared" si="25"/>
        <v>0</v>
      </c>
      <c r="BK26" s="16">
        <f t="shared" si="26"/>
        <v>0</v>
      </c>
      <c r="BL26" s="16">
        <f t="shared" si="27"/>
        <v>0</v>
      </c>
      <c r="BM26" s="16">
        <f t="shared" si="28"/>
        <v>0</v>
      </c>
      <c r="BN26" s="16">
        <f t="shared" si="29"/>
        <v>0</v>
      </c>
      <c r="BO26" s="16">
        <f t="shared" si="30"/>
        <v>0</v>
      </c>
      <c r="BP26" s="16">
        <f t="shared" si="31"/>
        <v>0</v>
      </c>
      <c r="BQ26" s="16">
        <f t="shared" si="32"/>
        <v>0</v>
      </c>
      <c r="BR26" s="16">
        <f t="shared" si="33"/>
        <v>0</v>
      </c>
      <c r="BS26" s="16">
        <f t="shared" si="34"/>
        <v>0</v>
      </c>
      <c r="BT26" s="22">
        <f t="shared" si="35"/>
        <v>0</v>
      </c>
    </row>
    <row r="27" spans="1:72" s="2167" customFormat="1" ht="12.75">
      <c r="A27" s="1274"/>
      <c r="B27" s="1274"/>
      <c r="C27" s="2153" t="s">
        <v>3276</v>
      </c>
      <c r="D27" s="2954" t="s">
        <v>3055</v>
      </c>
      <c r="E27" s="16">
        <f t="shared" si="7"/>
        <v>0</v>
      </c>
      <c r="F27" s="32"/>
      <c r="G27" s="33">
        <f t="shared" si="8"/>
        <v>0</v>
      </c>
      <c r="H27" s="20">
        <f t="shared" si="9"/>
        <v>0</v>
      </c>
      <c r="I27" s="2213"/>
      <c r="J27" s="2213"/>
      <c r="K27" s="2213"/>
      <c r="L27" s="2213"/>
      <c r="M27" s="2213"/>
      <c r="N27" s="2213"/>
      <c r="O27" s="2213"/>
      <c r="P27" s="2213"/>
      <c r="Q27" s="2213"/>
      <c r="R27" s="2213"/>
      <c r="S27" s="2213"/>
      <c r="T27" s="2213"/>
      <c r="U27" s="2213"/>
      <c r="V27" s="2213"/>
      <c r="W27" s="2213"/>
      <c r="X27" s="2213"/>
      <c r="Y27" s="2213"/>
      <c r="Z27" s="2213"/>
      <c r="AA27" s="2213"/>
      <c r="AB27" s="2213"/>
      <c r="AC27" s="16">
        <f t="shared" si="10"/>
        <v>0</v>
      </c>
      <c r="AD27" s="2214"/>
      <c r="AE27" s="2214"/>
      <c r="AF27" s="2214"/>
      <c r="AG27" s="2214"/>
      <c r="AH27" s="2214"/>
      <c r="AI27" s="2214"/>
      <c r="AJ27" s="2214"/>
      <c r="AK27" s="2214"/>
      <c r="AL27" s="2214"/>
      <c r="AM27" s="2214"/>
      <c r="AN27" s="2214"/>
      <c r="AO27" s="2214"/>
      <c r="AP27" s="2214"/>
      <c r="AQ27" s="2214"/>
      <c r="AR27" s="2214"/>
      <c r="AS27" s="2214"/>
      <c r="AT27" s="2215"/>
      <c r="AU27" s="2216"/>
      <c r="AV27" s="11">
        <f t="shared" si="11"/>
        <v>0</v>
      </c>
      <c r="AW27" s="11">
        <f t="shared" si="12"/>
        <v>0</v>
      </c>
      <c r="AX27" s="11" t="str">
        <f t="shared" si="13"/>
        <v>1幢118室</v>
      </c>
      <c r="AY27" s="2953">
        <f t="shared" si="14"/>
        <v>0</v>
      </c>
      <c r="AZ27" s="16">
        <f t="shared" si="15"/>
        <v>0</v>
      </c>
      <c r="BA27" s="16">
        <f t="shared" si="16"/>
        <v>0</v>
      </c>
      <c r="BB27" s="16">
        <f t="shared" si="17"/>
        <v>0</v>
      </c>
      <c r="BC27" s="16">
        <f t="shared" si="18"/>
        <v>0</v>
      </c>
      <c r="BD27" s="16">
        <f t="shared" si="19"/>
        <v>0</v>
      </c>
      <c r="BE27" s="16">
        <f t="shared" si="20"/>
        <v>0</v>
      </c>
      <c r="BF27" s="16">
        <f t="shared" si="21"/>
        <v>0</v>
      </c>
      <c r="BG27" s="16">
        <f t="shared" si="22"/>
        <v>0</v>
      </c>
      <c r="BH27" s="16">
        <f t="shared" si="23"/>
        <v>0</v>
      </c>
      <c r="BI27" s="16">
        <f t="shared" si="24"/>
        <v>0</v>
      </c>
      <c r="BJ27" s="16">
        <f t="shared" si="25"/>
        <v>0</v>
      </c>
      <c r="BK27" s="16">
        <f t="shared" si="26"/>
        <v>0</v>
      </c>
      <c r="BL27" s="16">
        <f t="shared" si="27"/>
        <v>0</v>
      </c>
      <c r="BM27" s="16">
        <f t="shared" si="28"/>
        <v>0</v>
      </c>
      <c r="BN27" s="16">
        <f t="shared" si="29"/>
        <v>0</v>
      </c>
      <c r="BO27" s="16">
        <f t="shared" si="30"/>
        <v>0</v>
      </c>
      <c r="BP27" s="16">
        <f t="shared" si="31"/>
        <v>0</v>
      </c>
      <c r="BQ27" s="16">
        <f t="shared" si="32"/>
        <v>0</v>
      </c>
      <c r="BR27" s="16">
        <f t="shared" si="33"/>
        <v>0</v>
      </c>
      <c r="BS27" s="16">
        <f t="shared" si="34"/>
        <v>0</v>
      </c>
      <c r="BT27" s="22">
        <f t="shared" si="35"/>
        <v>0</v>
      </c>
    </row>
    <row r="28" spans="1:72" s="2167" customFormat="1" ht="12.75">
      <c r="A28" s="1274"/>
      <c r="B28" s="1274"/>
      <c r="C28" s="2153" t="s">
        <v>3277</v>
      </c>
      <c r="D28" s="2954" t="s">
        <v>3055</v>
      </c>
      <c r="E28" s="16">
        <f t="shared" si="7"/>
        <v>0</v>
      </c>
      <c r="F28" s="32"/>
      <c r="G28" s="33">
        <f t="shared" si="8"/>
        <v>0</v>
      </c>
      <c r="H28" s="20">
        <f t="shared" si="9"/>
        <v>0</v>
      </c>
      <c r="I28" s="2213"/>
      <c r="J28" s="2213"/>
      <c r="K28" s="2213"/>
      <c r="L28" s="2213"/>
      <c r="M28" s="2213"/>
      <c r="N28" s="2213"/>
      <c r="O28" s="2213"/>
      <c r="P28" s="2213"/>
      <c r="Q28" s="2213"/>
      <c r="R28" s="2213"/>
      <c r="S28" s="2213"/>
      <c r="T28" s="2213"/>
      <c r="U28" s="2213"/>
      <c r="V28" s="2213"/>
      <c r="W28" s="2213"/>
      <c r="X28" s="2213"/>
      <c r="Y28" s="2213"/>
      <c r="Z28" s="2213"/>
      <c r="AA28" s="2213"/>
      <c r="AB28" s="2213"/>
      <c r="AC28" s="16">
        <f t="shared" si="10"/>
        <v>0</v>
      </c>
      <c r="AD28" s="2214"/>
      <c r="AE28" s="2214"/>
      <c r="AF28" s="2214"/>
      <c r="AG28" s="2214"/>
      <c r="AH28" s="2214"/>
      <c r="AI28" s="2214"/>
      <c r="AJ28" s="2214"/>
      <c r="AK28" s="2214"/>
      <c r="AL28" s="2214"/>
      <c r="AM28" s="2214"/>
      <c r="AN28" s="2214"/>
      <c r="AO28" s="2214"/>
      <c r="AP28" s="2214"/>
      <c r="AQ28" s="2214"/>
      <c r="AR28" s="2214"/>
      <c r="AS28" s="2214"/>
      <c r="AT28" s="2215"/>
      <c r="AU28" s="2216"/>
      <c r="AV28" s="11">
        <f t="shared" si="11"/>
        <v>0</v>
      </c>
      <c r="AW28" s="11">
        <f t="shared" si="12"/>
        <v>0</v>
      </c>
      <c r="AX28" s="11" t="str">
        <f t="shared" si="13"/>
        <v>1幢119室</v>
      </c>
      <c r="AY28" s="2953">
        <f t="shared" si="14"/>
        <v>0</v>
      </c>
      <c r="AZ28" s="16">
        <f t="shared" si="15"/>
        <v>0</v>
      </c>
      <c r="BA28" s="16">
        <f t="shared" si="16"/>
        <v>0</v>
      </c>
      <c r="BB28" s="16">
        <f t="shared" si="17"/>
        <v>0</v>
      </c>
      <c r="BC28" s="16">
        <f t="shared" si="18"/>
        <v>0</v>
      </c>
      <c r="BD28" s="16">
        <f t="shared" si="19"/>
        <v>0</v>
      </c>
      <c r="BE28" s="16">
        <f t="shared" si="20"/>
        <v>0</v>
      </c>
      <c r="BF28" s="16">
        <f t="shared" si="21"/>
        <v>0</v>
      </c>
      <c r="BG28" s="16">
        <f t="shared" si="22"/>
        <v>0</v>
      </c>
      <c r="BH28" s="16">
        <f t="shared" si="23"/>
        <v>0</v>
      </c>
      <c r="BI28" s="16">
        <f t="shared" si="24"/>
        <v>0</v>
      </c>
      <c r="BJ28" s="16">
        <f t="shared" si="25"/>
        <v>0</v>
      </c>
      <c r="BK28" s="16">
        <f t="shared" si="26"/>
        <v>0</v>
      </c>
      <c r="BL28" s="16">
        <f t="shared" si="27"/>
        <v>0</v>
      </c>
      <c r="BM28" s="16">
        <f t="shared" si="28"/>
        <v>0</v>
      </c>
      <c r="BN28" s="16">
        <f t="shared" si="29"/>
        <v>0</v>
      </c>
      <c r="BO28" s="16">
        <f t="shared" si="30"/>
        <v>0</v>
      </c>
      <c r="BP28" s="16">
        <f t="shared" si="31"/>
        <v>0</v>
      </c>
      <c r="BQ28" s="16">
        <f t="shared" si="32"/>
        <v>0</v>
      </c>
      <c r="BR28" s="16">
        <f t="shared" si="33"/>
        <v>0</v>
      </c>
      <c r="BS28" s="16">
        <f t="shared" si="34"/>
        <v>0</v>
      </c>
      <c r="BT28" s="22">
        <f t="shared" si="35"/>
        <v>0</v>
      </c>
    </row>
    <row r="29" spans="1:72" s="2167" customFormat="1" ht="12.75">
      <c r="A29" s="1274"/>
      <c r="B29" s="1274"/>
      <c r="C29" s="2153" t="s">
        <v>3278</v>
      </c>
      <c r="D29" s="2954" t="s">
        <v>3055</v>
      </c>
      <c r="E29" s="16">
        <f t="shared" si="7"/>
        <v>0</v>
      </c>
      <c r="F29" s="32"/>
      <c r="G29" s="33">
        <f t="shared" si="8"/>
        <v>0</v>
      </c>
      <c r="H29" s="20">
        <f t="shared" si="9"/>
        <v>0</v>
      </c>
      <c r="I29" s="2213"/>
      <c r="J29" s="2213"/>
      <c r="K29" s="2213"/>
      <c r="L29" s="2213"/>
      <c r="M29" s="2213"/>
      <c r="N29" s="2213"/>
      <c r="O29" s="2213"/>
      <c r="P29" s="2213"/>
      <c r="Q29" s="2213"/>
      <c r="R29" s="2213"/>
      <c r="S29" s="2213"/>
      <c r="T29" s="2213"/>
      <c r="U29" s="2213"/>
      <c r="V29" s="2213"/>
      <c r="W29" s="2213"/>
      <c r="X29" s="2213"/>
      <c r="Y29" s="2213"/>
      <c r="Z29" s="2213"/>
      <c r="AA29" s="2213"/>
      <c r="AB29" s="2213"/>
      <c r="AC29" s="16">
        <f t="shared" si="10"/>
        <v>0</v>
      </c>
      <c r="AD29" s="2214"/>
      <c r="AE29" s="2214"/>
      <c r="AF29" s="2214"/>
      <c r="AG29" s="2214"/>
      <c r="AH29" s="2214"/>
      <c r="AI29" s="2214"/>
      <c r="AJ29" s="2214"/>
      <c r="AK29" s="2214"/>
      <c r="AL29" s="2214"/>
      <c r="AM29" s="2214"/>
      <c r="AN29" s="2214"/>
      <c r="AO29" s="2214"/>
      <c r="AP29" s="2214"/>
      <c r="AQ29" s="2214"/>
      <c r="AR29" s="2214"/>
      <c r="AS29" s="2214"/>
      <c r="AT29" s="2215"/>
      <c r="AU29" s="2216"/>
      <c r="AV29" s="11">
        <f t="shared" si="11"/>
        <v>0</v>
      </c>
      <c r="AW29" s="11">
        <f t="shared" si="12"/>
        <v>0</v>
      </c>
      <c r="AX29" s="11" t="str">
        <f t="shared" si="13"/>
        <v>1幢120室</v>
      </c>
      <c r="AY29" s="2953">
        <f t="shared" si="14"/>
        <v>0</v>
      </c>
      <c r="AZ29" s="16">
        <f t="shared" si="15"/>
        <v>0</v>
      </c>
      <c r="BA29" s="16">
        <f t="shared" si="16"/>
        <v>0</v>
      </c>
      <c r="BB29" s="16">
        <f t="shared" si="17"/>
        <v>0</v>
      </c>
      <c r="BC29" s="16">
        <f t="shared" si="18"/>
        <v>0</v>
      </c>
      <c r="BD29" s="16">
        <f t="shared" si="19"/>
        <v>0</v>
      </c>
      <c r="BE29" s="16">
        <f t="shared" si="20"/>
        <v>0</v>
      </c>
      <c r="BF29" s="16">
        <f t="shared" si="21"/>
        <v>0</v>
      </c>
      <c r="BG29" s="16">
        <f t="shared" si="22"/>
        <v>0</v>
      </c>
      <c r="BH29" s="16">
        <f t="shared" si="23"/>
        <v>0</v>
      </c>
      <c r="BI29" s="16">
        <f t="shared" si="24"/>
        <v>0</v>
      </c>
      <c r="BJ29" s="16">
        <f t="shared" si="25"/>
        <v>0</v>
      </c>
      <c r="BK29" s="16">
        <f t="shared" si="26"/>
        <v>0</v>
      </c>
      <c r="BL29" s="16">
        <f t="shared" si="27"/>
        <v>0</v>
      </c>
      <c r="BM29" s="16">
        <f t="shared" si="28"/>
        <v>0</v>
      </c>
      <c r="BN29" s="16">
        <f t="shared" si="29"/>
        <v>0</v>
      </c>
      <c r="BO29" s="16">
        <f t="shared" si="30"/>
        <v>0</v>
      </c>
      <c r="BP29" s="16">
        <f t="shared" si="31"/>
        <v>0</v>
      </c>
      <c r="BQ29" s="16">
        <f t="shared" si="32"/>
        <v>0</v>
      </c>
      <c r="BR29" s="16">
        <f t="shared" si="33"/>
        <v>0</v>
      </c>
      <c r="BS29" s="16">
        <f t="shared" si="34"/>
        <v>0</v>
      </c>
      <c r="BT29" s="22">
        <f t="shared" si="35"/>
        <v>0</v>
      </c>
    </row>
    <row r="30" spans="1:72" s="2167" customFormat="1" ht="12.75">
      <c r="A30" s="1274"/>
      <c r="B30" s="1274"/>
      <c r="C30" s="2153" t="s">
        <v>3292</v>
      </c>
      <c r="D30" s="2954" t="s">
        <v>3055</v>
      </c>
      <c r="E30" s="16">
        <f t="shared" si="7"/>
        <v>0</v>
      </c>
      <c r="F30" s="32"/>
      <c r="G30" s="33">
        <f t="shared" si="8"/>
        <v>0</v>
      </c>
      <c r="H30" s="20">
        <f t="shared" si="9"/>
        <v>0</v>
      </c>
      <c r="I30" s="2213"/>
      <c r="J30" s="2213"/>
      <c r="K30" s="2213"/>
      <c r="L30" s="2213"/>
      <c r="M30" s="2213"/>
      <c r="N30" s="2213"/>
      <c r="O30" s="2213"/>
      <c r="P30" s="2213"/>
      <c r="Q30" s="2213"/>
      <c r="R30" s="2213"/>
      <c r="S30" s="2213"/>
      <c r="T30" s="2213"/>
      <c r="U30" s="2213"/>
      <c r="V30" s="2213"/>
      <c r="W30" s="2213"/>
      <c r="X30" s="2213"/>
      <c r="Y30" s="2213"/>
      <c r="Z30" s="2213"/>
      <c r="AA30" s="2213"/>
      <c r="AB30" s="2213"/>
      <c r="AC30" s="16">
        <f t="shared" si="10"/>
        <v>0</v>
      </c>
      <c r="AD30" s="2214"/>
      <c r="AE30" s="2214"/>
      <c r="AF30" s="2214"/>
      <c r="AG30" s="2214"/>
      <c r="AH30" s="2214"/>
      <c r="AI30" s="2214"/>
      <c r="AJ30" s="2214"/>
      <c r="AK30" s="2214"/>
      <c r="AL30" s="2214"/>
      <c r="AM30" s="2214"/>
      <c r="AN30" s="2214"/>
      <c r="AO30" s="2214"/>
      <c r="AP30" s="2214"/>
      <c r="AQ30" s="2214"/>
      <c r="AR30" s="2214"/>
      <c r="AS30" s="2214"/>
      <c r="AT30" s="2215"/>
      <c r="AU30" s="2216"/>
      <c r="AV30" s="11">
        <f t="shared" si="11"/>
        <v>0</v>
      </c>
      <c r="AW30" s="11">
        <f t="shared" si="12"/>
        <v>0</v>
      </c>
      <c r="AX30" s="11" t="str">
        <f t="shared" si="13"/>
        <v>1幢121室</v>
      </c>
      <c r="AY30" s="2953">
        <f t="shared" si="14"/>
        <v>0</v>
      </c>
      <c r="AZ30" s="16">
        <f t="shared" si="15"/>
        <v>0</v>
      </c>
      <c r="BA30" s="16">
        <f t="shared" si="16"/>
        <v>0</v>
      </c>
      <c r="BB30" s="16">
        <f t="shared" si="17"/>
        <v>0</v>
      </c>
      <c r="BC30" s="16">
        <f t="shared" si="18"/>
        <v>0</v>
      </c>
      <c r="BD30" s="16">
        <f t="shared" si="19"/>
        <v>0</v>
      </c>
      <c r="BE30" s="16">
        <f t="shared" si="20"/>
        <v>0</v>
      </c>
      <c r="BF30" s="16">
        <f t="shared" si="21"/>
        <v>0</v>
      </c>
      <c r="BG30" s="16">
        <f t="shared" si="22"/>
        <v>0</v>
      </c>
      <c r="BH30" s="16">
        <f t="shared" si="23"/>
        <v>0</v>
      </c>
      <c r="BI30" s="16">
        <f t="shared" si="24"/>
        <v>0</v>
      </c>
      <c r="BJ30" s="16">
        <f t="shared" si="25"/>
        <v>0</v>
      </c>
      <c r="BK30" s="16">
        <f t="shared" si="26"/>
        <v>0</v>
      </c>
      <c r="BL30" s="16">
        <f t="shared" si="27"/>
        <v>0</v>
      </c>
      <c r="BM30" s="16">
        <f t="shared" si="28"/>
        <v>0</v>
      </c>
      <c r="BN30" s="16">
        <f t="shared" si="29"/>
        <v>0</v>
      </c>
      <c r="BO30" s="16">
        <f t="shared" si="30"/>
        <v>0</v>
      </c>
      <c r="BP30" s="16">
        <f t="shared" si="31"/>
        <v>0</v>
      </c>
      <c r="BQ30" s="16">
        <f t="shared" si="32"/>
        <v>0</v>
      </c>
      <c r="BR30" s="16">
        <f t="shared" si="33"/>
        <v>0</v>
      </c>
      <c r="BS30" s="16">
        <f t="shared" si="34"/>
        <v>0</v>
      </c>
      <c r="BT30" s="22">
        <f t="shared" si="35"/>
        <v>0</v>
      </c>
    </row>
    <row r="31" spans="1:72" s="2167" customFormat="1" ht="12.75">
      <c r="A31" s="1274"/>
      <c r="B31" s="1274"/>
      <c r="C31" s="2153" t="s">
        <v>3293</v>
      </c>
      <c r="D31" s="2954" t="s">
        <v>3055</v>
      </c>
      <c r="E31" s="16">
        <f t="shared" si="7"/>
        <v>0</v>
      </c>
      <c r="F31" s="32"/>
      <c r="G31" s="33">
        <f t="shared" si="8"/>
        <v>0</v>
      </c>
      <c r="H31" s="20">
        <f t="shared" si="9"/>
        <v>0</v>
      </c>
      <c r="I31" s="2213"/>
      <c r="J31" s="2213"/>
      <c r="K31" s="2213"/>
      <c r="L31" s="2213"/>
      <c r="M31" s="2213"/>
      <c r="N31" s="2213"/>
      <c r="O31" s="2213"/>
      <c r="P31" s="2213"/>
      <c r="Q31" s="2213"/>
      <c r="R31" s="2213"/>
      <c r="S31" s="2213"/>
      <c r="T31" s="2213"/>
      <c r="U31" s="2213"/>
      <c r="V31" s="2213"/>
      <c r="W31" s="2213"/>
      <c r="X31" s="2213"/>
      <c r="Y31" s="2213"/>
      <c r="Z31" s="2213"/>
      <c r="AA31" s="2213"/>
      <c r="AB31" s="2213"/>
      <c r="AC31" s="16">
        <f t="shared" si="10"/>
        <v>0</v>
      </c>
      <c r="AD31" s="2214"/>
      <c r="AE31" s="2214"/>
      <c r="AF31" s="2214"/>
      <c r="AG31" s="2214"/>
      <c r="AH31" s="2214"/>
      <c r="AI31" s="2214"/>
      <c r="AJ31" s="2214"/>
      <c r="AK31" s="2214"/>
      <c r="AL31" s="2214"/>
      <c r="AM31" s="2214"/>
      <c r="AN31" s="2214"/>
      <c r="AO31" s="2214"/>
      <c r="AP31" s="2214"/>
      <c r="AQ31" s="2214"/>
      <c r="AR31" s="2214"/>
      <c r="AS31" s="2214"/>
      <c r="AT31" s="2215"/>
      <c r="AU31" s="2216"/>
      <c r="AV31" s="11">
        <f t="shared" si="11"/>
        <v>0</v>
      </c>
      <c r="AW31" s="11">
        <f t="shared" si="12"/>
        <v>0</v>
      </c>
      <c r="AX31" s="11" t="str">
        <f t="shared" si="13"/>
        <v>1幢122室</v>
      </c>
      <c r="AY31" s="2953">
        <f t="shared" si="14"/>
        <v>0</v>
      </c>
      <c r="AZ31" s="16">
        <f t="shared" si="15"/>
        <v>0</v>
      </c>
      <c r="BA31" s="16">
        <f t="shared" si="16"/>
        <v>0</v>
      </c>
      <c r="BB31" s="16">
        <f t="shared" si="17"/>
        <v>0</v>
      </c>
      <c r="BC31" s="16">
        <f t="shared" si="18"/>
        <v>0</v>
      </c>
      <c r="BD31" s="16">
        <f t="shared" si="19"/>
        <v>0</v>
      </c>
      <c r="BE31" s="16">
        <f t="shared" si="20"/>
        <v>0</v>
      </c>
      <c r="BF31" s="16">
        <f t="shared" si="21"/>
        <v>0</v>
      </c>
      <c r="BG31" s="16">
        <f t="shared" si="22"/>
        <v>0</v>
      </c>
      <c r="BH31" s="16">
        <f t="shared" si="23"/>
        <v>0</v>
      </c>
      <c r="BI31" s="16">
        <f t="shared" si="24"/>
        <v>0</v>
      </c>
      <c r="BJ31" s="16">
        <f t="shared" si="25"/>
        <v>0</v>
      </c>
      <c r="BK31" s="16">
        <f t="shared" si="26"/>
        <v>0</v>
      </c>
      <c r="BL31" s="16">
        <f t="shared" si="27"/>
        <v>0</v>
      </c>
      <c r="BM31" s="16">
        <f t="shared" si="28"/>
        <v>0</v>
      </c>
      <c r="BN31" s="16">
        <f t="shared" si="29"/>
        <v>0</v>
      </c>
      <c r="BO31" s="16">
        <f t="shared" si="30"/>
        <v>0</v>
      </c>
      <c r="BP31" s="16">
        <f t="shared" si="31"/>
        <v>0</v>
      </c>
      <c r="BQ31" s="16">
        <f t="shared" si="32"/>
        <v>0</v>
      </c>
      <c r="BR31" s="16">
        <f t="shared" si="33"/>
        <v>0</v>
      </c>
      <c r="BS31" s="16">
        <f t="shared" si="34"/>
        <v>0</v>
      </c>
      <c r="BT31" s="22">
        <f t="shared" si="35"/>
        <v>0</v>
      </c>
    </row>
    <row r="32" spans="1:72" s="2167" customFormat="1" ht="12.75">
      <c r="A32" s="1274"/>
      <c r="B32" s="1274"/>
      <c r="C32" s="2153" t="s">
        <v>3294</v>
      </c>
      <c r="D32" s="2954" t="s">
        <v>3055</v>
      </c>
      <c r="E32" s="16">
        <f t="shared" si="7"/>
        <v>0</v>
      </c>
      <c r="F32" s="32"/>
      <c r="G32" s="33">
        <f t="shared" si="8"/>
        <v>0</v>
      </c>
      <c r="H32" s="20">
        <f t="shared" si="9"/>
        <v>0</v>
      </c>
      <c r="I32" s="2213"/>
      <c r="J32" s="2213"/>
      <c r="K32" s="2213"/>
      <c r="L32" s="2213"/>
      <c r="M32" s="2213"/>
      <c r="N32" s="2213"/>
      <c r="O32" s="2213"/>
      <c r="P32" s="2213"/>
      <c r="Q32" s="2213"/>
      <c r="R32" s="2213"/>
      <c r="S32" s="2213"/>
      <c r="T32" s="2213"/>
      <c r="U32" s="2213"/>
      <c r="V32" s="2213"/>
      <c r="W32" s="2213"/>
      <c r="X32" s="2213"/>
      <c r="Y32" s="2213"/>
      <c r="Z32" s="2213"/>
      <c r="AA32" s="2213"/>
      <c r="AB32" s="2213"/>
      <c r="AC32" s="16">
        <f t="shared" si="10"/>
        <v>0</v>
      </c>
      <c r="AD32" s="2214"/>
      <c r="AE32" s="2214"/>
      <c r="AF32" s="2214"/>
      <c r="AG32" s="2214"/>
      <c r="AH32" s="2214"/>
      <c r="AI32" s="2214"/>
      <c r="AJ32" s="2214"/>
      <c r="AK32" s="2214"/>
      <c r="AL32" s="2214"/>
      <c r="AM32" s="2214"/>
      <c r="AN32" s="2214"/>
      <c r="AO32" s="2214"/>
      <c r="AP32" s="2214"/>
      <c r="AQ32" s="2214"/>
      <c r="AR32" s="2214"/>
      <c r="AS32" s="2214"/>
      <c r="AT32" s="2215"/>
      <c r="AU32" s="2216"/>
      <c r="AV32" s="11">
        <f t="shared" si="11"/>
        <v>0</v>
      </c>
      <c r="AW32" s="11">
        <f t="shared" si="12"/>
        <v>0</v>
      </c>
      <c r="AX32" s="11" t="str">
        <f t="shared" si="13"/>
        <v>1幢123室</v>
      </c>
      <c r="AY32" s="2953">
        <f t="shared" si="14"/>
        <v>0</v>
      </c>
      <c r="AZ32" s="16">
        <f t="shared" si="15"/>
        <v>0</v>
      </c>
      <c r="BA32" s="16">
        <f t="shared" si="16"/>
        <v>0</v>
      </c>
      <c r="BB32" s="16">
        <f t="shared" si="17"/>
        <v>0</v>
      </c>
      <c r="BC32" s="16">
        <f t="shared" si="18"/>
        <v>0</v>
      </c>
      <c r="BD32" s="16">
        <f t="shared" si="19"/>
        <v>0</v>
      </c>
      <c r="BE32" s="16">
        <f t="shared" si="20"/>
        <v>0</v>
      </c>
      <c r="BF32" s="16">
        <f t="shared" si="21"/>
        <v>0</v>
      </c>
      <c r="BG32" s="16">
        <f t="shared" si="22"/>
        <v>0</v>
      </c>
      <c r="BH32" s="16">
        <f t="shared" si="23"/>
        <v>0</v>
      </c>
      <c r="BI32" s="16">
        <f t="shared" si="24"/>
        <v>0</v>
      </c>
      <c r="BJ32" s="16">
        <f t="shared" si="25"/>
        <v>0</v>
      </c>
      <c r="BK32" s="16">
        <f t="shared" si="26"/>
        <v>0</v>
      </c>
      <c r="BL32" s="16">
        <f t="shared" si="27"/>
        <v>0</v>
      </c>
      <c r="BM32" s="16">
        <f t="shared" si="28"/>
        <v>0</v>
      </c>
      <c r="BN32" s="16">
        <f t="shared" si="29"/>
        <v>0</v>
      </c>
      <c r="BO32" s="16">
        <f t="shared" si="30"/>
        <v>0</v>
      </c>
      <c r="BP32" s="16">
        <f t="shared" si="31"/>
        <v>0</v>
      </c>
      <c r="BQ32" s="16">
        <f t="shared" si="32"/>
        <v>0</v>
      </c>
      <c r="BR32" s="16">
        <f t="shared" si="33"/>
        <v>0</v>
      </c>
      <c r="BS32" s="16">
        <f t="shared" si="34"/>
        <v>0</v>
      </c>
      <c r="BT32" s="22">
        <f t="shared" si="35"/>
        <v>0</v>
      </c>
    </row>
    <row r="33" spans="1:72" s="2167" customFormat="1" ht="12.75">
      <c r="A33" s="1274"/>
      <c r="B33" s="1274"/>
      <c r="C33" s="2153" t="s">
        <v>3295</v>
      </c>
      <c r="D33" s="2954" t="s">
        <v>3055</v>
      </c>
      <c r="E33" s="16">
        <f t="shared" si="7"/>
        <v>0</v>
      </c>
      <c r="F33" s="32"/>
      <c r="G33" s="33">
        <f t="shared" si="8"/>
        <v>0</v>
      </c>
      <c r="H33" s="20">
        <f t="shared" si="9"/>
        <v>0</v>
      </c>
      <c r="I33" s="2213"/>
      <c r="J33" s="2213"/>
      <c r="K33" s="2213"/>
      <c r="L33" s="2213"/>
      <c r="M33" s="2213"/>
      <c r="N33" s="2213"/>
      <c r="O33" s="2213"/>
      <c r="P33" s="2213"/>
      <c r="Q33" s="2213"/>
      <c r="R33" s="2213"/>
      <c r="S33" s="2213"/>
      <c r="T33" s="2213"/>
      <c r="U33" s="2213"/>
      <c r="V33" s="2213"/>
      <c r="W33" s="2213"/>
      <c r="X33" s="2213"/>
      <c r="Y33" s="2213"/>
      <c r="Z33" s="2213"/>
      <c r="AA33" s="2213"/>
      <c r="AB33" s="2213"/>
      <c r="AC33" s="16">
        <f t="shared" si="10"/>
        <v>0</v>
      </c>
      <c r="AD33" s="2214"/>
      <c r="AE33" s="2214"/>
      <c r="AF33" s="2214"/>
      <c r="AG33" s="2214"/>
      <c r="AH33" s="2214"/>
      <c r="AI33" s="2214"/>
      <c r="AJ33" s="2214"/>
      <c r="AK33" s="2214"/>
      <c r="AL33" s="2214"/>
      <c r="AM33" s="2214"/>
      <c r="AN33" s="2214"/>
      <c r="AO33" s="2214"/>
      <c r="AP33" s="2214"/>
      <c r="AQ33" s="2214"/>
      <c r="AR33" s="2214"/>
      <c r="AS33" s="2214"/>
      <c r="AT33" s="2215"/>
      <c r="AU33" s="2216"/>
      <c r="AV33" s="11">
        <f t="shared" si="11"/>
        <v>0</v>
      </c>
      <c r="AW33" s="11">
        <f t="shared" si="12"/>
        <v>0</v>
      </c>
      <c r="AX33" s="11" t="str">
        <f t="shared" si="13"/>
        <v>1幢124室</v>
      </c>
      <c r="AY33" s="2953">
        <f t="shared" si="14"/>
        <v>0</v>
      </c>
      <c r="AZ33" s="16">
        <f t="shared" si="15"/>
        <v>0</v>
      </c>
      <c r="BA33" s="16">
        <f t="shared" si="16"/>
        <v>0</v>
      </c>
      <c r="BB33" s="16">
        <f t="shared" si="17"/>
        <v>0</v>
      </c>
      <c r="BC33" s="16">
        <f t="shared" si="18"/>
        <v>0</v>
      </c>
      <c r="BD33" s="16">
        <f t="shared" si="19"/>
        <v>0</v>
      </c>
      <c r="BE33" s="16">
        <f t="shared" si="20"/>
        <v>0</v>
      </c>
      <c r="BF33" s="16">
        <f t="shared" si="21"/>
        <v>0</v>
      </c>
      <c r="BG33" s="16">
        <f t="shared" si="22"/>
        <v>0</v>
      </c>
      <c r="BH33" s="16">
        <f t="shared" si="23"/>
        <v>0</v>
      </c>
      <c r="BI33" s="16">
        <f t="shared" si="24"/>
        <v>0</v>
      </c>
      <c r="BJ33" s="16">
        <f t="shared" si="25"/>
        <v>0</v>
      </c>
      <c r="BK33" s="16">
        <f t="shared" si="26"/>
        <v>0</v>
      </c>
      <c r="BL33" s="16">
        <f t="shared" si="27"/>
        <v>0</v>
      </c>
      <c r="BM33" s="16">
        <f t="shared" si="28"/>
        <v>0</v>
      </c>
      <c r="BN33" s="16">
        <f t="shared" si="29"/>
        <v>0</v>
      </c>
      <c r="BO33" s="16">
        <f t="shared" si="30"/>
        <v>0</v>
      </c>
      <c r="BP33" s="16">
        <f t="shared" si="31"/>
        <v>0</v>
      </c>
      <c r="BQ33" s="16">
        <f t="shared" si="32"/>
        <v>0</v>
      </c>
      <c r="BR33" s="16">
        <f t="shared" si="33"/>
        <v>0</v>
      </c>
      <c r="BS33" s="16">
        <f t="shared" si="34"/>
        <v>0</v>
      </c>
      <c r="BT33" s="22">
        <f t="shared" si="35"/>
        <v>0</v>
      </c>
    </row>
    <row r="34" spans="1:72" s="2167" customFormat="1" ht="12.75">
      <c r="A34" s="1274"/>
      <c r="B34" s="1274"/>
      <c r="C34" s="2153" t="s">
        <v>3301</v>
      </c>
      <c r="D34" s="2954" t="s">
        <v>3055</v>
      </c>
      <c r="E34" s="16">
        <f t="shared" si="7"/>
        <v>0</v>
      </c>
      <c r="F34" s="32"/>
      <c r="G34" s="33">
        <f t="shared" si="8"/>
        <v>0</v>
      </c>
      <c r="H34" s="20">
        <f t="shared" si="9"/>
        <v>0</v>
      </c>
      <c r="I34" s="2213"/>
      <c r="J34" s="2213"/>
      <c r="K34" s="2213"/>
      <c r="L34" s="2213"/>
      <c r="M34" s="2213"/>
      <c r="N34" s="2213"/>
      <c r="O34" s="2213"/>
      <c r="P34" s="2213"/>
      <c r="Q34" s="2213"/>
      <c r="R34" s="2213"/>
      <c r="S34" s="2213"/>
      <c r="T34" s="2213"/>
      <c r="U34" s="2213"/>
      <c r="V34" s="2213"/>
      <c r="W34" s="2213"/>
      <c r="X34" s="2213"/>
      <c r="Y34" s="2213"/>
      <c r="Z34" s="2213"/>
      <c r="AA34" s="2213"/>
      <c r="AB34" s="2213"/>
      <c r="AC34" s="16">
        <f t="shared" si="10"/>
        <v>0</v>
      </c>
      <c r="AD34" s="2214"/>
      <c r="AE34" s="2214"/>
      <c r="AF34" s="2214"/>
      <c r="AG34" s="2214"/>
      <c r="AH34" s="2214"/>
      <c r="AI34" s="2214"/>
      <c r="AJ34" s="2214"/>
      <c r="AK34" s="2214"/>
      <c r="AL34" s="2214"/>
      <c r="AM34" s="2214"/>
      <c r="AN34" s="2214"/>
      <c r="AO34" s="2214"/>
      <c r="AP34" s="2214"/>
      <c r="AQ34" s="2214"/>
      <c r="AR34" s="2214"/>
      <c r="AS34" s="2214"/>
      <c r="AT34" s="2215"/>
      <c r="AU34" s="2216"/>
      <c r="AV34" s="11">
        <f t="shared" si="11"/>
        <v>0</v>
      </c>
      <c r="AW34" s="11">
        <f t="shared" si="12"/>
        <v>0</v>
      </c>
      <c r="AX34" s="11" t="str">
        <f t="shared" si="13"/>
        <v>1幢203室</v>
      </c>
      <c r="AY34" s="2953">
        <f t="shared" si="14"/>
        <v>0</v>
      </c>
      <c r="AZ34" s="16">
        <f t="shared" si="15"/>
        <v>0</v>
      </c>
      <c r="BA34" s="16">
        <f t="shared" si="16"/>
        <v>0</v>
      </c>
      <c r="BB34" s="16">
        <f t="shared" si="17"/>
        <v>0</v>
      </c>
      <c r="BC34" s="16">
        <f t="shared" si="18"/>
        <v>0</v>
      </c>
      <c r="BD34" s="16">
        <f t="shared" si="19"/>
        <v>0</v>
      </c>
      <c r="BE34" s="16">
        <f t="shared" si="20"/>
        <v>0</v>
      </c>
      <c r="BF34" s="16">
        <f t="shared" si="21"/>
        <v>0</v>
      </c>
      <c r="BG34" s="16">
        <f t="shared" si="22"/>
        <v>0</v>
      </c>
      <c r="BH34" s="16">
        <f t="shared" si="23"/>
        <v>0</v>
      </c>
      <c r="BI34" s="16">
        <f t="shared" si="24"/>
        <v>0</v>
      </c>
      <c r="BJ34" s="16">
        <f t="shared" si="25"/>
        <v>0</v>
      </c>
      <c r="BK34" s="16">
        <f t="shared" si="26"/>
        <v>0</v>
      </c>
      <c r="BL34" s="16">
        <f t="shared" si="27"/>
        <v>0</v>
      </c>
      <c r="BM34" s="16">
        <f t="shared" si="28"/>
        <v>0</v>
      </c>
      <c r="BN34" s="16">
        <f t="shared" si="29"/>
        <v>0</v>
      </c>
      <c r="BO34" s="16">
        <f t="shared" si="30"/>
        <v>0</v>
      </c>
      <c r="BP34" s="16">
        <f t="shared" si="31"/>
        <v>0</v>
      </c>
      <c r="BQ34" s="16">
        <f t="shared" si="32"/>
        <v>0</v>
      </c>
      <c r="BR34" s="16">
        <f t="shared" si="33"/>
        <v>0</v>
      </c>
      <c r="BS34" s="16">
        <f t="shared" si="34"/>
        <v>0</v>
      </c>
      <c r="BT34" s="22">
        <f t="shared" si="35"/>
        <v>0</v>
      </c>
    </row>
    <row r="35" spans="1:72" s="2167" customFormat="1" ht="12.75">
      <c r="A35" s="1274"/>
      <c r="B35" s="1274"/>
      <c r="C35" s="2153" t="s">
        <v>3303</v>
      </c>
      <c r="D35" s="2954" t="s">
        <v>3055</v>
      </c>
      <c r="E35" s="16">
        <f t="shared" si="7"/>
        <v>0</v>
      </c>
      <c r="F35" s="32"/>
      <c r="G35" s="33">
        <f t="shared" si="8"/>
        <v>0</v>
      </c>
      <c r="H35" s="20">
        <f t="shared" si="9"/>
        <v>0</v>
      </c>
      <c r="I35" s="2213"/>
      <c r="J35" s="2213"/>
      <c r="K35" s="2213"/>
      <c r="L35" s="2213"/>
      <c r="M35" s="2213"/>
      <c r="N35" s="2213"/>
      <c r="O35" s="2213"/>
      <c r="P35" s="2213"/>
      <c r="Q35" s="2213"/>
      <c r="R35" s="2213"/>
      <c r="S35" s="2213"/>
      <c r="T35" s="2213"/>
      <c r="U35" s="2213"/>
      <c r="V35" s="2213"/>
      <c r="W35" s="2213"/>
      <c r="X35" s="2213"/>
      <c r="Y35" s="2213"/>
      <c r="Z35" s="2213"/>
      <c r="AA35" s="2213"/>
      <c r="AB35" s="2213"/>
      <c r="AC35" s="16">
        <f t="shared" si="10"/>
        <v>0</v>
      </c>
      <c r="AD35" s="2214"/>
      <c r="AE35" s="2214"/>
      <c r="AF35" s="2214"/>
      <c r="AG35" s="2214"/>
      <c r="AH35" s="2214"/>
      <c r="AI35" s="2214"/>
      <c r="AJ35" s="2214"/>
      <c r="AK35" s="2214"/>
      <c r="AL35" s="2214"/>
      <c r="AM35" s="2214"/>
      <c r="AN35" s="2214"/>
      <c r="AO35" s="2214"/>
      <c r="AP35" s="2214"/>
      <c r="AQ35" s="2214"/>
      <c r="AR35" s="2214"/>
      <c r="AS35" s="2214"/>
      <c r="AT35" s="2215"/>
      <c r="AU35" s="2216"/>
      <c r="AV35" s="11">
        <f t="shared" si="11"/>
        <v>0</v>
      </c>
      <c r="AW35" s="11">
        <f t="shared" si="12"/>
        <v>0</v>
      </c>
      <c r="AX35" s="11" t="str">
        <f t="shared" si="13"/>
        <v>1幢204室</v>
      </c>
      <c r="AY35" s="2953">
        <f t="shared" si="14"/>
        <v>0</v>
      </c>
      <c r="AZ35" s="16">
        <f t="shared" si="15"/>
        <v>0</v>
      </c>
      <c r="BA35" s="16">
        <f t="shared" si="16"/>
        <v>0</v>
      </c>
      <c r="BB35" s="16">
        <f t="shared" si="17"/>
        <v>0</v>
      </c>
      <c r="BC35" s="16">
        <f t="shared" si="18"/>
        <v>0</v>
      </c>
      <c r="BD35" s="16">
        <f t="shared" si="19"/>
        <v>0</v>
      </c>
      <c r="BE35" s="16">
        <f t="shared" si="20"/>
        <v>0</v>
      </c>
      <c r="BF35" s="16">
        <f t="shared" si="21"/>
        <v>0</v>
      </c>
      <c r="BG35" s="16">
        <f t="shared" si="22"/>
        <v>0</v>
      </c>
      <c r="BH35" s="16">
        <f t="shared" si="23"/>
        <v>0</v>
      </c>
      <c r="BI35" s="16">
        <f t="shared" si="24"/>
        <v>0</v>
      </c>
      <c r="BJ35" s="16">
        <f t="shared" si="25"/>
        <v>0</v>
      </c>
      <c r="BK35" s="16">
        <f t="shared" si="26"/>
        <v>0</v>
      </c>
      <c r="BL35" s="16">
        <f t="shared" si="27"/>
        <v>0</v>
      </c>
      <c r="BM35" s="16">
        <f t="shared" si="28"/>
        <v>0</v>
      </c>
      <c r="BN35" s="16">
        <f t="shared" si="29"/>
        <v>0</v>
      </c>
      <c r="BO35" s="16">
        <f t="shared" si="30"/>
        <v>0</v>
      </c>
      <c r="BP35" s="16">
        <f t="shared" si="31"/>
        <v>0</v>
      </c>
      <c r="BQ35" s="16">
        <f t="shared" si="32"/>
        <v>0</v>
      </c>
      <c r="BR35" s="16">
        <f t="shared" si="33"/>
        <v>0</v>
      </c>
      <c r="BS35" s="16">
        <f t="shared" si="34"/>
        <v>0</v>
      </c>
      <c r="BT35" s="22">
        <f t="shared" si="35"/>
        <v>0</v>
      </c>
    </row>
    <row r="36" spans="1:72" s="2167" customFormat="1" ht="12.75">
      <c r="A36" s="1274"/>
      <c r="B36" s="1274"/>
      <c r="C36" s="2153" t="s">
        <v>3304</v>
      </c>
      <c r="D36" s="2954" t="s">
        <v>3055</v>
      </c>
      <c r="E36" s="16">
        <f t="shared" si="7"/>
        <v>0</v>
      </c>
      <c r="F36" s="32"/>
      <c r="G36" s="33">
        <f t="shared" si="8"/>
        <v>0</v>
      </c>
      <c r="H36" s="20">
        <f t="shared" si="9"/>
        <v>0</v>
      </c>
      <c r="I36" s="2213"/>
      <c r="J36" s="2213"/>
      <c r="K36" s="2213"/>
      <c r="L36" s="2213"/>
      <c r="M36" s="2213"/>
      <c r="N36" s="2213"/>
      <c r="O36" s="2213"/>
      <c r="P36" s="2213"/>
      <c r="Q36" s="2213"/>
      <c r="R36" s="2213"/>
      <c r="S36" s="2213"/>
      <c r="T36" s="2213"/>
      <c r="U36" s="2213"/>
      <c r="V36" s="2213"/>
      <c r="W36" s="2213"/>
      <c r="X36" s="2213"/>
      <c r="Y36" s="2213"/>
      <c r="Z36" s="2213"/>
      <c r="AA36" s="2213"/>
      <c r="AB36" s="2213"/>
      <c r="AC36" s="16">
        <f t="shared" si="10"/>
        <v>0</v>
      </c>
      <c r="AD36" s="2214"/>
      <c r="AE36" s="2214"/>
      <c r="AF36" s="2214"/>
      <c r="AG36" s="2214"/>
      <c r="AH36" s="2214"/>
      <c r="AI36" s="2214"/>
      <c r="AJ36" s="2214"/>
      <c r="AK36" s="2214"/>
      <c r="AL36" s="2214"/>
      <c r="AM36" s="2214"/>
      <c r="AN36" s="2214"/>
      <c r="AO36" s="2214"/>
      <c r="AP36" s="2214"/>
      <c r="AQ36" s="2214"/>
      <c r="AR36" s="2214"/>
      <c r="AS36" s="2214"/>
      <c r="AT36" s="2215"/>
      <c r="AU36" s="2216"/>
      <c r="AV36" s="11">
        <f t="shared" si="11"/>
        <v>0</v>
      </c>
      <c r="AW36" s="11">
        <f t="shared" si="12"/>
        <v>0</v>
      </c>
      <c r="AX36" s="11" t="str">
        <f t="shared" si="13"/>
        <v>1幢205室</v>
      </c>
      <c r="AY36" s="2953">
        <f t="shared" si="14"/>
        <v>0</v>
      </c>
      <c r="AZ36" s="16">
        <f t="shared" si="15"/>
        <v>0</v>
      </c>
      <c r="BA36" s="16">
        <f t="shared" si="16"/>
        <v>0</v>
      </c>
      <c r="BB36" s="16">
        <f t="shared" si="17"/>
        <v>0</v>
      </c>
      <c r="BC36" s="16">
        <f t="shared" si="18"/>
        <v>0</v>
      </c>
      <c r="BD36" s="16">
        <f t="shared" si="19"/>
        <v>0</v>
      </c>
      <c r="BE36" s="16">
        <f t="shared" si="20"/>
        <v>0</v>
      </c>
      <c r="BF36" s="16">
        <f t="shared" si="21"/>
        <v>0</v>
      </c>
      <c r="BG36" s="16">
        <f t="shared" si="22"/>
        <v>0</v>
      </c>
      <c r="BH36" s="16">
        <f t="shared" si="23"/>
        <v>0</v>
      </c>
      <c r="BI36" s="16">
        <f t="shared" si="24"/>
        <v>0</v>
      </c>
      <c r="BJ36" s="16">
        <f t="shared" si="25"/>
        <v>0</v>
      </c>
      <c r="BK36" s="16">
        <f t="shared" si="26"/>
        <v>0</v>
      </c>
      <c r="BL36" s="16">
        <f t="shared" si="27"/>
        <v>0</v>
      </c>
      <c r="BM36" s="16">
        <f t="shared" si="28"/>
        <v>0</v>
      </c>
      <c r="BN36" s="16">
        <f t="shared" si="29"/>
        <v>0</v>
      </c>
      <c r="BO36" s="16">
        <f t="shared" si="30"/>
        <v>0</v>
      </c>
      <c r="BP36" s="16">
        <f t="shared" si="31"/>
        <v>0</v>
      </c>
      <c r="BQ36" s="16">
        <f t="shared" si="32"/>
        <v>0</v>
      </c>
      <c r="BR36" s="16">
        <f t="shared" si="33"/>
        <v>0</v>
      </c>
      <c r="BS36" s="16">
        <f t="shared" si="34"/>
        <v>0</v>
      </c>
      <c r="BT36" s="22">
        <f t="shared" si="35"/>
        <v>0</v>
      </c>
    </row>
    <row r="37" spans="1:72" s="2167" customFormat="1" ht="12.75">
      <c r="A37" s="1274"/>
      <c r="B37" s="1274"/>
      <c r="C37" s="2153" t="s">
        <v>3305</v>
      </c>
      <c r="D37" s="2954" t="s">
        <v>3055</v>
      </c>
      <c r="E37" s="16">
        <f t="shared" si="7"/>
        <v>0</v>
      </c>
      <c r="F37" s="32"/>
      <c r="G37" s="33">
        <f t="shared" si="8"/>
        <v>0</v>
      </c>
      <c r="H37" s="20">
        <f t="shared" si="9"/>
        <v>0</v>
      </c>
      <c r="I37" s="2213"/>
      <c r="J37" s="2213"/>
      <c r="K37" s="2213"/>
      <c r="L37" s="2213"/>
      <c r="M37" s="2213"/>
      <c r="N37" s="2213"/>
      <c r="O37" s="2213"/>
      <c r="P37" s="2213"/>
      <c r="Q37" s="2213"/>
      <c r="R37" s="2213"/>
      <c r="S37" s="2213"/>
      <c r="T37" s="2213"/>
      <c r="U37" s="2213"/>
      <c r="V37" s="2213"/>
      <c r="W37" s="2213"/>
      <c r="X37" s="2213"/>
      <c r="Y37" s="2213"/>
      <c r="Z37" s="2213"/>
      <c r="AA37" s="2213"/>
      <c r="AB37" s="2213"/>
      <c r="AC37" s="16">
        <f t="shared" si="10"/>
        <v>0</v>
      </c>
      <c r="AD37" s="2214"/>
      <c r="AE37" s="2214"/>
      <c r="AF37" s="2214"/>
      <c r="AG37" s="2214"/>
      <c r="AH37" s="2214"/>
      <c r="AI37" s="2214"/>
      <c r="AJ37" s="2214"/>
      <c r="AK37" s="2214"/>
      <c r="AL37" s="2214"/>
      <c r="AM37" s="2214"/>
      <c r="AN37" s="2214"/>
      <c r="AO37" s="2214"/>
      <c r="AP37" s="2214"/>
      <c r="AQ37" s="2214"/>
      <c r="AR37" s="2214"/>
      <c r="AS37" s="2214"/>
      <c r="AT37" s="2215"/>
      <c r="AU37" s="2216"/>
      <c r="AV37" s="11">
        <f t="shared" si="11"/>
        <v>0</v>
      </c>
      <c r="AW37" s="11">
        <f t="shared" si="12"/>
        <v>0</v>
      </c>
      <c r="AX37" s="11" t="str">
        <f t="shared" si="13"/>
        <v>1幢206室</v>
      </c>
      <c r="AY37" s="2953">
        <f t="shared" si="14"/>
        <v>0</v>
      </c>
      <c r="AZ37" s="16">
        <f t="shared" si="15"/>
        <v>0</v>
      </c>
      <c r="BA37" s="16">
        <f t="shared" si="16"/>
        <v>0</v>
      </c>
      <c r="BB37" s="16">
        <f t="shared" si="17"/>
        <v>0</v>
      </c>
      <c r="BC37" s="16">
        <f t="shared" si="18"/>
        <v>0</v>
      </c>
      <c r="BD37" s="16">
        <f t="shared" si="19"/>
        <v>0</v>
      </c>
      <c r="BE37" s="16">
        <f t="shared" si="20"/>
        <v>0</v>
      </c>
      <c r="BF37" s="16">
        <f t="shared" si="21"/>
        <v>0</v>
      </c>
      <c r="BG37" s="16">
        <f t="shared" si="22"/>
        <v>0</v>
      </c>
      <c r="BH37" s="16">
        <f t="shared" si="23"/>
        <v>0</v>
      </c>
      <c r="BI37" s="16">
        <f t="shared" si="24"/>
        <v>0</v>
      </c>
      <c r="BJ37" s="16">
        <f t="shared" si="25"/>
        <v>0</v>
      </c>
      <c r="BK37" s="16">
        <f t="shared" si="26"/>
        <v>0</v>
      </c>
      <c r="BL37" s="16">
        <f t="shared" si="27"/>
        <v>0</v>
      </c>
      <c r="BM37" s="16">
        <f t="shared" si="28"/>
        <v>0</v>
      </c>
      <c r="BN37" s="16">
        <f t="shared" si="29"/>
        <v>0</v>
      </c>
      <c r="BO37" s="16">
        <f t="shared" si="30"/>
        <v>0</v>
      </c>
      <c r="BP37" s="16">
        <f t="shared" si="31"/>
        <v>0</v>
      </c>
      <c r="BQ37" s="16">
        <f t="shared" si="32"/>
        <v>0</v>
      </c>
      <c r="BR37" s="16">
        <f t="shared" si="33"/>
        <v>0</v>
      </c>
      <c r="BS37" s="16">
        <f t="shared" si="34"/>
        <v>0</v>
      </c>
      <c r="BT37" s="22">
        <f t="shared" si="35"/>
        <v>0</v>
      </c>
    </row>
    <row r="38" spans="1:72" s="2167" customFormat="1" ht="12.75">
      <c r="A38" s="1274"/>
      <c r="B38" s="1274"/>
      <c r="C38" s="2153" t="s">
        <v>3306</v>
      </c>
      <c r="D38" s="2954" t="s">
        <v>3055</v>
      </c>
      <c r="E38" s="16">
        <f t="shared" si="7"/>
        <v>0</v>
      </c>
      <c r="F38" s="32"/>
      <c r="G38" s="33">
        <f t="shared" si="8"/>
        <v>0</v>
      </c>
      <c r="H38" s="20">
        <f t="shared" si="9"/>
        <v>0</v>
      </c>
      <c r="I38" s="2213"/>
      <c r="J38" s="2213"/>
      <c r="K38" s="2213"/>
      <c r="L38" s="2213"/>
      <c r="M38" s="2213"/>
      <c r="N38" s="2213"/>
      <c r="O38" s="2213"/>
      <c r="P38" s="2213"/>
      <c r="Q38" s="2213"/>
      <c r="R38" s="2213"/>
      <c r="S38" s="2213"/>
      <c r="T38" s="2213"/>
      <c r="U38" s="2213"/>
      <c r="V38" s="2213"/>
      <c r="W38" s="2213"/>
      <c r="X38" s="2213"/>
      <c r="Y38" s="2213"/>
      <c r="Z38" s="2213"/>
      <c r="AA38" s="2213"/>
      <c r="AB38" s="2213"/>
      <c r="AC38" s="16">
        <f t="shared" si="10"/>
        <v>0</v>
      </c>
      <c r="AD38" s="2214"/>
      <c r="AE38" s="2214"/>
      <c r="AF38" s="2214"/>
      <c r="AG38" s="2214"/>
      <c r="AH38" s="2214"/>
      <c r="AI38" s="2214"/>
      <c r="AJ38" s="2214"/>
      <c r="AK38" s="2214"/>
      <c r="AL38" s="2214"/>
      <c r="AM38" s="2214"/>
      <c r="AN38" s="2214"/>
      <c r="AO38" s="2214"/>
      <c r="AP38" s="2214"/>
      <c r="AQ38" s="2214"/>
      <c r="AR38" s="2214"/>
      <c r="AS38" s="2214"/>
      <c r="AT38" s="2215"/>
      <c r="AU38" s="2216"/>
      <c r="AV38" s="11">
        <f t="shared" si="11"/>
        <v>0</v>
      </c>
      <c r="AW38" s="11">
        <f t="shared" si="12"/>
        <v>0</v>
      </c>
      <c r="AX38" s="11" t="str">
        <f t="shared" si="13"/>
        <v>1幢207室</v>
      </c>
      <c r="AY38" s="2953">
        <f t="shared" si="14"/>
        <v>0</v>
      </c>
      <c r="AZ38" s="16">
        <f t="shared" si="15"/>
        <v>0</v>
      </c>
      <c r="BA38" s="16">
        <f t="shared" si="16"/>
        <v>0</v>
      </c>
      <c r="BB38" s="16">
        <f t="shared" si="17"/>
        <v>0</v>
      </c>
      <c r="BC38" s="16">
        <f t="shared" si="18"/>
        <v>0</v>
      </c>
      <c r="BD38" s="16">
        <f t="shared" si="19"/>
        <v>0</v>
      </c>
      <c r="BE38" s="16">
        <f t="shared" si="20"/>
        <v>0</v>
      </c>
      <c r="BF38" s="16">
        <f t="shared" si="21"/>
        <v>0</v>
      </c>
      <c r="BG38" s="16">
        <f t="shared" si="22"/>
        <v>0</v>
      </c>
      <c r="BH38" s="16">
        <f t="shared" si="23"/>
        <v>0</v>
      </c>
      <c r="BI38" s="16">
        <f t="shared" si="24"/>
        <v>0</v>
      </c>
      <c r="BJ38" s="16">
        <f t="shared" si="25"/>
        <v>0</v>
      </c>
      <c r="BK38" s="16">
        <f t="shared" si="26"/>
        <v>0</v>
      </c>
      <c r="BL38" s="16">
        <f t="shared" si="27"/>
        <v>0</v>
      </c>
      <c r="BM38" s="16">
        <f t="shared" si="28"/>
        <v>0</v>
      </c>
      <c r="BN38" s="16">
        <f t="shared" si="29"/>
        <v>0</v>
      </c>
      <c r="BO38" s="16">
        <f t="shared" si="30"/>
        <v>0</v>
      </c>
      <c r="BP38" s="16">
        <f t="shared" si="31"/>
        <v>0</v>
      </c>
      <c r="BQ38" s="16">
        <f t="shared" si="32"/>
        <v>0</v>
      </c>
      <c r="BR38" s="16">
        <f t="shared" si="33"/>
        <v>0</v>
      </c>
      <c r="BS38" s="16">
        <f t="shared" si="34"/>
        <v>0</v>
      </c>
      <c r="BT38" s="22">
        <f t="shared" si="35"/>
        <v>0</v>
      </c>
    </row>
    <row r="39" spans="1:72" s="2167" customFormat="1" ht="12.75">
      <c r="A39" s="1274"/>
      <c r="B39" s="1274"/>
      <c r="C39" s="2153" t="s">
        <v>3307</v>
      </c>
      <c r="D39" s="2954" t="s">
        <v>3055</v>
      </c>
      <c r="E39" s="16">
        <f t="shared" si="7"/>
        <v>0</v>
      </c>
      <c r="F39" s="32"/>
      <c r="G39" s="33">
        <f t="shared" si="8"/>
        <v>0</v>
      </c>
      <c r="H39" s="20">
        <f t="shared" si="9"/>
        <v>0</v>
      </c>
      <c r="I39" s="2213"/>
      <c r="J39" s="2213"/>
      <c r="K39" s="2213"/>
      <c r="L39" s="2213"/>
      <c r="M39" s="2213"/>
      <c r="N39" s="2213"/>
      <c r="O39" s="2213"/>
      <c r="P39" s="2213"/>
      <c r="Q39" s="2213"/>
      <c r="R39" s="2213"/>
      <c r="S39" s="2213"/>
      <c r="T39" s="2213"/>
      <c r="U39" s="2213"/>
      <c r="V39" s="2213"/>
      <c r="W39" s="2213"/>
      <c r="X39" s="2213"/>
      <c r="Y39" s="2213"/>
      <c r="Z39" s="2213"/>
      <c r="AA39" s="2213"/>
      <c r="AB39" s="2213"/>
      <c r="AC39" s="16">
        <f t="shared" si="10"/>
        <v>0</v>
      </c>
      <c r="AD39" s="2214"/>
      <c r="AE39" s="2214"/>
      <c r="AF39" s="2214"/>
      <c r="AG39" s="2214"/>
      <c r="AH39" s="2214"/>
      <c r="AI39" s="2214"/>
      <c r="AJ39" s="2214"/>
      <c r="AK39" s="2214"/>
      <c r="AL39" s="2214"/>
      <c r="AM39" s="2214"/>
      <c r="AN39" s="2214"/>
      <c r="AO39" s="2214"/>
      <c r="AP39" s="2214"/>
      <c r="AQ39" s="2214"/>
      <c r="AR39" s="2214"/>
      <c r="AS39" s="2214"/>
      <c r="AT39" s="2215"/>
      <c r="AU39" s="2216"/>
      <c r="AV39" s="11">
        <f t="shared" si="11"/>
        <v>0</v>
      </c>
      <c r="AW39" s="11">
        <f t="shared" si="12"/>
        <v>0</v>
      </c>
      <c r="AX39" s="11" t="str">
        <f t="shared" si="13"/>
        <v>1幢208室</v>
      </c>
      <c r="AY39" s="2953">
        <f t="shared" si="14"/>
        <v>0</v>
      </c>
      <c r="AZ39" s="16">
        <f t="shared" si="15"/>
        <v>0</v>
      </c>
      <c r="BA39" s="16">
        <f t="shared" si="16"/>
        <v>0</v>
      </c>
      <c r="BB39" s="16">
        <f t="shared" si="17"/>
        <v>0</v>
      </c>
      <c r="BC39" s="16">
        <f t="shared" si="18"/>
        <v>0</v>
      </c>
      <c r="BD39" s="16">
        <f t="shared" si="19"/>
        <v>0</v>
      </c>
      <c r="BE39" s="16">
        <f t="shared" si="20"/>
        <v>0</v>
      </c>
      <c r="BF39" s="16">
        <f t="shared" si="21"/>
        <v>0</v>
      </c>
      <c r="BG39" s="16">
        <f t="shared" si="22"/>
        <v>0</v>
      </c>
      <c r="BH39" s="16">
        <f t="shared" si="23"/>
        <v>0</v>
      </c>
      <c r="BI39" s="16">
        <f t="shared" si="24"/>
        <v>0</v>
      </c>
      <c r="BJ39" s="16">
        <f t="shared" si="25"/>
        <v>0</v>
      </c>
      <c r="BK39" s="16">
        <f t="shared" si="26"/>
        <v>0</v>
      </c>
      <c r="BL39" s="16">
        <f t="shared" si="27"/>
        <v>0</v>
      </c>
      <c r="BM39" s="16">
        <f t="shared" si="28"/>
        <v>0</v>
      </c>
      <c r="BN39" s="16">
        <f t="shared" si="29"/>
        <v>0</v>
      </c>
      <c r="BO39" s="16">
        <f t="shared" si="30"/>
        <v>0</v>
      </c>
      <c r="BP39" s="16">
        <f t="shared" si="31"/>
        <v>0</v>
      </c>
      <c r="BQ39" s="16">
        <f t="shared" si="32"/>
        <v>0</v>
      </c>
      <c r="BR39" s="16">
        <f t="shared" si="33"/>
        <v>0</v>
      </c>
      <c r="BS39" s="16">
        <f t="shared" si="34"/>
        <v>0</v>
      </c>
      <c r="BT39" s="22">
        <f t="shared" si="35"/>
        <v>0</v>
      </c>
    </row>
    <row r="40" spans="1:72" s="2167" customFormat="1" ht="12.75">
      <c r="A40" s="1274"/>
      <c r="B40" s="1274"/>
      <c r="C40" s="2153" t="s">
        <v>3308</v>
      </c>
      <c r="D40" s="2954" t="s">
        <v>3055</v>
      </c>
      <c r="E40" s="16">
        <f t="shared" si="7"/>
        <v>0</v>
      </c>
      <c r="F40" s="32"/>
      <c r="G40" s="33">
        <f t="shared" si="8"/>
        <v>0</v>
      </c>
      <c r="H40" s="20">
        <f t="shared" si="9"/>
        <v>0</v>
      </c>
      <c r="I40" s="2213"/>
      <c r="J40" s="2213"/>
      <c r="K40" s="2213"/>
      <c r="L40" s="2213"/>
      <c r="M40" s="2213"/>
      <c r="N40" s="2213"/>
      <c r="O40" s="2213"/>
      <c r="P40" s="2213"/>
      <c r="Q40" s="2213"/>
      <c r="R40" s="2213"/>
      <c r="S40" s="2213"/>
      <c r="T40" s="2213"/>
      <c r="U40" s="2213"/>
      <c r="V40" s="2213"/>
      <c r="W40" s="2213"/>
      <c r="X40" s="2213"/>
      <c r="Y40" s="2213"/>
      <c r="Z40" s="2213"/>
      <c r="AA40" s="2213"/>
      <c r="AB40" s="2213"/>
      <c r="AC40" s="16">
        <f t="shared" si="10"/>
        <v>0</v>
      </c>
      <c r="AD40" s="2214"/>
      <c r="AE40" s="2214"/>
      <c r="AF40" s="2214"/>
      <c r="AG40" s="2214"/>
      <c r="AH40" s="2214"/>
      <c r="AI40" s="2214"/>
      <c r="AJ40" s="2214"/>
      <c r="AK40" s="2214"/>
      <c r="AL40" s="2214"/>
      <c r="AM40" s="2214"/>
      <c r="AN40" s="2214"/>
      <c r="AO40" s="2214"/>
      <c r="AP40" s="2214"/>
      <c r="AQ40" s="2214"/>
      <c r="AR40" s="2214"/>
      <c r="AS40" s="2214"/>
      <c r="AT40" s="2215"/>
      <c r="AU40" s="2216"/>
      <c r="AV40" s="11">
        <f t="shared" si="11"/>
        <v>0</v>
      </c>
      <c r="AW40" s="11">
        <f t="shared" si="12"/>
        <v>0</v>
      </c>
      <c r="AX40" s="11" t="str">
        <f t="shared" si="13"/>
        <v>1幢209室</v>
      </c>
      <c r="AY40" s="2953">
        <f t="shared" si="14"/>
        <v>0</v>
      </c>
      <c r="AZ40" s="16">
        <f t="shared" si="15"/>
        <v>0</v>
      </c>
      <c r="BA40" s="16">
        <f t="shared" si="16"/>
        <v>0</v>
      </c>
      <c r="BB40" s="16">
        <f t="shared" si="17"/>
        <v>0</v>
      </c>
      <c r="BC40" s="16">
        <f t="shared" si="18"/>
        <v>0</v>
      </c>
      <c r="BD40" s="16">
        <f t="shared" si="19"/>
        <v>0</v>
      </c>
      <c r="BE40" s="16">
        <f t="shared" si="20"/>
        <v>0</v>
      </c>
      <c r="BF40" s="16">
        <f t="shared" si="21"/>
        <v>0</v>
      </c>
      <c r="BG40" s="16">
        <f t="shared" si="22"/>
        <v>0</v>
      </c>
      <c r="BH40" s="16">
        <f t="shared" si="23"/>
        <v>0</v>
      </c>
      <c r="BI40" s="16">
        <f t="shared" si="24"/>
        <v>0</v>
      </c>
      <c r="BJ40" s="16">
        <f t="shared" si="25"/>
        <v>0</v>
      </c>
      <c r="BK40" s="16">
        <f t="shared" si="26"/>
        <v>0</v>
      </c>
      <c r="BL40" s="16">
        <f t="shared" si="27"/>
        <v>0</v>
      </c>
      <c r="BM40" s="16">
        <f t="shared" si="28"/>
        <v>0</v>
      </c>
      <c r="BN40" s="16">
        <f t="shared" si="29"/>
        <v>0</v>
      </c>
      <c r="BO40" s="16">
        <f t="shared" si="30"/>
        <v>0</v>
      </c>
      <c r="BP40" s="16">
        <f t="shared" si="31"/>
        <v>0</v>
      </c>
      <c r="BQ40" s="16">
        <f t="shared" si="32"/>
        <v>0</v>
      </c>
      <c r="BR40" s="16">
        <f t="shared" si="33"/>
        <v>0</v>
      </c>
      <c r="BS40" s="16">
        <f t="shared" si="34"/>
        <v>0</v>
      </c>
      <c r="BT40" s="22">
        <f t="shared" si="35"/>
        <v>0</v>
      </c>
    </row>
    <row r="41" spans="1:72" s="2167" customFormat="1" ht="12.75">
      <c r="A41" s="1274"/>
      <c r="B41" s="1274"/>
      <c r="C41" s="2153" t="s">
        <v>3309</v>
      </c>
      <c r="D41" s="2954" t="s">
        <v>3055</v>
      </c>
      <c r="E41" s="16">
        <f t="shared" si="7"/>
        <v>0</v>
      </c>
      <c r="F41" s="32"/>
      <c r="G41" s="33">
        <f t="shared" si="8"/>
        <v>0</v>
      </c>
      <c r="H41" s="20">
        <f t="shared" si="9"/>
        <v>0</v>
      </c>
      <c r="I41" s="2213"/>
      <c r="J41" s="2213"/>
      <c r="K41" s="2213"/>
      <c r="L41" s="2213"/>
      <c r="M41" s="2213"/>
      <c r="N41" s="2213"/>
      <c r="O41" s="2213"/>
      <c r="P41" s="2213"/>
      <c r="Q41" s="2213"/>
      <c r="R41" s="2213"/>
      <c r="S41" s="2213"/>
      <c r="T41" s="2213"/>
      <c r="U41" s="2213"/>
      <c r="V41" s="2213"/>
      <c r="W41" s="2213"/>
      <c r="X41" s="2213"/>
      <c r="Y41" s="2213"/>
      <c r="Z41" s="2213"/>
      <c r="AA41" s="2213"/>
      <c r="AB41" s="2213"/>
      <c r="AC41" s="16">
        <f t="shared" si="10"/>
        <v>0</v>
      </c>
      <c r="AD41" s="2214"/>
      <c r="AE41" s="2214"/>
      <c r="AF41" s="2214"/>
      <c r="AG41" s="2214"/>
      <c r="AH41" s="2214"/>
      <c r="AI41" s="2214"/>
      <c r="AJ41" s="2214"/>
      <c r="AK41" s="2214"/>
      <c r="AL41" s="2214"/>
      <c r="AM41" s="2214"/>
      <c r="AN41" s="2214"/>
      <c r="AO41" s="2214"/>
      <c r="AP41" s="2214"/>
      <c r="AQ41" s="2214"/>
      <c r="AR41" s="2214"/>
      <c r="AS41" s="2214"/>
      <c r="AT41" s="2215"/>
      <c r="AU41" s="2216"/>
      <c r="AV41" s="11">
        <f t="shared" si="11"/>
        <v>0</v>
      </c>
      <c r="AW41" s="11">
        <f t="shared" si="12"/>
        <v>0</v>
      </c>
      <c r="AX41" s="11" t="str">
        <f t="shared" si="13"/>
        <v>1幢210室</v>
      </c>
      <c r="AY41" s="2953">
        <f t="shared" si="14"/>
        <v>0</v>
      </c>
      <c r="AZ41" s="16">
        <f t="shared" si="15"/>
        <v>0</v>
      </c>
      <c r="BA41" s="16">
        <f t="shared" si="16"/>
        <v>0</v>
      </c>
      <c r="BB41" s="16">
        <f t="shared" si="17"/>
        <v>0</v>
      </c>
      <c r="BC41" s="16">
        <f t="shared" si="18"/>
        <v>0</v>
      </c>
      <c r="BD41" s="16">
        <f t="shared" si="19"/>
        <v>0</v>
      </c>
      <c r="BE41" s="16">
        <f t="shared" si="20"/>
        <v>0</v>
      </c>
      <c r="BF41" s="16">
        <f t="shared" si="21"/>
        <v>0</v>
      </c>
      <c r="BG41" s="16">
        <f t="shared" si="22"/>
        <v>0</v>
      </c>
      <c r="BH41" s="16">
        <f t="shared" si="23"/>
        <v>0</v>
      </c>
      <c r="BI41" s="16">
        <f t="shared" si="24"/>
        <v>0</v>
      </c>
      <c r="BJ41" s="16">
        <f t="shared" si="25"/>
        <v>0</v>
      </c>
      <c r="BK41" s="16">
        <f t="shared" si="26"/>
        <v>0</v>
      </c>
      <c r="BL41" s="16">
        <f t="shared" si="27"/>
        <v>0</v>
      </c>
      <c r="BM41" s="16">
        <f t="shared" si="28"/>
        <v>0</v>
      </c>
      <c r="BN41" s="16">
        <f t="shared" si="29"/>
        <v>0</v>
      </c>
      <c r="BO41" s="16">
        <f t="shared" si="30"/>
        <v>0</v>
      </c>
      <c r="BP41" s="16">
        <f t="shared" si="31"/>
        <v>0</v>
      </c>
      <c r="BQ41" s="16">
        <f t="shared" si="32"/>
        <v>0</v>
      </c>
      <c r="BR41" s="16">
        <f t="shared" si="33"/>
        <v>0</v>
      </c>
      <c r="BS41" s="16">
        <f t="shared" si="34"/>
        <v>0</v>
      </c>
      <c r="BT41" s="22">
        <f t="shared" si="35"/>
        <v>0</v>
      </c>
    </row>
    <row r="42" spans="1:72" s="2167" customFormat="1" ht="12.75">
      <c r="A42" s="1274"/>
      <c r="B42" s="1274"/>
      <c r="C42" s="2153" t="s">
        <v>3310</v>
      </c>
      <c r="D42" s="2954" t="s">
        <v>3055</v>
      </c>
      <c r="E42" s="16">
        <f t="shared" si="7"/>
        <v>0</v>
      </c>
      <c r="F42" s="32"/>
      <c r="G42" s="33">
        <f t="shared" si="8"/>
        <v>0</v>
      </c>
      <c r="H42" s="20">
        <f t="shared" si="9"/>
        <v>0</v>
      </c>
      <c r="I42" s="2213"/>
      <c r="J42" s="2213"/>
      <c r="K42" s="2213"/>
      <c r="L42" s="2213"/>
      <c r="M42" s="2213"/>
      <c r="N42" s="2213"/>
      <c r="O42" s="2213"/>
      <c r="P42" s="2213"/>
      <c r="Q42" s="2213"/>
      <c r="R42" s="2213"/>
      <c r="S42" s="2213"/>
      <c r="T42" s="2213"/>
      <c r="U42" s="2213"/>
      <c r="V42" s="2213"/>
      <c r="W42" s="2213"/>
      <c r="X42" s="2213"/>
      <c r="Y42" s="2213"/>
      <c r="Z42" s="2213"/>
      <c r="AA42" s="2213"/>
      <c r="AB42" s="2213"/>
      <c r="AC42" s="16">
        <f t="shared" si="10"/>
        <v>0</v>
      </c>
      <c r="AD42" s="2214"/>
      <c r="AE42" s="2214"/>
      <c r="AF42" s="2214"/>
      <c r="AG42" s="2214"/>
      <c r="AH42" s="2214"/>
      <c r="AI42" s="2214"/>
      <c r="AJ42" s="2214"/>
      <c r="AK42" s="2214"/>
      <c r="AL42" s="2214"/>
      <c r="AM42" s="2214"/>
      <c r="AN42" s="2214"/>
      <c r="AO42" s="2214"/>
      <c r="AP42" s="2214"/>
      <c r="AQ42" s="2214"/>
      <c r="AR42" s="2214"/>
      <c r="AS42" s="2214"/>
      <c r="AT42" s="2215"/>
      <c r="AU42" s="2216"/>
      <c r="AV42" s="11">
        <f t="shared" si="11"/>
        <v>0</v>
      </c>
      <c r="AW42" s="11">
        <f t="shared" si="12"/>
        <v>0</v>
      </c>
      <c r="AX42" s="11" t="str">
        <f t="shared" si="13"/>
        <v>1幢211室</v>
      </c>
      <c r="AY42" s="2953">
        <f t="shared" si="14"/>
        <v>0</v>
      </c>
      <c r="AZ42" s="16">
        <f t="shared" si="15"/>
        <v>0</v>
      </c>
      <c r="BA42" s="16">
        <f t="shared" si="16"/>
        <v>0</v>
      </c>
      <c r="BB42" s="16">
        <f t="shared" si="17"/>
        <v>0</v>
      </c>
      <c r="BC42" s="16">
        <f t="shared" si="18"/>
        <v>0</v>
      </c>
      <c r="BD42" s="16">
        <f t="shared" si="19"/>
        <v>0</v>
      </c>
      <c r="BE42" s="16">
        <f t="shared" si="20"/>
        <v>0</v>
      </c>
      <c r="BF42" s="16">
        <f t="shared" si="21"/>
        <v>0</v>
      </c>
      <c r="BG42" s="16">
        <f t="shared" si="22"/>
        <v>0</v>
      </c>
      <c r="BH42" s="16">
        <f t="shared" si="23"/>
        <v>0</v>
      </c>
      <c r="BI42" s="16">
        <f t="shared" si="24"/>
        <v>0</v>
      </c>
      <c r="BJ42" s="16">
        <f t="shared" si="25"/>
        <v>0</v>
      </c>
      <c r="BK42" s="16">
        <f t="shared" si="26"/>
        <v>0</v>
      </c>
      <c r="BL42" s="16">
        <f t="shared" si="27"/>
        <v>0</v>
      </c>
      <c r="BM42" s="16">
        <f t="shared" si="28"/>
        <v>0</v>
      </c>
      <c r="BN42" s="16">
        <f t="shared" si="29"/>
        <v>0</v>
      </c>
      <c r="BO42" s="16">
        <f t="shared" si="30"/>
        <v>0</v>
      </c>
      <c r="BP42" s="16">
        <f t="shared" si="31"/>
        <v>0</v>
      </c>
      <c r="BQ42" s="16">
        <f t="shared" si="32"/>
        <v>0</v>
      </c>
      <c r="BR42" s="16">
        <f t="shared" si="33"/>
        <v>0</v>
      </c>
      <c r="BS42" s="16">
        <f t="shared" si="34"/>
        <v>0</v>
      </c>
      <c r="BT42" s="22">
        <f t="shared" si="35"/>
        <v>0</v>
      </c>
    </row>
    <row r="43" spans="1:72" s="2167" customFormat="1" ht="12.75">
      <c r="A43" s="1274"/>
      <c r="B43" s="1274"/>
      <c r="C43" s="2153" t="s">
        <v>3311</v>
      </c>
      <c r="D43" s="2954" t="s">
        <v>3055</v>
      </c>
      <c r="E43" s="16">
        <f t="shared" si="7"/>
        <v>0</v>
      </c>
      <c r="F43" s="32"/>
      <c r="G43" s="33">
        <f t="shared" si="8"/>
        <v>0</v>
      </c>
      <c r="H43" s="20">
        <f t="shared" si="9"/>
        <v>0</v>
      </c>
      <c r="I43" s="2213"/>
      <c r="J43" s="2213"/>
      <c r="K43" s="2213"/>
      <c r="L43" s="2213"/>
      <c r="M43" s="2213"/>
      <c r="N43" s="2213"/>
      <c r="O43" s="2213"/>
      <c r="P43" s="2213"/>
      <c r="Q43" s="2213"/>
      <c r="R43" s="2213"/>
      <c r="S43" s="2213"/>
      <c r="T43" s="2213"/>
      <c r="U43" s="2213"/>
      <c r="V43" s="2213"/>
      <c r="W43" s="2213"/>
      <c r="X43" s="2213"/>
      <c r="Y43" s="2213"/>
      <c r="Z43" s="2213"/>
      <c r="AA43" s="2213"/>
      <c r="AB43" s="2213"/>
      <c r="AC43" s="16">
        <f t="shared" si="10"/>
        <v>0</v>
      </c>
      <c r="AD43" s="2214"/>
      <c r="AE43" s="2214"/>
      <c r="AF43" s="2214"/>
      <c r="AG43" s="2214"/>
      <c r="AH43" s="2214"/>
      <c r="AI43" s="2214"/>
      <c r="AJ43" s="2214"/>
      <c r="AK43" s="2214"/>
      <c r="AL43" s="2214"/>
      <c r="AM43" s="2214"/>
      <c r="AN43" s="2214"/>
      <c r="AO43" s="2214"/>
      <c r="AP43" s="2214"/>
      <c r="AQ43" s="2214"/>
      <c r="AR43" s="2214"/>
      <c r="AS43" s="2214"/>
      <c r="AT43" s="2215"/>
      <c r="AU43" s="2216"/>
      <c r="AV43" s="11">
        <f t="shared" si="11"/>
        <v>0</v>
      </c>
      <c r="AW43" s="11">
        <f t="shared" si="12"/>
        <v>0</v>
      </c>
      <c r="AX43" s="11" t="str">
        <f t="shared" si="13"/>
        <v>1幢212室</v>
      </c>
      <c r="AY43" s="2953">
        <f t="shared" si="14"/>
        <v>0</v>
      </c>
      <c r="AZ43" s="16">
        <f t="shared" si="15"/>
        <v>0</v>
      </c>
      <c r="BA43" s="16">
        <f t="shared" si="16"/>
        <v>0</v>
      </c>
      <c r="BB43" s="16">
        <f t="shared" si="17"/>
        <v>0</v>
      </c>
      <c r="BC43" s="16">
        <f t="shared" si="18"/>
        <v>0</v>
      </c>
      <c r="BD43" s="16">
        <f t="shared" si="19"/>
        <v>0</v>
      </c>
      <c r="BE43" s="16">
        <f t="shared" si="20"/>
        <v>0</v>
      </c>
      <c r="BF43" s="16">
        <f t="shared" si="21"/>
        <v>0</v>
      </c>
      <c r="BG43" s="16">
        <f t="shared" si="22"/>
        <v>0</v>
      </c>
      <c r="BH43" s="16">
        <f t="shared" si="23"/>
        <v>0</v>
      </c>
      <c r="BI43" s="16">
        <f t="shared" si="24"/>
        <v>0</v>
      </c>
      <c r="BJ43" s="16">
        <f t="shared" si="25"/>
        <v>0</v>
      </c>
      <c r="BK43" s="16">
        <f t="shared" si="26"/>
        <v>0</v>
      </c>
      <c r="BL43" s="16">
        <f t="shared" si="27"/>
        <v>0</v>
      </c>
      <c r="BM43" s="16">
        <f t="shared" si="28"/>
        <v>0</v>
      </c>
      <c r="BN43" s="16">
        <f t="shared" si="29"/>
        <v>0</v>
      </c>
      <c r="BO43" s="16">
        <f t="shared" si="30"/>
        <v>0</v>
      </c>
      <c r="BP43" s="16">
        <f t="shared" si="31"/>
        <v>0</v>
      </c>
      <c r="BQ43" s="16">
        <f t="shared" si="32"/>
        <v>0</v>
      </c>
      <c r="BR43" s="16">
        <f t="shared" si="33"/>
        <v>0</v>
      </c>
      <c r="BS43" s="16">
        <f t="shared" si="34"/>
        <v>0</v>
      </c>
      <c r="BT43" s="22">
        <f t="shared" si="35"/>
        <v>0</v>
      </c>
    </row>
    <row r="44" spans="1:72" s="2167" customFormat="1" ht="12.75">
      <c r="A44" s="1274"/>
      <c r="B44" s="1274"/>
      <c r="C44" s="2153" t="s">
        <v>3312</v>
      </c>
      <c r="D44" s="2954" t="s">
        <v>3055</v>
      </c>
      <c r="E44" s="16">
        <f t="shared" si="7"/>
        <v>0</v>
      </c>
      <c r="F44" s="32"/>
      <c r="G44" s="33">
        <f t="shared" si="8"/>
        <v>0</v>
      </c>
      <c r="H44" s="20">
        <f t="shared" si="9"/>
        <v>0</v>
      </c>
      <c r="I44" s="2213"/>
      <c r="J44" s="2213"/>
      <c r="K44" s="2213"/>
      <c r="L44" s="2213"/>
      <c r="M44" s="2213"/>
      <c r="N44" s="2213"/>
      <c r="O44" s="2213"/>
      <c r="P44" s="2213"/>
      <c r="Q44" s="2213"/>
      <c r="R44" s="2213"/>
      <c r="S44" s="2213"/>
      <c r="T44" s="2213"/>
      <c r="U44" s="2213"/>
      <c r="V44" s="2213"/>
      <c r="W44" s="2213"/>
      <c r="X44" s="2213"/>
      <c r="Y44" s="2213"/>
      <c r="Z44" s="2213"/>
      <c r="AA44" s="2213"/>
      <c r="AB44" s="2213"/>
      <c r="AC44" s="16">
        <f t="shared" si="10"/>
        <v>0</v>
      </c>
      <c r="AD44" s="2214"/>
      <c r="AE44" s="2214"/>
      <c r="AF44" s="2214"/>
      <c r="AG44" s="2214"/>
      <c r="AH44" s="2214"/>
      <c r="AI44" s="2214"/>
      <c r="AJ44" s="2214"/>
      <c r="AK44" s="2214"/>
      <c r="AL44" s="2214"/>
      <c r="AM44" s="2214"/>
      <c r="AN44" s="2214"/>
      <c r="AO44" s="2214"/>
      <c r="AP44" s="2214"/>
      <c r="AQ44" s="2214"/>
      <c r="AR44" s="2214"/>
      <c r="AS44" s="2214"/>
      <c r="AT44" s="2215"/>
      <c r="AU44" s="2216"/>
      <c r="AV44" s="11">
        <f t="shared" si="11"/>
        <v>0</v>
      </c>
      <c r="AW44" s="11">
        <f t="shared" si="12"/>
        <v>0</v>
      </c>
      <c r="AX44" s="11" t="str">
        <f t="shared" si="13"/>
        <v>1幢213室</v>
      </c>
      <c r="AY44" s="2953">
        <f t="shared" si="14"/>
        <v>0</v>
      </c>
      <c r="AZ44" s="16">
        <f t="shared" si="15"/>
        <v>0</v>
      </c>
      <c r="BA44" s="16">
        <f t="shared" si="16"/>
        <v>0</v>
      </c>
      <c r="BB44" s="16">
        <f t="shared" si="17"/>
        <v>0</v>
      </c>
      <c r="BC44" s="16">
        <f t="shared" si="18"/>
        <v>0</v>
      </c>
      <c r="BD44" s="16">
        <f t="shared" si="19"/>
        <v>0</v>
      </c>
      <c r="BE44" s="16">
        <f t="shared" si="20"/>
        <v>0</v>
      </c>
      <c r="BF44" s="16">
        <f t="shared" si="21"/>
        <v>0</v>
      </c>
      <c r="BG44" s="16">
        <f t="shared" si="22"/>
        <v>0</v>
      </c>
      <c r="BH44" s="16">
        <f t="shared" si="23"/>
        <v>0</v>
      </c>
      <c r="BI44" s="16">
        <f t="shared" si="24"/>
        <v>0</v>
      </c>
      <c r="BJ44" s="16">
        <f t="shared" si="25"/>
        <v>0</v>
      </c>
      <c r="BK44" s="16">
        <f t="shared" si="26"/>
        <v>0</v>
      </c>
      <c r="BL44" s="16">
        <f t="shared" si="27"/>
        <v>0</v>
      </c>
      <c r="BM44" s="16">
        <f t="shared" si="28"/>
        <v>0</v>
      </c>
      <c r="BN44" s="16">
        <f t="shared" si="29"/>
        <v>0</v>
      </c>
      <c r="BO44" s="16">
        <f t="shared" si="30"/>
        <v>0</v>
      </c>
      <c r="BP44" s="16">
        <f t="shared" si="31"/>
        <v>0</v>
      </c>
      <c r="BQ44" s="16">
        <f t="shared" si="32"/>
        <v>0</v>
      </c>
      <c r="BR44" s="16">
        <f t="shared" si="33"/>
        <v>0</v>
      </c>
      <c r="BS44" s="16">
        <f t="shared" si="34"/>
        <v>0</v>
      </c>
      <c r="BT44" s="22">
        <f t="shared" si="35"/>
        <v>0</v>
      </c>
    </row>
    <row r="45" spans="1:72" s="2167" customFormat="1" ht="12.75">
      <c r="A45" s="1274"/>
      <c r="B45" s="1274"/>
      <c r="C45" s="2153" t="s">
        <v>3313</v>
      </c>
      <c r="D45" s="2954" t="s">
        <v>3055</v>
      </c>
      <c r="E45" s="16">
        <f t="shared" si="7"/>
        <v>0</v>
      </c>
      <c r="F45" s="32"/>
      <c r="G45" s="33">
        <f t="shared" si="8"/>
        <v>0</v>
      </c>
      <c r="H45" s="20">
        <f t="shared" si="9"/>
        <v>0</v>
      </c>
      <c r="I45" s="2213"/>
      <c r="J45" s="2213"/>
      <c r="K45" s="2213"/>
      <c r="L45" s="2213"/>
      <c r="M45" s="2213"/>
      <c r="N45" s="2213"/>
      <c r="O45" s="2213"/>
      <c r="P45" s="2213"/>
      <c r="Q45" s="2213"/>
      <c r="R45" s="2213"/>
      <c r="S45" s="2213"/>
      <c r="T45" s="2213"/>
      <c r="U45" s="2213"/>
      <c r="V45" s="2213"/>
      <c r="W45" s="2213"/>
      <c r="X45" s="2213"/>
      <c r="Y45" s="2213"/>
      <c r="Z45" s="2213"/>
      <c r="AA45" s="2213"/>
      <c r="AB45" s="2213"/>
      <c r="AC45" s="16">
        <f t="shared" si="10"/>
        <v>0</v>
      </c>
      <c r="AD45" s="2214"/>
      <c r="AE45" s="2214"/>
      <c r="AF45" s="2214"/>
      <c r="AG45" s="2214"/>
      <c r="AH45" s="2214"/>
      <c r="AI45" s="2214"/>
      <c r="AJ45" s="2214"/>
      <c r="AK45" s="2214"/>
      <c r="AL45" s="2214"/>
      <c r="AM45" s="2214"/>
      <c r="AN45" s="2214"/>
      <c r="AO45" s="2214"/>
      <c r="AP45" s="2214"/>
      <c r="AQ45" s="2214"/>
      <c r="AR45" s="2214"/>
      <c r="AS45" s="2214"/>
      <c r="AT45" s="2215"/>
      <c r="AU45" s="2216"/>
      <c r="AV45" s="11">
        <f t="shared" si="11"/>
        <v>0</v>
      </c>
      <c r="AW45" s="11">
        <f t="shared" si="12"/>
        <v>0</v>
      </c>
      <c r="AX45" s="11" t="str">
        <f t="shared" si="13"/>
        <v>1幢214室</v>
      </c>
      <c r="AY45" s="2953">
        <f t="shared" si="14"/>
        <v>0</v>
      </c>
      <c r="AZ45" s="16">
        <f t="shared" si="15"/>
        <v>0</v>
      </c>
      <c r="BA45" s="16">
        <f t="shared" si="16"/>
        <v>0</v>
      </c>
      <c r="BB45" s="16">
        <f t="shared" si="17"/>
        <v>0</v>
      </c>
      <c r="BC45" s="16">
        <f t="shared" si="18"/>
        <v>0</v>
      </c>
      <c r="BD45" s="16">
        <f t="shared" si="19"/>
        <v>0</v>
      </c>
      <c r="BE45" s="16">
        <f t="shared" si="20"/>
        <v>0</v>
      </c>
      <c r="BF45" s="16">
        <f t="shared" si="21"/>
        <v>0</v>
      </c>
      <c r="BG45" s="16">
        <f t="shared" si="22"/>
        <v>0</v>
      </c>
      <c r="BH45" s="16">
        <f t="shared" si="23"/>
        <v>0</v>
      </c>
      <c r="BI45" s="16">
        <f t="shared" si="24"/>
        <v>0</v>
      </c>
      <c r="BJ45" s="16">
        <f t="shared" si="25"/>
        <v>0</v>
      </c>
      <c r="BK45" s="16">
        <f t="shared" si="26"/>
        <v>0</v>
      </c>
      <c r="BL45" s="16">
        <f t="shared" si="27"/>
        <v>0</v>
      </c>
      <c r="BM45" s="16">
        <f t="shared" si="28"/>
        <v>0</v>
      </c>
      <c r="BN45" s="16">
        <f t="shared" si="29"/>
        <v>0</v>
      </c>
      <c r="BO45" s="16">
        <f t="shared" si="30"/>
        <v>0</v>
      </c>
      <c r="BP45" s="16">
        <f t="shared" si="31"/>
        <v>0</v>
      </c>
      <c r="BQ45" s="16">
        <f t="shared" si="32"/>
        <v>0</v>
      </c>
      <c r="BR45" s="16">
        <f t="shared" si="33"/>
        <v>0</v>
      </c>
      <c r="BS45" s="16">
        <f t="shared" si="34"/>
        <v>0</v>
      </c>
      <c r="BT45" s="22">
        <f t="shared" si="35"/>
        <v>0</v>
      </c>
    </row>
    <row r="46" spans="1:72" s="2167" customFormat="1" ht="12.75">
      <c r="A46" s="1274"/>
      <c r="B46" s="1274"/>
      <c r="C46" s="2153" t="s">
        <v>3314</v>
      </c>
      <c r="D46" s="2954" t="s">
        <v>3055</v>
      </c>
      <c r="E46" s="16">
        <f t="shared" si="7"/>
        <v>0</v>
      </c>
      <c r="F46" s="32"/>
      <c r="G46" s="33">
        <f t="shared" si="8"/>
        <v>0</v>
      </c>
      <c r="H46" s="20">
        <f t="shared" si="9"/>
        <v>0</v>
      </c>
      <c r="I46" s="2213"/>
      <c r="J46" s="2213"/>
      <c r="K46" s="2213"/>
      <c r="L46" s="2213"/>
      <c r="M46" s="2213"/>
      <c r="N46" s="2213"/>
      <c r="O46" s="2213"/>
      <c r="P46" s="2213"/>
      <c r="Q46" s="2213"/>
      <c r="R46" s="2213"/>
      <c r="S46" s="2213"/>
      <c r="T46" s="2213"/>
      <c r="U46" s="2213"/>
      <c r="V46" s="2213"/>
      <c r="W46" s="2213"/>
      <c r="X46" s="2213"/>
      <c r="Y46" s="2213"/>
      <c r="Z46" s="2213"/>
      <c r="AA46" s="2213"/>
      <c r="AB46" s="2213"/>
      <c r="AC46" s="16">
        <f t="shared" si="10"/>
        <v>0</v>
      </c>
      <c r="AD46" s="2214"/>
      <c r="AE46" s="2214"/>
      <c r="AF46" s="2214"/>
      <c r="AG46" s="2214"/>
      <c r="AH46" s="2214"/>
      <c r="AI46" s="2214"/>
      <c r="AJ46" s="2214"/>
      <c r="AK46" s="2214"/>
      <c r="AL46" s="2214"/>
      <c r="AM46" s="2214"/>
      <c r="AN46" s="2214"/>
      <c r="AO46" s="2214"/>
      <c r="AP46" s="2214"/>
      <c r="AQ46" s="2214"/>
      <c r="AR46" s="2214"/>
      <c r="AS46" s="2214"/>
      <c r="AT46" s="2215"/>
      <c r="AU46" s="2216"/>
      <c r="AV46" s="11">
        <f t="shared" si="11"/>
        <v>0</v>
      </c>
      <c r="AW46" s="11">
        <f t="shared" si="12"/>
        <v>0</v>
      </c>
      <c r="AX46" s="11" t="str">
        <f t="shared" si="13"/>
        <v>1幢215室</v>
      </c>
      <c r="AY46" s="2953">
        <f t="shared" si="14"/>
        <v>0</v>
      </c>
      <c r="AZ46" s="16">
        <f t="shared" si="15"/>
        <v>0</v>
      </c>
      <c r="BA46" s="16">
        <f t="shared" si="16"/>
        <v>0</v>
      </c>
      <c r="BB46" s="16">
        <f t="shared" si="17"/>
        <v>0</v>
      </c>
      <c r="BC46" s="16">
        <f t="shared" si="18"/>
        <v>0</v>
      </c>
      <c r="BD46" s="16">
        <f t="shared" si="19"/>
        <v>0</v>
      </c>
      <c r="BE46" s="16">
        <f t="shared" si="20"/>
        <v>0</v>
      </c>
      <c r="BF46" s="16">
        <f t="shared" si="21"/>
        <v>0</v>
      </c>
      <c r="BG46" s="16">
        <f t="shared" si="22"/>
        <v>0</v>
      </c>
      <c r="BH46" s="16">
        <f t="shared" si="23"/>
        <v>0</v>
      </c>
      <c r="BI46" s="16">
        <f t="shared" si="24"/>
        <v>0</v>
      </c>
      <c r="BJ46" s="16">
        <f t="shared" si="25"/>
        <v>0</v>
      </c>
      <c r="BK46" s="16">
        <f t="shared" si="26"/>
        <v>0</v>
      </c>
      <c r="BL46" s="16">
        <f t="shared" si="27"/>
        <v>0</v>
      </c>
      <c r="BM46" s="16">
        <f t="shared" si="28"/>
        <v>0</v>
      </c>
      <c r="BN46" s="16">
        <f t="shared" si="29"/>
        <v>0</v>
      </c>
      <c r="BO46" s="16">
        <f t="shared" si="30"/>
        <v>0</v>
      </c>
      <c r="BP46" s="16">
        <f t="shared" si="31"/>
        <v>0</v>
      </c>
      <c r="BQ46" s="16">
        <f t="shared" si="32"/>
        <v>0</v>
      </c>
      <c r="BR46" s="16">
        <f t="shared" si="33"/>
        <v>0</v>
      </c>
      <c r="BS46" s="16">
        <f t="shared" si="34"/>
        <v>0</v>
      </c>
      <c r="BT46" s="22">
        <f t="shared" si="35"/>
        <v>0</v>
      </c>
    </row>
    <row r="47" spans="1:72" s="2167" customFormat="1" ht="12.75">
      <c r="A47" s="1274"/>
      <c r="B47" s="1274"/>
      <c r="C47" s="2153" t="s">
        <v>3315</v>
      </c>
      <c r="D47" s="2954" t="s">
        <v>3055</v>
      </c>
      <c r="E47" s="16">
        <f t="shared" si="7"/>
        <v>0</v>
      </c>
      <c r="F47" s="32"/>
      <c r="G47" s="33">
        <f t="shared" si="8"/>
        <v>0</v>
      </c>
      <c r="H47" s="20">
        <f t="shared" si="9"/>
        <v>0</v>
      </c>
      <c r="I47" s="2213"/>
      <c r="J47" s="2213"/>
      <c r="K47" s="2213"/>
      <c r="L47" s="2213"/>
      <c r="M47" s="2213"/>
      <c r="N47" s="2213"/>
      <c r="O47" s="2213"/>
      <c r="P47" s="2213"/>
      <c r="Q47" s="2213"/>
      <c r="R47" s="2213"/>
      <c r="S47" s="2213"/>
      <c r="T47" s="2213"/>
      <c r="U47" s="2213"/>
      <c r="V47" s="2213"/>
      <c r="W47" s="2213"/>
      <c r="X47" s="2213"/>
      <c r="Y47" s="2213"/>
      <c r="Z47" s="2213"/>
      <c r="AA47" s="2213"/>
      <c r="AB47" s="2213"/>
      <c r="AC47" s="16">
        <f t="shared" si="10"/>
        <v>0</v>
      </c>
      <c r="AD47" s="2214"/>
      <c r="AE47" s="2214"/>
      <c r="AF47" s="2214"/>
      <c r="AG47" s="2214"/>
      <c r="AH47" s="2214"/>
      <c r="AI47" s="2214"/>
      <c r="AJ47" s="2214"/>
      <c r="AK47" s="2214"/>
      <c r="AL47" s="2214"/>
      <c r="AM47" s="2214"/>
      <c r="AN47" s="2214"/>
      <c r="AO47" s="2214"/>
      <c r="AP47" s="2214"/>
      <c r="AQ47" s="2214"/>
      <c r="AR47" s="2214"/>
      <c r="AS47" s="2214"/>
      <c r="AT47" s="2215"/>
      <c r="AU47" s="2216"/>
      <c r="AV47" s="11">
        <f t="shared" si="11"/>
        <v>0</v>
      </c>
      <c r="AW47" s="11">
        <f t="shared" si="12"/>
        <v>0</v>
      </c>
      <c r="AX47" s="11" t="str">
        <f t="shared" si="13"/>
        <v>1幢216室</v>
      </c>
      <c r="AY47" s="2953">
        <f t="shared" si="14"/>
        <v>0</v>
      </c>
      <c r="AZ47" s="16">
        <f t="shared" si="15"/>
        <v>0</v>
      </c>
      <c r="BA47" s="16">
        <f t="shared" si="16"/>
        <v>0</v>
      </c>
      <c r="BB47" s="16">
        <f t="shared" si="17"/>
        <v>0</v>
      </c>
      <c r="BC47" s="16">
        <f t="shared" si="18"/>
        <v>0</v>
      </c>
      <c r="BD47" s="16">
        <f t="shared" si="19"/>
        <v>0</v>
      </c>
      <c r="BE47" s="16">
        <f t="shared" si="20"/>
        <v>0</v>
      </c>
      <c r="BF47" s="16">
        <f t="shared" si="21"/>
        <v>0</v>
      </c>
      <c r="BG47" s="16">
        <f t="shared" si="22"/>
        <v>0</v>
      </c>
      <c r="BH47" s="16">
        <f t="shared" si="23"/>
        <v>0</v>
      </c>
      <c r="BI47" s="16">
        <f t="shared" si="24"/>
        <v>0</v>
      </c>
      <c r="BJ47" s="16">
        <f t="shared" si="25"/>
        <v>0</v>
      </c>
      <c r="BK47" s="16">
        <f t="shared" si="26"/>
        <v>0</v>
      </c>
      <c r="BL47" s="16">
        <f t="shared" si="27"/>
        <v>0</v>
      </c>
      <c r="BM47" s="16">
        <f t="shared" si="28"/>
        <v>0</v>
      </c>
      <c r="BN47" s="16">
        <f t="shared" si="29"/>
        <v>0</v>
      </c>
      <c r="BO47" s="16">
        <f t="shared" si="30"/>
        <v>0</v>
      </c>
      <c r="BP47" s="16">
        <f t="shared" si="31"/>
        <v>0</v>
      </c>
      <c r="BQ47" s="16">
        <f t="shared" si="32"/>
        <v>0</v>
      </c>
      <c r="BR47" s="16">
        <f t="shared" si="33"/>
        <v>0</v>
      </c>
      <c r="BS47" s="16">
        <f t="shared" si="34"/>
        <v>0</v>
      </c>
      <c r="BT47" s="22">
        <f t="shared" si="35"/>
        <v>0</v>
      </c>
    </row>
    <row r="48" spans="1:72" s="2167" customFormat="1" ht="12.75">
      <c r="A48" s="1274"/>
      <c r="B48" s="1274"/>
      <c r="C48" s="2153" t="s">
        <v>3316</v>
      </c>
      <c r="D48" s="2954" t="s">
        <v>3055</v>
      </c>
      <c r="E48" s="16">
        <f t="shared" si="7"/>
        <v>0</v>
      </c>
      <c r="F48" s="32"/>
      <c r="G48" s="33">
        <f t="shared" si="8"/>
        <v>0</v>
      </c>
      <c r="H48" s="20">
        <f t="shared" si="9"/>
        <v>0</v>
      </c>
      <c r="I48" s="2213"/>
      <c r="J48" s="2213"/>
      <c r="K48" s="2213"/>
      <c r="L48" s="2213"/>
      <c r="M48" s="2213"/>
      <c r="N48" s="2213"/>
      <c r="O48" s="2213"/>
      <c r="P48" s="2213"/>
      <c r="Q48" s="2213"/>
      <c r="R48" s="2213"/>
      <c r="S48" s="2213"/>
      <c r="T48" s="2213"/>
      <c r="U48" s="2213"/>
      <c r="V48" s="2213"/>
      <c r="W48" s="2213"/>
      <c r="X48" s="2213"/>
      <c r="Y48" s="2213"/>
      <c r="Z48" s="2213"/>
      <c r="AA48" s="2213"/>
      <c r="AB48" s="2213"/>
      <c r="AC48" s="16">
        <f t="shared" si="10"/>
        <v>0</v>
      </c>
      <c r="AD48" s="2214"/>
      <c r="AE48" s="2214"/>
      <c r="AF48" s="2214"/>
      <c r="AG48" s="2214"/>
      <c r="AH48" s="2214"/>
      <c r="AI48" s="2214"/>
      <c r="AJ48" s="2214"/>
      <c r="AK48" s="2214"/>
      <c r="AL48" s="2214"/>
      <c r="AM48" s="2214"/>
      <c r="AN48" s="2214"/>
      <c r="AO48" s="2214"/>
      <c r="AP48" s="2214"/>
      <c r="AQ48" s="2214"/>
      <c r="AR48" s="2214"/>
      <c r="AS48" s="2214"/>
      <c r="AT48" s="2215"/>
      <c r="AU48" s="2216"/>
      <c r="AV48" s="11">
        <f t="shared" si="11"/>
        <v>0</v>
      </c>
      <c r="AW48" s="11">
        <f t="shared" si="12"/>
        <v>0</v>
      </c>
      <c r="AX48" s="11" t="str">
        <f t="shared" si="13"/>
        <v>1幢217室</v>
      </c>
      <c r="AY48" s="2953">
        <f t="shared" si="14"/>
        <v>0</v>
      </c>
      <c r="AZ48" s="16">
        <f t="shared" si="15"/>
        <v>0</v>
      </c>
      <c r="BA48" s="16">
        <f t="shared" si="16"/>
        <v>0</v>
      </c>
      <c r="BB48" s="16">
        <f t="shared" si="17"/>
        <v>0</v>
      </c>
      <c r="BC48" s="16">
        <f t="shared" si="18"/>
        <v>0</v>
      </c>
      <c r="BD48" s="16">
        <f t="shared" si="19"/>
        <v>0</v>
      </c>
      <c r="BE48" s="16">
        <f t="shared" si="20"/>
        <v>0</v>
      </c>
      <c r="BF48" s="16">
        <f t="shared" si="21"/>
        <v>0</v>
      </c>
      <c r="BG48" s="16">
        <f t="shared" si="22"/>
        <v>0</v>
      </c>
      <c r="BH48" s="16">
        <f t="shared" si="23"/>
        <v>0</v>
      </c>
      <c r="BI48" s="16">
        <f t="shared" si="24"/>
        <v>0</v>
      </c>
      <c r="BJ48" s="16">
        <f t="shared" si="25"/>
        <v>0</v>
      </c>
      <c r="BK48" s="16">
        <f t="shared" si="26"/>
        <v>0</v>
      </c>
      <c r="BL48" s="16">
        <f t="shared" si="27"/>
        <v>0</v>
      </c>
      <c r="BM48" s="16">
        <f t="shared" si="28"/>
        <v>0</v>
      </c>
      <c r="BN48" s="16">
        <f t="shared" si="29"/>
        <v>0</v>
      </c>
      <c r="BO48" s="16">
        <f t="shared" si="30"/>
        <v>0</v>
      </c>
      <c r="BP48" s="16">
        <f t="shared" si="31"/>
        <v>0</v>
      </c>
      <c r="BQ48" s="16">
        <f t="shared" si="32"/>
        <v>0</v>
      </c>
      <c r="BR48" s="16">
        <f t="shared" si="33"/>
        <v>0</v>
      </c>
      <c r="BS48" s="16">
        <f t="shared" si="34"/>
        <v>0</v>
      </c>
      <c r="BT48" s="22">
        <f t="shared" si="35"/>
        <v>0</v>
      </c>
    </row>
    <row r="49" spans="1:72" s="2167" customFormat="1" ht="12.75">
      <c r="A49" s="1274"/>
      <c r="B49" s="1274"/>
      <c r="C49" s="2153" t="s">
        <v>3317</v>
      </c>
      <c r="D49" s="2954" t="s">
        <v>3055</v>
      </c>
      <c r="E49" s="16">
        <f t="shared" si="7"/>
        <v>0</v>
      </c>
      <c r="F49" s="32"/>
      <c r="G49" s="33">
        <f t="shared" si="8"/>
        <v>0</v>
      </c>
      <c r="H49" s="20">
        <f t="shared" si="9"/>
        <v>0</v>
      </c>
      <c r="I49" s="2213"/>
      <c r="J49" s="2213"/>
      <c r="K49" s="2213"/>
      <c r="L49" s="2213"/>
      <c r="M49" s="2213"/>
      <c r="N49" s="2213"/>
      <c r="O49" s="2213"/>
      <c r="P49" s="2213"/>
      <c r="Q49" s="2213"/>
      <c r="R49" s="2213"/>
      <c r="S49" s="2213"/>
      <c r="T49" s="2213"/>
      <c r="U49" s="2213"/>
      <c r="V49" s="2213"/>
      <c r="W49" s="2213"/>
      <c r="X49" s="2213"/>
      <c r="Y49" s="2213"/>
      <c r="Z49" s="2213"/>
      <c r="AA49" s="2213"/>
      <c r="AB49" s="2213"/>
      <c r="AC49" s="16">
        <f t="shared" si="10"/>
        <v>0</v>
      </c>
      <c r="AD49" s="2214"/>
      <c r="AE49" s="2214"/>
      <c r="AF49" s="2214"/>
      <c r="AG49" s="2214"/>
      <c r="AH49" s="2214"/>
      <c r="AI49" s="2214"/>
      <c r="AJ49" s="2214"/>
      <c r="AK49" s="2214"/>
      <c r="AL49" s="2214"/>
      <c r="AM49" s="2214"/>
      <c r="AN49" s="2214"/>
      <c r="AO49" s="2214"/>
      <c r="AP49" s="2214"/>
      <c r="AQ49" s="2214"/>
      <c r="AR49" s="2214"/>
      <c r="AS49" s="2214"/>
      <c r="AT49" s="2215"/>
      <c r="AU49" s="2216"/>
      <c r="AV49" s="11">
        <f t="shared" si="11"/>
        <v>0</v>
      </c>
      <c r="AW49" s="11">
        <f t="shared" si="12"/>
        <v>0</v>
      </c>
      <c r="AX49" s="11" t="str">
        <f t="shared" si="13"/>
        <v>1幢218室</v>
      </c>
      <c r="AY49" s="2953">
        <f t="shared" si="14"/>
        <v>0</v>
      </c>
      <c r="AZ49" s="16">
        <f t="shared" si="15"/>
        <v>0</v>
      </c>
      <c r="BA49" s="16">
        <f t="shared" si="16"/>
        <v>0</v>
      </c>
      <c r="BB49" s="16">
        <f t="shared" si="17"/>
        <v>0</v>
      </c>
      <c r="BC49" s="16">
        <f t="shared" si="18"/>
        <v>0</v>
      </c>
      <c r="BD49" s="16">
        <f t="shared" si="19"/>
        <v>0</v>
      </c>
      <c r="BE49" s="16">
        <f t="shared" si="20"/>
        <v>0</v>
      </c>
      <c r="BF49" s="16">
        <f t="shared" si="21"/>
        <v>0</v>
      </c>
      <c r="BG49" s="16">
        <f t="shared" si="22"/>
        <v>0</v>
      </c>
      <c r="BH49" s="16">
        <f t="shared" si="23"/>
        <v>0</v>
      </c>
      <c r="BI49" s="16">
        <f t="shared" si="24"/>
        <v>0</v>
      </c>
      <c r="BJ49" s="16">
        <f t="shared" si="25"/>
        <v>0</v>
      </c>
      <c r="BK49" s="16">
        <f t="shared" si="26"/>
        <v>0</v>
      </c>
      <c r="BL49" s="16">
        <f t="shared" si="27"/>
        <v>0</v>
      </c>
      <c r="BM49" s="16">
        <f t="shared" si="28"/>
        <v>0</v>
      </c>
      <c r="BN49" s="16">
        <f t="shared" si="29"/>
        <v>0</v>
      </c>
      <c r="BO49" s="16">
        <f t="shared" si="30"/>
        <v>0</v>
      </c>
      <c r="BP49" s="16">
        <f t="shared" si="31"/>
        <v>0</v>
      </c>
      <c r="BQ49" s="16">
        <f t="shared" si="32"/>
        <v>0</v>
      </c>
      <c r="BR49" s="16">
        <f t="shared" si="33"/>
        <v>0</v>
      </c>
      <c r="BS49" s="16">
        <f t="shared" si="34"/>
        <v>0</v>
      </c>
      <c r="BT49" s="22">
        <f t="shared" si="35"/>
        <v>0</v>
      </c>
    </row>
    <row r="50" spans="1:72" s="2167" customFormat="1" ht="12.75">
      <c r="A50" s="1274"/>
      <c r="B50" s="1274"/>
      <c r="C50" s="2153" t="s">
        <v>3318</v>
      </c>
      <c r="D50" s="2954" t="s">
        <v>3055</v>
      </c>
      <c r="E50" s="16">
        <f t="shared" si="7"/>
        <v>0</v>
      </c>
      <c r="F50" s="32"/>
      <c r="G50" s="33">
        <f t="shared" si="8"/>
        <v>0</v>
      </c>
      <c r="H50" s="20">
        <f t="shared" si="9"/>
        <v>0</v>
      </c>
      <c r="I50" s="2213"/>
      <c r="J50" s="2213"/>
      <c r="K50" s="2213"/>
      <c r="L50" s="2213"/>
      <c r="M50" s="2213"/>
      <c r="N50" s="2213"/>
      <c r="O50" s="2213"/>
      <c r="P50" s="2213"/>
      <c r="Q50" s="2213"/>
      <c r="R50" s="2213"/>
      <c r="S50" s="2213"/>
      <c r="T50" s="2213"/>
      <c r="U50" s="2213"/>
      <c r="V50" s="2213"/>
      <c r="W50" s="2213"/>
      <c r="X50" s="2213"/>
      <c r="Y50" s="2213"/>
      <c r="Z50" s="2213"/>
      <c r="AA50" s="2213"/>
      <c r="AB50" s="2213"/>
      <c r="AC50" s="16">
        <f t="shared" si="10"/>
        <v>0</v>
      </c>
      <c r="AD50" s="2214"/>
      <c r="AE50" s="2214"/>
      <c r="AF50" s="2214"/>
      <c r="AG50" s="2214"/>
      <c r="AH50" s="2214"/>
      <c r="AI50" s="2214"/>
      <c r="AJ50" s="2214"/>
      <c r="AK50" s="2214"/>
      <c r="AL50" s="2214"/>
      <c r="AM50" s="2214"/>
      <c r="AN50" s="2214"/>
      <c r="AO50" s="2214"/>
      <c r="AP50" s="2214"/>
      <c r="AQ50" s="2214"/>
      <c r="AR50" s="2214"/>
      <c r="AS50" s="2214"/>
      <c r="AT50" s="2215"/>
      <c r="AU50" s="2216"/>
      <c r="AV50" s="11">
        <f t="shared" si="11"/>
        <v>0</v>
      </c>
      <c r="AW50" s="11">
        <f t="shared" si="12"/>
        <v>0</v>
      </c>
      <c r="AX50" s="11" t="str">
        <f t="shared" si="13"/>
        <v>1幢219室</v>
      </c>
      <c r="AY50" s="2953">
        <f t="shared" si="14"/>
        <v>0</v>
      </c>
      <c r="AZ50" s="16">
        <f t="shared" si="15"/>
        <v>0</v>
      </c>
      <c r="BA50" s="16">
        <f t="shared" si="16"/>
        <v>0</v>
      </c>
      <c r="BB50" s="16">
        <f t="shared" si="17"/>
        <v>0</v>
      </c>
      <c r="BC50" s="16">
        <f t="shared" si="18"/>
        <v>0</v>
      </c>
      <c r="BD50" s="16">
        <f t="shared" si="19"/>
        <v>0</v>
      </c>
      <c r="BE50" s="16">
        <f t="shared" si="20"/>
        <v>0</v>
      </c>
      <c r="BF50" s="16">
        <f t="shared" si="21"/>
        <v>0</v>
      </c>
      <c r="BG50" s="16">
        <f t="shared" si="22"/>
        <v>0</v>
      </c>
      <c r="BH50" s="16">
        <f t="shared" si="23"/>
        <v>0</v>
      </c>
      <c r="BI50" s="16">
        <f t="shared" si="24"/>
        <v>0</v>
      </c>
      <c r="BJ50" s="16">
        <f t="shared" si="25"/>
        <v>0</v>
      </c>
      <c r="BK50" s="16">
        <f t="shared" si="26"/>
        <v>0</v>
      </c>
      <c r="BL50" s="16">
        <f t="shared" si="27"/>
        <v>0</v>
      </c>
      <c r="BM50" s="16">
        <f t="shared" si="28"/>
        <v>0</v>
      </c>
      <c r="BN50" s="16">
        <f t="shared" si="29"/>
        <v>0</v>
      </c>
      <c r="BO50" s="16">
        <f t="shared" si="30"/>
        <v>0</v>
      </c>
      <c r="BP50" s="16">
        <f t="shared" si="31"/>
        <v>0</v>
      </c>
      <c r="BQ50" s="16">
        <f t="shared" si="32"/>
        <v>0</v>
      </c>
      <c r="BR50" s="16">
        <f t="shared" si="33"/>
        <v>0</v>
      </c>
      <c r="BS50" s="16">
        <f t="shared" si="34"/>
        <v>0</v>
      </c>
      <c r="BT50" s="22">
        <f t="shared" si="35"/>
        <v>0</v>
      </c>
    </row>
    <row r="51" spans="1:72" s="2167" customFormat="1" ht="12.75">
      <c r="A51" s="1274"/>
      <c r="B51" s="1274"/>
      <c r="C51" s="2153" t="s">
        <v>3319</v>
      </c>
      <c r="D51" s="2954" t="s">
        <v>3055</v>
      </c>
      <c r="E51" s="16">
        <f t="shared" si="7"/>
        <v>0</v>
      </c>
      <c r="F51" s="32"/>
      <c r="G51" s="33">
        <f t="shared" si="8"/>
        <v>0</v>
      </c>
      <c r="H51" s="20">
        <f t="shared" si="9"/>
        <v>0</v>
      </c>
      <c r="I51" s="2213"/>
      <c r="J51" s="2213"/>
      <c r="K51" s="2213"/>
      <c r="L51" s="2213"/>
      <c r="M51" s="2213"/>
      <c r="N51" s="2213"/>
      <c r="O51" s="2213"/>
      <c r="P51" s="2213"/>
      <c r="Q51" s="2213"/>
      <c r="R51" s="2213"/>
      <c r="S51" s="2213"/>
      <c r="T51" s="2213"/>
      <c r="U51" s="2213"/>
      <c r="V51" s="2213"/>
      <c r="W51" s="2213"/>
      <c r="X51" s="2213"/>
      <c r="Y51" s="2213"/>
      <c r="Z51" s="2213"/>
      <c r="AA51" s="2213"/>
      <c r="AB51" s="2213"/>
      <c r="AC51" s="16">
        <f t="shared" si="10"/>
        <v>0</v>
      </c>
      <c r="AD51" s="2214"/>
      <c r="AE51" s="2214"/>
      <c r="AF51" s="2214"/>
      <c r="AG51" s="2214"/>
      <c r="AH51" s="2214"/>
      <c r="AI51" s="2214"/>
      <c r="AJ51" s="2214"/>
      <c r="AK51" s="2214"/>
      <c r="AL51" s="2214"/>
      <c r="AM51" s="2214"/>
      <c r="AN51" s="2214"/>
      <c r="AO51" s="2214"/>
      <c r="AP51" s="2214"/>
      <c r="AQ51" s="2214"/>
      <c r="AR51" s="2214"/>
      <c r="AS51" s="2214"/>
      <c r="AT51" s="2215"/>
      <c r="AU51" s="2216"/>
      <c r="AV51" s="11">
        <f t="shared" si="11"/>
        <v>0</v>
      </c>
      <c r="AW51" s="11">
        <f t="shared" si="12"/>
        <v>0</v>
      </c>
      <c r="AX51" s="11" t="str">
        <f t="shared" si="13"/>
        <v>1幢220室</v>
      </c>
      <c r="AY51" s="2953">
        <f t="shared" si="14"/>
        <v>0</v>
      </c>
      <c r="AZ51" s="16">
        <f t="shared" si="15"/>
        <v>0</v>
      </c>
      <c r="BA51" s="16">
        <f t="shared" si="16"/>
        <v>0</v>
      </c>
      <c r="BB51" s="16">
        <f t="shared" si="17"/>
        <v>0</v>
      </c>
      <c r="BC51" s="16">
        <f t="shared" si="18"/>
        <v>0</v>
      </c>
      <c r="BD51" s="16">
        <f t="shared" si="19"/>
        <v>0</v>
      </c>
      <c r="BE51" s="16">
        <f t="shared" si="20"/>
        <v>0</v>
      </c>
      <c r="BF51" s="16">
        <f t="shared" si="21"/>
        <v>0</v>
      </c>
      <c r="BG51" s="16">
        <f t="shared" si="22"/>
        <v>0</v>
      </c>
      <c r="BH51" s="16">
        <f t="shared" si="23"/>
        <v>0</v>
      </c>
      <c r="BI51" s="16">
        <f t="shared" si="24"/>
        <v>0</v>
      </c>
      <c r="BJ51" s="16">
        <f t="shared" si="25"/>
        <v>0</v>
      </c>
      <c r="BK51" s="16">
        <f t="shared" si="26"/>
        <v>0</v>
      </c>
      <c r="BL51" s="16">
        <f t="shared" si="27"/>
        <v>0</v>
      </c>
      <c r="BM51" s="16">
        <f t="shared" si="28"/>
        <v>0</v>
      </c>
      <c r="BN51" s="16">
        <f t="shared" si="29"/>
        <v>0</v>
      </c>
      <c r="BO51" s="16">
        <f t="shared" si="30"/>
        <v>0</v>
      </c>
      <c r="BP51" s="16">
        <f t="shared" si="31"/>
        <v>0</v>
      </c>
      <c r="BQ51" s="16">
        <f t="shared" si="32"/>
        <v>0</v>
      </c>
      <c r="BR51" s="16">
        <f t="shared" si="33"/>
        <v>0</v>
      </c>
      <c r="BS51" s="16">
        <f t="shared" si="34"/>
        <v>0</v>
      </c>
      <c r="BT51" s="22">
        <f t="shared" si="35"/>
        <v>0</v>
      </c>
    </row>
    <row r="52" spans="1:72" s="2167" customFormat="1" ht="12.75">
      <c r="A52" s="1274"/>
      <c r="B52" s="1274"/>
      <c r="C52" s="2153" t="s">
        <v>3320</v>
      </c>
      <c r="D52" s="2954" t="s">
        <v>3055</v>
      </c>
      <c r="E52" s="16">
        <f t="shared" si="7"/>
        <v>0</v>
      </c>
      <c r="F52" s="32"/>
      <c r="G52" s="33">
        <f t="shared" si="8"/>
        <v>0</v>
      </c>
      <c r="H52" s="20">
        <f t="shared" si="9"/>
        <v>0</v>
      </c>
      <c r="I52" s="2213"/>
      <c r="J52" s="2213"/>
      <c r="K52" s="2213"/>
      <c r="L52" s="2213"/>
      <c r="M52" s="2213"/>
      <c r="N52" s="2213"/>
      <c r="O52" s="2213"/>
      <c r="P52" s="2213"/>
      <c r="Q52" s="2213"/>
      <c r="R52" s="2213"/>
      <c r="S52" s="2213"/>
      <c r="T52" s="2213"/>
      <c r="U52" s="2213"/>
      <c r="V52" s="2213"/>
      <c r="W52" s="2213"/>
      <c r="X52" s="2213"/>
      <c r="Y52" s="2213"/>
      <c r="Z52" s="2213"/>
      <c r="AA52" s="2213"/>
      <c r="AB52" s="2213"/>
      <c r="AC52" s="16">
        <f t="shared" si="10"/>
        <v>0</v>
      </c>
      <c r="AD52" s="2214"/>
      <c r="AE52" s="2214"/>
      <c r="AF52" s="2214"/>
      <c r="AG52" s="2214"/>
      <c r="AH52" s="2214"/>
      <c r="AI52" s="2214"/>
      <c r="AJ52" s="2214"/>
      <c r="AK52" s="2214"/>
      <c r="AL52" s="2214"/>
      <c r="AM52" s="2214"/>
      <c r="AN52" s="2214"/>
      <c r="AO52" s="2214"/>
      <c r="AP52" s="2214"/>
      <c r="AQ52" s="2214"/>
      <c r="AR52" s="2214"/>
      <c r="AS52" s="2214"/>
      <c r="AT52" s="2215"/>
      <c r="AU52" s="2216"/>
      <c r="AV52" s="11">
        <f t="shared" si="11"/>
        <v>0</v>
      </c>
      <c r="AW52" s="11">
        <f t="shared" si="12"/>
        <v>0</v>
      </c>
      <c r="AX52" s="11" t="str">
        <f t="shared" si="13"/>
        <v>1幢221室</v>
      </c>
      <c r="AY52" s="2953">
        <f t="shared" si="14"/>
        <v>0</v>
      </c>
      <c r="AZ52" s="16">
        <f t="shared" si="15"/>
        <v>0</v>
      </c>
      <c r="BA52" s="16">
        <f t="shared" si="16"/>
        <v>0</v>
      </c>
      <c r="BB52" s="16">
        <f t="shared" si="17"/>
        <v>0</v>
      </c>
      <c r="BC52" s="16">
        <f t="shared" si="18"/>
        <v>0</v>
      </c>
      <c r="BD52" s="16">
        <f t="shared" si="19"/>
        <v>0</v>
      </c>
      <c r="BE52" s="16">
        <f t="shared" si="20"/>
        <v>0</v>
      </c>
      <c r="BF52" s="16">
        <f t="shared" si="21"/>
        <v>0</v>
      </c>
      <c r="BG52" s="16">
        <f t="shared" si="22"/>
        <v>0</v>
      </c>
      <c r="BH52" s="16">
        <f t="shared" si="23"/>
        <v>0</v>
      </c>
      <c r="BI52" s="16">
        <f t="shared" si="24"/>
        <v>0</v>
      </c>
      <c r="BJ52" s="16">
        <f t="shared" si="25"/>
        <v>0</v>
      </c>
      <c r="BK52" s="16">
        <f t="shared" si="26"/>
        <v>0</v>
      </c>
      <c r="BL52" s="16">
        <f t="shared" si="27"/>
        <v>0</v>
      </c>
      <c r="BM52" s="16">
        <f t="shared" si="28"/>
        <v>0</v>
      </c>
      <c r="BN52" s="16">
        <f t="shared" si="29"/>
        <v>0</v>
      </c>
      <c r="BO52" s="16">
        <f t="shared" si="30"/>
        <v>0</v>
      </c>
      <c r="BP52" s="16">
        <f t="shared" si="31"/>
        <v>0</v>
      </c>
      <c r="BQ52" s="16">
        <f t="shared" si="32"/>
        <v>0</v>
      </c>
      <c r="BR52" s="16">
        <f t="shared" si="33"/>
        <v>0</v>
      </c>
      <c r="BS52" s="16">
        <f t="shared" si="34"/>
        <v>0</v>
      </c>
      <c r="BT52" s="22">
        <f t="shared" si="35"/>
        <v>0</v>
      </c>
    </row>
    <row r="53" spans="1:72" s="2167" customFormat="1" ht="12.75">
      <c r="A53" s="1274"/>
      <c r="B53" s="1274"/>
      <c r="C53" s="2153" t="s">
        <v>3321</v>
      </c>
      <c r="D53" s="2954" t="s">
        <v>3055</v>
      </c>
      <c r="E53" s="16">
        <f t="shared" si="7"/>
        <v>0</v>
      </c>
      <c r="F53" s="32"/>
      <c r="G53" s="33">
        <f t="shared" si="8"/>
        <v>0</v>
      </c>
      <c r="H53" s="20">
        <f t="shared" si="9"/>
        <v>0</v>
      </c>
      <c r="I53" s="2213"/>
      <c r="J53" s="2213"/>
      <c r="K53" s="2213"/>
      <c r="L53" s="2213"/>
      <c r="M53" s="2213"/>
      <c r="N53" s="2213"/>
      <c r="O53" s="2213"/>
      <c r="P53" s="2213"/>
      <c r="Q53" s="2213"/>
      <c r="R53" s="2213"/>
      <c r="S53" s="2213"/>
      <c r="T53" s="2213"/>
      <c r="U53" s="2213"/>
      <c r="V53" s="2213"/>
      <c r="W53" s="2213"/>
      <c r="X53" s="2213"/>
      <c r="Y53" s="2213"/>
      <c r="Z53" s="2213"/>
      <c r="AA53" s="2213"/>
      <c r="AB53" s="2213"/>
      <c r="AC53" s="16">
        <f t="shared" si="10"/>
        <v>0</v>
      </c>
      <c r="AD53" s="2214"/>
      <c r="AE53" s="2214"/>
      <c r="AF53" s="2214"/>
      <c r="AG53" s="2214"/>
      <c r="AH53" s="2214"/>
      <c r="AI53" s="2214"/>
      <c r="AJ53" s="2214"/>
      <c r="AK53" s="2214"/>
      <c r="AL53" s="2214"/>
      <c r="AM53" s="2214"/>
      <c r="AN53" s="2214"/>
      <c r="AO53" s="2214"/>
      <c r="AP53" s="2214"/>
      <c r="AQ53" s="2214"/>
      <c r="AR53" s="2214"/>
      <c r="AS53" s="2214"/>
      <c r="AT53" s="2215"/>
      <c r="AU53" s="2216"/>
      <c r="AV53" s="11">
        <f t="shared" si="11"/>
        <v>0</v>
      </c>
      <c r="AW53" s="11">
        <f t="shared" si="12"/>
        <v>0</v>
      </c>
      <c r="AX53" s="11" t="str">
        <f t="shared" si="13"/>
        <v>1幢222室</v>
      </c>
      <c r="AY53" s="2953">
        <f t="shared" si="14"/>
        <v>0</v>
      </c>
      <c r="AZ53" s="16">
        <f t="shared" si="15"/>
        <v>0</v>
      </c>
      <c r="BA53" s="16">
        <f t="shared" si="16"/>
        <v>0</v>
      </c>
      <c r="BB53" s="16">
        <f t="shared" si="17"/>
        <v>0</v>
      </c>
      <c r="BC53" s="16">
        <f t="shared" si="18"/>
        <v>0</v>
      </c>
      <c r="BD53" s="16">
        <f t="shared" si="19"/>
        <v>0</v>
      </c>
      <c r="BE53" s="16">
        <f t="shared" si="20"/>
        <v>0</v>
      </c>
      <c r="BF53" s="16">
        <f t="shared" si="21"/>
        <v>0</v>
      </c>
      <c r="BG53" s="16">
        <f t="shared" si="22"/>
        <v>0</v>
      </c>
      <c r="BH53" s="16">
        <f t="shared" si="23"/>
        <v>0</v>
      </c>
      <c r="BI53" s="16">
        <f t="shared" si="24"/>
        <v>0</v>
      </c>
      <c r="BJ53" s="16">
        <f t="shared" si="25"/>
        <v>0</v>
      </c>
      <c r="BK53" s="16">
        <f t="shared" si="26"/>
        <v>0</v>
      </c>
      <c r="BL53" s="16">
        <f t="shared" si="27"/>
        <v>0</v>
      </c>
      <c r="BM53" s="16">
        <f t="shared" si="28"/>
        <v>0</v>
      </c>
      <c r="BN53" s="16">
        <f t="shared" si="29"/>
        <v>0</v>
      </c>
      <c r="BO53" s="16">
        <f t="shared" si="30"/>
        <v>0</v>
      </c>
      <c r="BP53" s="16">
        <f t="shared" si="31"/>
        <v>0</v>
      </c>
      <c r="BQ53" s="16">
        <f t="shared" si="32"/>
        <v>0</v>
      </c>
      <c r="BR53" s="16">
        <f t="shared" si="33"/>
        <v>0</v>
      </c>
      <c r="BS53" s="16">
        <f t="shared" si="34"/>
        <v>0</v>
      </c>
      <c r="BT53" s="22">
        <f t="shared" si="35"/>
        <v>0</v>
      </c>
    </row>
    <row r="54" spans="1:72" s="2167" customFormat="1" ht="12.75">
      <c r="A54" s="1274"/>
      <c r="B54" s="1274"/>
      <c r="C54" s="2153" t="s">
        <v>3322</v>
      </c>
      <c r="D54" s="2954" t="s">
        <v>3055</v>
      </c>
      <c r="E54" s="16">
        <f t="shared" si="7"/>
        <v>0</v>
      </c>
      <c r="F54" s="32"/>
      <c r="G54" s="33">
        <f t="shared" si="8"/>
        <v>0</v>
      </c>
      <c r="H54" s="20">
        <f t="shared" si="9"/>
        <v>0</v>
      </c>
      <c r="I54" s="2213"/>
      <c r="J54" s="2213"/>
      <c r="K54" s="2213"/>
      <c r="L54" s="2213"/>
      <c r="M54" s="2213"/>
      <c r="N54" s="2213"/>
      <c r="O54" s="2213"/>
      <c r="P54" s="2213"/>
      <c r="Q54" s="2213"/>
      <c r="R54" s="2213"/>
      <c r="S54" s="2213"/>
      <c r="T54" s="2213"/>
      <c r="U54" s="2213"/>
      <c r="V54" s="2213"/>
      <c r="W54" s="2213"/>
      <c r="X54" s="2213"/>
      <c r="Y54" s="2213"/>
      <c r="Z54" s="2213"/>
      <c r="AA54" s="2213"/>
      <c r="AB54" s="2213"/>
      <c r="AC54" s="16">
        <f t="shared" si="10"/>
        <v>0</v>
      </c>
      <c r="AD54" s="2214"/>
      <c r="AE54" s="2214"/>
      <c r="AF54" s="2214"/>
      <c r="AG54" s="2214"/>
      <c r="AH54" s="2214"/>
      <c r="AI54" s="2214"/>
      <c r="AJ54" s="2214"/>
      <c r="AK54" s="2214"/>
      <c r="AL54" s="2214"/>
      <c r="AM54" s="2214"/>
      <c r="AN54" s="2214"/>
      <c r="AO54" s="2214"/>
      <c r="AP54" s="2214"/>
      <c r="AQ54" s="2214"/>
      <c r="AR54" s="2214"/>
      <c r="AS54" s="2214"/>
      <c r="AT54" s="2215"/>
      <c r="AU54" s="2216"/>
      <c r="AV54" s="11">
        <f t="shared" si="11"/>
        <v>0</v>
      </c>
      <c r="AW54" s="11">
        <f t="shared" si="12"/>
        <v>0</v>
      </c>
      <c r="AX54" s="11" t="str">
        <f t="shared" si="13"/>
        <v>1幢223室</v>
      </c>
      <c r="AY54" s="2953">
        <f t="shared" si="14"/>
        <v>0</v>
      </c>
      <c r="AZ54" s="16">
        <f t="shared" si="15"/>
        <v>0</v>
      </c>
      <c r="BA54" s="16">
        <f t="shared" si="16"/>
        <v>0</v>
      </c>
      <c r="BB54" s="16">
        <f t="shared" si="17"/>
        <v>0</v>
      </c>
      <c r="BC54" s="16">
        <f t="shared" si="18"/>
        <v>0</v>
      </c>
      <c r="BD54" s="16">
        <f t="shared" si="19"/>
        <v>0</v>
      </c>
      <c r="BE54" s="16">
        <f t="shared" si="20"/>
        <v>0</v>
      </c>
      <c r="BF54" s="16">
        <f t="shared" si="21"/>
        <v>0</v>
      </c>
      <c r="BG54" s="16">
        <f t="shared" si="22"/>
        <v>0</v>
      </c>
      <c r="BH54" s="16">
        <f t="shared" si="23"/>
        <v>0</v>
      </c>
      <c r="BI54" s="16">
        <f t="shared" si="24"/>
        <v>0</v>
      </c>
      <c r="BJ54" s="16">
        <f t="shared" si="25"/>
        <v>0</v>
      </c>
      <c r="BK54" s="16">
        <f t="shared" si="26"/>
        <v>0</v>
      </c>
      <c r="BL54" s="16">
        <f t="shared" si="27"/>
        <v>0</v>
      </c>
      <c r="BM54" s="16">
        <f t="shared" si="28"/>
        <v>0</v>
      </c>
      <c r="BN54" s="16">
        <f t="shared" si="29"/>
        <v>0</v>
      </c>
      <c r="BO54" s="16">
        <f t="shared" si="30"/>
        <v>0</v>
      </c>
      <c r="BP54" s="16">
        <f t="shared" si="31"/>
        <v>0</v>
      </c>
      <c r="BQ54" s="16">
        <f t="shared" si="32"/>
        <v>0</v>
      </c>
      <c r="BR54" s="16">
        <f t="shared" si="33"/>
        <v>0</v>
      </c>
      <c r="BS54" s="16">
        <f t="shared" si="34"/>
        <v>0</v>
      </c>
      <c r="BT54" s="22">
        <f t="shared" si="35"/>
        <v>0</v>
      </c>
    </row>
    <row r="55" spans="1:72" s="2167" customFormat="1" ht="25.5">
      <c r="A55" s="1274"/>
      <c r="B55" s="1274"/>
      <c r="C55" s="2153" t="s">
        <v>3343</v>
      </c>
      <c r="D55" s="2954" t="s">
        <v>3055</v>
      </c>
      <c r="E55" s="16">
        <f t="shared" si="7"/>
        <v>0</v>
      </c>
      <c r="F55" s="32"/>
      <c r="G55" s="33">
        <f t="shared" si="8"/>
        <v>0</v>
      </c>
      <c r="H55" s="20">
        <f t="shared" si="9"/>
        <v>0</v>
      </c>
      <c r="I55" s="2213"/>
      <c r="J55" s="2213"/>
      <c r="K55" s="2213"/>
      <c r="L55" s="2213"/>
      <c r="M55" s="2213"/>
      <c r="N55" s="2213"/>
      <c r="O55" s="2213"/>
      <c r="P55" s="2213"/>
      <c r="Q55" s="2213"/>
      <c r="R55" s="2213"/>
      <c r="S55" s="2213"/>
      <c r="T55" s="2213"/>
      <c r="U55" s="2213"/>
      <c r="V55" s="2213"/>
      <c r="W55" s="2213"/>
      <c r="X55" s="2213"/>
      <c r="Y55" s="2213"/>
      <c r="Z55" s="2213"/>
      <c r="AA55" s="2213"/>
      <c r="AB55" s="2213"/>
      <c r="AC55" s="16">
        <f t="shared" si="10"/>
        <v>0</v>
      </c>
      <c r="AD55" s="2214"/>
      <c r="AE55" s="2214"/>
      <c r="AF55" s="2214"/>
      <c r="AG55" s="2214"/>
      <c r="AH55" s="2214"/>
      <c r="AI55" s="2214"/>
      <c r="AJ55" s="2214"/>
      <c r="AK55" s="2214"/>
      <c r="AL55" s="2214"/>
      <c r="AM55" s="2214"/>
      <c r="AN55" s="2214"/>
      <c r="AO55" s="2214"/>
      <c r="AP55" s="2214"/>
      <c r="AQ55" s="2214"/>
      <c r="AR55" s="2214"/>
      <c r="AS55" s="2214"/>
      <c r="AT55" s="2215"/>
      <c r="AU55" s="2216"/>
      <c r="AV55" s="11">
        <f t="shared" si="11"/>
        <v>0</v>
      </c>
      <c r="AW55" s="11">
        <f t="shared" si="12"/>
        <v>0</v>
      </c>
      <c r="AX55" s="11" t="str">
        <f t="shared" si="13"/>
        <v>1幢第3层0302室</v>
      </c>
      <c r="AY55" s="2953">
        <f t="shared" si="14"/>
        <v>0</v>
      </c>
      <c r="AZ55" s="16">
        <f t="shared" si="15"/>
        <v>0</v>
      </c>
      <c r="BA55" s="16">
        <f t="shared" si="16"/>
        <v>0</v>
      </c>
      <c r="BB55" s="16">
        <f t="shared" si="17"/>
        <v>0</v>
      </c>
      <c r="BC55" s="16">
        <f t="shared" si="18"/>
        <v>0</v>
      </c>
      <c r="BD55" s="16">
        <f t="shared" si="19"/>
        <v>0</v>
      </c>
      <c r="BE55" s="16">
        <f t="shared" si="20"/>
        <v>0</v>
      </c>
      <c r="BF55" s="16">
        <f t="shared" si="21"/>
        <v>0</v>
      </c>
      <c r="BG55" s="16">
        <f t="shared" si="22"/>
        <v>0</v>
      </c>
      <c r="BH55" s="16">
        <f t="shared" si="23"/>
        <v>0</v>
      </c>
      <c r="BI55" s="16">
        <f t="shared" si="24"/>
        <v>0</v>
      </c>
      <c r="BJ55" s="16">
        <f t="shared" si="25"/>
        <v>0</v>
      </c>
      <c r="BK55" s="16">
        <f t="shared" si="26"/>
        <v>0</v>
      </c>
      <c r="BL55" s="16">
        <f t="shared" si="27"/>
        <v>0</v>
      </c>
      <c r="BM55" s="16">
        <f t="shared" si="28"/>
        <v>0</v>
      </c>
      <c r="BN55" s="16">
        <f t="shared" si="29"/>
        <v>0</v>
      </c>
      <c r="BO55" s="16">
        <f t="shared" si="30"/>
        <v>0</v>
      </c>
      <c r="BP55" s="16">
        <f t="shared" si="31"/>
        <v>0</v>
      </c>
      <c r="BQ55" s="16">
        <f t="shared" si="32"/>
        <v>0</v>
      </c>
      <c r="BR55" s="16">
        <f t="shared" si="33"/>
        <v>0</v>
      </c>
      <c r="BS55" s="16">
        <f t="shared" si="34"/>
        <v>0</v>
      </c>
      <c r="BT55" s="22">
        <f t="shared" si="35"/>
        <v>0</v>
      </c>
    </row>
    <row r="56" spans="1:72" s="2167" customFormat="1" ht="12.75">
      <c r="A56" s="1274"/>
      <c r="B56" s="1274"/>
      <c r="C56" s="2153" t="s">
        <v>3347</v>
      </c>
      <c r="D56" s="2954" t="s">
        <v>3055</v>
      </c>
      <c r="E56" s="16">
        <f t="shared" si="7"/>
        <v>0</v>
      </c>
      <c r="F56" s="32"/>
      <c r="G56" s="33">
        <f t="shared" si="8"/>
        <v>0</v>
      </c>
      <c r="H56" s="20">
        <f t="shared" si="9"/>
        <v>0</v>
      </c>
      <c r="I56" s="2213"/>
      <c r="J56" s="2213"/>
      <c r="K56" s="2213"/>
      <c r="L56" s="2213"/>
      <c r="M56" s="2213"/>
      <c r="N56" s="2213"/>
      <c r="O56" s="2213"/>
      <c r="P56" s="2213"/>
      <c r="Q56" s="2213"/>
      <c r="R56" s="2213"/>
      <c r="S56" s="2213"/>
      <c r="T56" s="2213"/>
      <c r="U56" s="2213"/>
      <c r="V56" s="2213"/>
      <c r="W56" s="2213"/>
      <c r="X56" s="2213"/>
      <c r="Y56" s="2213"/>
      <c r="Z56" s="2213"/>
      <c r="AA56" s="2213"/>
      <c r="AB56" s="2213"/>
      <c r="AC56" s="16">
        <f t="shared" si="10"/>
        <v>0</v>
      </c>
      <c r="AD56" s="2214"/>
      <c r="AE56" s="2214"/>
      <c r="AF56" s="2214"/>
      <c r="AG56" s="2214"/>
      <c r="AH56" s="2214"/>
      <c r="AI56" s="2214"/>
      <c r="AJ56" s="2214"/>
      <c r="AK56" s="2214"/>
      <c r="AL56" s="2214"/>
      <c r="AM56" s="2214"/>
      <c r="AN56" s="2214"/>
      <c r="AO56" s="2214"/>
      <c r="AP56" s="2214"/>
      <c r="AQ56" s="2214"/>
      <c r="AR56" s="2214"/>
      <c r="AS56" s="2214"/>
      <c r="AT56" s="2215"/>
      <c r="AU56" s="2216"/>
      <c r="AV56" s="11">
        <f t="shared" si="11"/>
        <v>0</v>
      </c>
      <c r="AW56" s="11">
        <f t="shared" si="12"/>
        <v>0</v>
      </c>
      <c r="AX56" s="11" t="str">
        <f t="shared" si="13"/>
        <v>1幢0303室</v>
      </c>
      <c r="AY56" s="2953">
        <f t="shared" si="14"/>
        <v>0</v>
      </c>
      <c r="AZ56" s="16">
        <f t="shared" si="15"/>
        <v>0</v>
      </c>
      <c r="BA56" s="16">
        <f t="shared" si="16"/>
        <v>0</v>
      </c>
      <c r="BB56" s="16">
        <f t="shared" si="17"/>
        <v>0</v>
      </c>
      <c r="BC56" s="16">
        <f t="shared" si="18"/>
        <v>0</v>
      </c>
      <c r="BD56" s="16">
        <f t="shared" si="19"/>
        <v>0</v>
      </c>
      <c r="BE56" s="16">
        <f t="shared" si="20"/>
        <v>0</v>
      </c>
      <c r="BF56" s="16">
        <f t="shared" si="21"/>
        <v>0</v>
      </c>
      <c r="BG56" s="16">
        <f t="shared" si="22"/>
        <v>0</v>
      </c>
      <c r="BH56" s="16">
        <f t="shared" si="23"/>
        <v>0</v>
      </c>
      <c r="BI56" s="16">
        <f t="shared" si="24"/>
        <v>0</v>
      </c>
      <c r="BJ56" s="16">
        <f t="shared" si="25"/>
        <v>0</v>
      </c>
      <c r="BK56" s="16">
        <f t="shared" si="26"/>
        <v>0</v>
      </c>
      <c r="BL56" s="16">
        <f t="shared" si="27"/>
        <v>0</v>
      </c>
      <c r="BM56" s="16">
        <f t="shared" si="28"/>
        <v>0</v>
      </c>
      <c r="BN56" s="16">
        <f t="shared" si="29"/>
        <v>0</v>
      </c>
      <c r="BO56" s="16">
        <f t="shared" si="30"/>
        <v>0</v>
      </c>
      <c r="BP56" s="16">
        <f t="shared" si="31"/>
        <v>0</v>
      </c>
      <c r="BQ56" s="16">
        <f t="shared" si="32"/>
        <v>0</v>
      </c>
      <c r="BR56" s="16">
        <f t="shared" si="33"/>
        <v>0</v>
      </c>
      <c r="BS56" s="16">
        <f t="shared" si="34"/>
        <v>0</v>
      </c>
      <c r="BT56" s="22">
        <f t="shared" si="35"/>
        <v>0</v>
      </c>
    </row>
    <row r="57" spans="1:72" s="2167" customFormat="1" ht="12.75">
      <c r="A57" s="1274"/>
      <c r="B57" s="1274"/>
      <c r="C57" s="2153" t="s">
        <v>3350</v>
      </c>
      <c r="D57" s="2954" t="s">
        <v>3055</v>
      </c>
      <c r="E57" s="16">
        <f t="shared" si="7"/>
        <v>0</v>
      </c>
      <c r="F57" s="32"/>
      <c r="G57" s="33">
        <f t="shared" si="8"/>
        <v>0</v>
      </c>
      <c r="H57" s="20">
        <f t="shared" si="9"/>
        <v>0</v>
      </c>
      <c r="I57" s="2213"/>
      <c r="J57" s="2213"/>
      <c r="K57" s="2213"/>
      <c r="L57" s="2213"/>
      <c r="M57" s="2213"/>
      <c r="N57" s="2213"/>
      <c r="O57" s="2213"/>
      <c r="P57" s="2213"/>
      <c r="Q57" s="2213"/>
      <c r="R57" s="2213"/>
      <c r="S57" s="2213"/>
      <c r="T57" s="2213"/>
      <c r="U57" s="2213"/>
      <c r="V57" s="2213"/>
      <c r="W57" s="2213"/>
      <c r="X57" s="2213"/>
      <c r="Y57" s="2213"/>
      <c r="Z57" s="2213"/>
      <c r="AA57" s="2213"/>
      <c r="AB57" s="2213"/>
      <c r="AC57" s="16">
        <f t="shared" si="10"/>
        <v>0</v>
      </c>
      <c r="AD57" s="2214"/>
      <c r="AE57" s="2214"/>
      <c r="AF57" s="2214"/>
      <c r="AG57" s="2214"/>
      <c r="AH57" s="2214"/>
      <c r="AI57" s="2214"/>
      <c r="AJ57" s="2214"/>
      <c r="AK57" s="2214"/>
      <c r="AL57" s="2214"/>
      <c r="AM57" s="2214"/>
      <c r="AN57" s="2214"/>
      <c r="AO57" s="2214"/>
      <c r="AP57" s="2214"/>
      <c r="AQ57" s="2214"/>
      <c r="AR57" s="2214"/>
      <c r="AS57" s="2214"/>
      <c r="AT57" s="2215"/>
      <c r="AU57" s="2216"/>
      <c r="AV57" s="11">
        <f t="shared" si="11"/>
        <v>0</v>
      </c>
      <c r="AW57" s="11">
        <f t="shared" si="12"/>
        <v>0</v>
      </c>
      <c r="AX57" s="11" t="str">
        <f t="shared" si="13"/>
        <v>1幢0402室</v>
      </c>
      <c r="AY57" s="2953">
        <f t="shared" si="14"/>
        <v>0</v>
      </c>
      <c r="AZ57" s="16">
        <f t="shared" si="15"/>
        <v>0</v>
      </c>
      <c r="BA57" s="16">
        <f t="shared" si="16"/>
        <v>0</v>
      </c>
      <c r="BB57" s="16">
        <f t="shared" si="17"/>
        <v>0</v>
      </c>
      <c r="BC57" s="16">
        <f t="shared" si="18"/>
        <v>0</v>
      </c>
      <c r="BD57" s="16">
        <f t="shared" si="19"/>
        <v>0</v>
      </c>
      <c r="BE57" s="16">
        <f t="shared" si="20"/>
        <v>0</v>
      </c>
      <c r="BF57" s="16">
        <f t="shared" si="21"/>
        <v>0</v>
      </c>
      <c r="BG57" s="16">
        <f t="shared" si="22"/>
        <v>0</v>
      </c>
      <c r="BH57" s="16">
        <f t="shared" si="23"/>
        <v>0</v>
      </c>
      <c r="BI57" s="16">
        <f t="shared" si="24"/>
        <v>0</v>
      </c>
      <c r="BJ57" s="16">
        <f t="shared" si="25"/>
        <v>0</v>
      </c>
      <c r="BK57" s="16">
        <f t="shared" si="26"/>
        <v>0</v>
      </c>
      <c r="BL57" s="16">
        <f t="shared" si="27"/>
        <v>0</v>
      </c>
      <c r="BM57" s="16">
        <f t="shared" si="28"/>
        <v>0</v>
      </c>
      <c r="BN57" s="16">
        <f t="shared" si="29"/>
        <v>0</v>
      </c>
      <c r="BO57" s="16">
        <f t="shared" si="30"/>
        <v>0</v>
      </c>
      <c r="BP57" s="16">
        <f t="shared" si="31"/>
        <v>0</v>
      </c>
      <c r="BQ57" s="16">
        <f t="shared" si="32"/>
        <v>0</v>
      </c>
      <c r="BR57" s="16">
        <f t="shared" si="33"/>
        <v>0</v>
      </c>
      <c r="BS57" s="16">
        <f t="shared" si="34"/>
        <v>0</v>
      </c>
      <c r="BT57" s="22">
        <f t="shared" si="35"/>
        <v>0</v>
      </c>
    </row>
    <row r="58" spans="1:72" s="2167" customFormat="1" ht="12.75">
      <c r="A58" s="1274"/>
      <c r="B58" s="1274"/>
      <c r="C58" s="2153" t="s">
        <v>3358</v>
      </c>
      <c r="D58" s="2954" t="s">
        <v>3055</v>
      </c>
      <c r="E58" s="16">
        <f t="shared" si="7"/>
        <v>0</v>
      </c>
      <c r="F58" s="32"/>
      <c r="G58" s="33">
        <f t="shared" si="8"/>
        <v>0</v>
      </c>
      <c r="H58" s="20">
        <f t="shared" si="9"/>
        <v>0</v>
      </c>
      <c r="I58" s="2213"/>
      <c r="J58" s="2213"/>
      <c r="K58" s="2213"/>
      <c r="L58" s="2213"/>
      <c r="M58" s="2213"/>
      <c r="N58" s="2213"/>
      <c r="O58" s="2213"/>
      <c r="P58" s="2213"/>
      <c r="Q58" s="2213"/>
      <c r="R58" s="2213"/>
      <c r="S58" s="2213"/>
      <c r="T58" s="2213"/>
      <c r="U58" s="2213"/>
      <c r="V58" s="2213"/>
      <c r="W58" s="2213"/>
      <c r="X58" s="2213"/>
      <c r="Y58" s="2213"/>
      <c r="Z58" s="2213"/>
      <c r="AA58" s="2213"/>
      <c r="AB58" s="2213"/>
      <c r="AC58" s="16">
        <f t="shared" si="10"/>
        <v>0</v>
      </c>
      <c r="AD58" s="2214"/>
      <c r="AE58" s="2214"/>
      <c r="AF58" s="2214"/>
      <c r="AG58" s="2214"/>
      <c r="AH58" s="2214"/>
      <c r="AI58" s="2214"/>
      <c r="AJ58" s="2214"/>
      <c r="AK58" s="2214"/>
      <c r="AL58" s="2214"/>
      <c r="AM58" s="2214"/>
      <c r="AN58" s="2214"/>
      <c r="AO58" s="2214"/>
      <c r="AP58" s="2214"/>
      <c r="AQ58" s="2214"/>
      <c r="AR58" s="2214"/>
      <c r="AS58" s="2214"/>
      <c r="AT58" s="2215"/>
      <c r="AU58" s="2216"/>
      <c r="AV58" s="11">
        <f t="shared" si="11"/>
        <v>0</v>
      </c>
      <c r="AW58" s="11">
        <f t="shared" si="12"/>
        <v>0</v>
      </c>
      <c r="AX58" s="11" t="str">
        <f t="shared" si="13"/>
        <v>1幢0403室</v>
      </c>
      <c r="AY58" s="2953">
        <f t="shared" si="14"/>
        <v>0</v>
      </c>
      <c r="AZ58" s="16">
        <f t="shared" si="15"/>
        <v>0</v>
      </c>
      <c r="BA58" s="16">
        <f t="shared" si="16"/>
        <v>0</v>
      </c>
      <c r="BB58" s="16">
        <f t="shared" si="17"/>
        <v>0</v>
      </c>
      <c r="BC58" s="16">
        <f t="shared" si="18"/>
        <v>0</v>
      </c>
      <c r="BD58" s="16">
        <f t="shared" si="19"/>
        <v>0</v>
      </c>
      <c r="BE58" s="16">
        <f t="shared" si="20"/>
        <v>0</v>
      </c>
      <c r="BF58" s="16">
        <f t="shared" si="21"/>
        <v>0</v>
      </c>
      <c r="BG58" s="16">
        <f t="shared" si="22"/>
        <v>0</v>
      </c>
      <c r="BH58" s="16">
        <f t="shared" si="23"/>
        <v>0</v>
      </c>
      <c r="BI58" s="16">
        <f t="shared" si="24"/>
        <v>0</v>
      </c>
      <c r="BJ58" s="16">
        <f t="shared" si="25"/>
        <v>0</v>
      </c>
      <c r="BK58" s="16">
        <f t="shared" si="26"/>
        <v>0</v>
      </c>
      <c r="BL58" s="16">
        <f t="shared" si="27"/>
        <v>0</v>
      </c>
      <c r="BM58" s="16">
        <f t="shared" si="28"/>
        <v>0</v>
      </c>
      <c r="BN58" s="16">
        <f t="shared" si="29"/>
        <v>0</v>
      </c>
      <c r="BO58" s="16">
        <f t="shared" si="30"/>
        <v>0</v>
      </c>
      <c r="BP58" s="16">
        <f t="shared" si="31"/>
        <v>0</v>
      </c>
      <c r="BQ58" s="16">
        <f t="shared" si="32"/>
        <v>0</v>
      </c>
      <c r="BR58" s="16">
        <f t="shared" si="33"/>
        <v>0</v>
      </c>
      <c r="BS58" s="16">
        <f t="shared" si="34"/>
        <v>0</v>
      </c>
      <c r="BT58" s="22">
        <f t="shared" si="35"/>
        <v>0</v>
      </c>
    </row>
    <row r="59" spans="1:72" s="2167" customFormat="1" ht="12.75">
      <c r="A59" s="1274"/>
      <c r="B59" s="1274"/>
      <c r="C59" s="2153" t="s">
        <v>3360</v>
      </c>
      <c r="D59" s="2954" t="s">
        <v>3055</v>
      </c>
      <c r="E59" s="16">
        <f t="shared" si="7"/>
        <v>0</v>
      </c>
      <c r="F59" s="32"/>
      <c r="G59" s="33">
        <f t="shared" si="8"/>
        <v>0</v>
      </c>
      <c r="H59" s="20">
        <f t="shared" si="9"/>
        <v>0</v>
      </c>
      <c r="I59" s="2213"/>
      <c r="J59" s="2213"/>
      <c r="K59" s="2213"/>
      <c r="L59" s="2213"/>
      <c r="M59" s="2213"/>
      <c r="N59" s="2213"/>
      <c r="O59" s="2213"/>
      <c r="P59" s="2213"/>
      <c r="Q59" s="2213"/>
      <c r="R59" s="2213"/>
      <c r="S59" s="2213"/>
      <c r="T59" s="2213"/>
      <c r="U59" s="2213"/>
      <c r="V59" s="2213"/>
      <c r="W59" s="2213"/>
      <c r="X59" s="2213"/>
      <c r="Y59" s="2213"/>
      <c r="Z59" s="2213"/>
      <c r="AA59" s="2213"/>
      <c r="AB59" s="2213"/>
      <c r="AC59" s="16">
        <f t="shared" si="10"/>
        <v>0</v>
      </c>
      <c r="AD59" s="2214"/>
      <c r="AE59" s="2214"/>
      <c r="AF59" s="2214"/>
      <c r="AG59" s="2214"/>
      <c r="AH59" s="2214"/>
      <c r="AI59" s="2214"/>
      <c r="AJ59" s="2214"/>
      <c r="AK59" s="2214"/>
      <c r="AL59" s="2214"/>
      <c r="AM59" s="2214"/>
      <c r="AN59" s="2214"/>
      <c r="AO59" s="2214"/>
      <c r="AP59" s="2214"/>
      <c r="AQ59" s="2214"/>
      <c r="AR59" s="2214"/>
      <c r="AS59" s="2214"/>
      <c r="AT59" s="2215"/>
      <c r="AU59" s="2216"/>
      <c r="AV59" s="11">
        <f t="shared" si="11"/>
        <v>0</v>
      </c>
      <c r="AW59" s="11">
        <f t="shared" si="12"/>
        <v>0</v>
      </c>
      <c r="AX59" s="11" t="str">
        <f t="shared" si="13"/>
        <v>1幢0502室</v>
      </c>
      <c r="AY59" s="2953">
        <f t="shared" si="14"/>
        <v>0</v>
      </c>
      <c r="AZ59" s="16">
        <f t="shared" si="15"/>
        <v>0</v>
      </c>
      <c r="BA59" s="16">
        <f t="shared" si="16"/>
        <v>0</v>
      </c>
      <c r="BB59" s="16">
        <f t="shared" si="17"/>
        <v>0</v>
      </c>
      <c r="BC59" s="16">
        <f t="shared" si="18"/>
        <v>0</v>
      </c>
      <c r="BD59" s="16">
        <f t="shared" si="19"/>
        <v>0</v>
      </c>
      <c r="BE59" s="16">
        <f t="shared" si="20"/>
        <v>0</v>
      </c>
      <c r="BF59" s="16">
        <f t="shared" si="21"/>
        <v>0</v>
      </c>
      <c r="BG59" s="16">
        <f t="shared" si="22"/>
        <v>0</v>
      </c>
      <c r="BH59" s="16">
        <f t="shared" si="23"/>
        <v>0</v>
      </c>
      <c r="BI59" s="16">
        <f t="shared" si="24"/>
        <v>0</v>
      </c>
      <c r="BJ59" s="16">
        <f t="shared" si="25"/>
        <v>0</v>
      </c>
      <c r="BK59" s="16">
        <f t="shared" si="26"/>
        <v>0</v>
      </c>
      <c r="BL59" s="16">
        <f t="shared" si="27"/>
        <v>0</v>
      </c>
      <c r="BM59" s="16">
        <f t="shared" si="28"/>
        <v>0</v>
      </c>
      <c r="BN59" s="16">
        <f t="shared" si="29"/>
        <v>0</v>
      </c>
      <c r="BO59" s="16">
        <f t="shared" si="30"/>
        <v>0</v>
      </c>
      <c r="BP59" s="16">
        <f t="shared" si="31"/>
        <v>0</v>
      </c>
      <c r="BQ59" s="16">
        <f t="shared" si="32"/>
        <v>0</v>
      </c>
      <c r="BR59" s="16">
        <f t="shared" si="33"/>
        <v>0</v>
      </c>
      <c r="BS59" s="16">
        <f t="shared" si="34"/>
        <v>0</v>
      </c>
      <c r="BT59" s="22">
        <f t="shared" si="35"/>
        <v>0</v>
      </c>
    </row>
    <row r="60" spans="1:72" s="2167" customFormat="1" ht="12.75">
      <c r="A60" s="1274"/>
      <c r="B60" s="1274"/>
      <c r="C60" s="2153" t="s">
        <v>3363</v>
      </c>
      <c r="D60" s="2954" t="s">
        <v>3055</v>
      </c>
      <c r="E60" s="16">
        <f t="shared" si="7"/>
        <v>0</v>
      </c>
      <c r="F60" s="32"/>
      <c r="G60" s="33">
        <f t="shared" si="8"/>
        <v>0</v>
      </c>
      <c r="H60" s="20">
        <f t="shared" si="9"/>
        <v>0</v>
      </c>
      <c r="I60" s="2213"/>
      <c r="J60" s="2213"/>
      <c r="K60" s="2213"/>
      <c r="L60" s="2213"/>
      <c r="M60" s="2213"/>
      <c r="N60" s="2213"/>
      <c r="O60" s="2213"/>
      <c r="P60" s="2213"/>
      <c r="Q60" s="2213"/>
      <c r="R60" s="2213"/>
      <c r="S60" s="2213"/>
      <c r="T60" s="2213"/>
      <c r="U60" s="2213"/>
      <c r="V60" s="2213"/>
      <c r="W60" s="2213"/>
      <c r="X60" s="2213"/>
      <c r="Y60" s="2213"/>
      <c r="Z60" s="2213"/>
      <c r="AA60" s="2213"/>
      <c r="AB60" s="2213"/>
      <c r="AC60" s="16">
        <f t="shared" si="10"/>
        <v>0</v>
      </c>
      <c r="AD60" s="2214"/>
      <c r="AE60" s="2214"/>
      <c r="AF60" s="2214"/>
      <c r="AG60" s="2214"/>
      <c r="AH60" s="2214"/>
      <c r="AI60" s="2214"/>
      <c r="AJ60" s="2214"/>
      <c r="AK60" s="2214"/>
      <c r="AL60" s="2214"/>
      <c r="AM60" s="2214"/>
      <c r="AN60" s="2214"/>
      <c r="AO60" s="2214"/>
      <c r="AP60" s="2214"/>
      <c r="AQ60" s="2214"/>
      <c r="AR60" s="2214"/>
      <c r="AS60" s="2214"/>
      <c r="AT60" s="2215"/>
      <c r="AU60" s="2216"/>
      <c r="AV60" s="11">
        <f t="shared" si="11"/>
        <v>0</v>
      </c>
      <c r="AW60" s="11">
        <f t="shared" si="12"/>
        <v>0</v>
      </c>
      <c r="AX60" s="11" t="str">
        <f t="shared" si="13"/>
        <v>1幢0503室</v>
      </c>
      <c r="AY60" s="2953">
        <f t="shared" si="14"/>
        <v>0</v>
      </c>
      <c r="AZ60" s="16">
        <f t="shared" si="15"/>
        <v>0</v>
      </c>
      <c r="BA60" s="16">
        <f t="shared" si="16"/>
        <v>0</v>
      </c>
      <c r="BB60" s="16">
        <f t="shared" si="17"/>
        <v>0</v>
      </c>
      <c r="BC60" s="16">
        <f t="shared" si="18"/>
        <v>0</v>
      </c>
      <c r="BD60" s="16">
        <f t="shared" si="19"/>
        <v>0</v>
      </c>
      <c r="BE60" s="16">
        <f t="shared" si="20"/>
        <v>0</v>
      </c>
      <c r="BF60" s="16">
        <f t="shared" si="21"/>
        <v>0</v>
      </c>
      <c r="BG60" s="16">
        <f t="shared" si="22"/>
        <v>0</v>
      </c>
      <c r="BH60" s="16">
        <f t="shared" si="23"/>
        <v>0</v>
      </c>
      <c r="BI60" s="16">
        <f t="shared" si="24"/>
        <v>0</v>
      </c>
      <c r="BJ60" s="16">
        <f t="shared" si="25"/>
        <v>0</v>
      </c>
      <c r="BK60" s="16">
        <f t="shared" si="26"/>
        <v>0</v>
      </c>
      <c r="BL60" s="16">
        <f t="shared" si="27"/>
        <v>0</v>
      </c>
      <c r="BM60" s="16">
        <f t="shared" si="28"/>
        <v>0</v>
      </c>
      <c r="BN60" s="16">
        <f t="shared" si="29"/>
        <v>0</v>
      </c>
      <c r="BO60" s="16">
        <f t="shared" si="30"/>
        <v>0</v>
      </c>
      <c r="BP60" s="16">
        <f t="shared" si="31"/>
        <v>0</v>
      </c>
      <c r="BQ60" s="16">
        <f t="shared" si="32"/>
        <v>0</v>
      </c>
      <c r="BR60" s="16">
        <f t="shared" si="33"/>
        <v>0</v>
      </c>
      <c r="BS60" s="16">
        <f t="shared" si="34"/>
        <v>0</v>
      </c>
      <c r="BT60" s="22">
        <f t="shared" si="35"/>
        <v>0</v>
      </c>
    </row>
    <row r="61" spans="1:72" s="2167" customFormat="1" ht="12.75">
      <c r="A61" s="1274"/>
      <c r="B61" s="1274"/>
      <c r="C61" s="2153" t="s">
        <v>3366</v>
      </c>
      <c r="D61" s="2954" t="s">
        <v>3055</v>
      </c>
      <c r="E61" s="16">
        <f t="shared" si="7"/>
        <v>0</v>
      </c>
      <c r="F61" s="32"/>
      <c r="G61" s="33">
        <f t="shared" si="8"/>
        <v>0</v>
      </c>
      <c r="H61" s="20">
        <f t="shared" si="9"/>
        <v>0</v>
      </c>
      <c r="I61" s="2213"/>
      <c r="J61" s="2213"/>
      <c r="K61" s="2213"/>
      <c r="L61" s="2213"/>
      <c r="M61" s="2213"/>
      <c r="N61" s="2213"/>
      <c r="O61" s="2213"/>
      <c r="P61" s="2213"/>
      <c r="Q61" s="2213"/>
      <c r="R61" s="2213"/>
      <c r="S61" s="2213"/>
      <c r="T61" s="2213"/>
      <c r="U61" s="2213"/>
      <c r="V61" s="2213"/>
      <c r="W61" s="2213"/>
      <c r="X61" s="2213"/>
      <c r="Y61" s="2213"/>
      <c r="Z61" s="2213"/>
      <c r="AA61" s="2213"/>
      <c r="AB61" s="2213"/>
      <c r="AC61" s="16">
        <f t="shared" si="10"/>
        <v>0</v>
      </c>
      <c r="AD61" s="2214"/>
      <c r="AE61" s="2214"/>
      <c r="AF61" s="2214"/>
      <c r="AG61" s="2214"/>
      <c r="AH61" s="2214"/>
      <c r="AI61" s="2214"/>
      <c r="AJ61" s="2214"/>
      <c r="AK61" s="2214"/>
      <c r="AL61" s="2214"/>
      <c r="AM61" s="2214"/>
      <c r="AN61" s="2214"/>
      <c r="AO61" s="2214"/>
      <c r="AP61" s="2214"/>
      <c r="AQ61" s="2214"/>
      <c r="AR61" s="2214"/>
      <c r="AS61" s="2214"/>
      <c r="AT61" s="2215"/>
      <c r="AU61" s="2216"/>
      <c r="AV61" s="11">
        <f t="shared" si="11"/>
        <v>0</v>
      </c>
      <c r="AW61" s="11">
        <f t="shared" si="12"/>
        <v>0</v>
      </c>
      <c r="AX61" s="11" t="str">
        <f t="shared" si="13"/>
        <v>2幢0101室</v>
      </c>
      <c r="AY61" s="2953">
        <f t="shared" si="14"/>
        <v>0</v>
      </c>
      <c r="AZ61" s="16">
        <f t="shared" si="15"/>
        <v>0</v>
      </c>
      <c r="BA61" s="16">
        <f t="shared" si="16"/>
        <v>0</v>
      </c>
      <c r="BB61" s="16">
        <f t="shared" si="17"/>
        <v>0</v>
      </c>
      <c r="BC61" s="16">
        <f t="shared" si="18"/>
        <v>0</v>
      </c>
      <c r="BD61" s="16">
        <f t="shared" si="19"/>
        <v>0</v>
      </c>
      <c r="BE61" s="16">
        <f t="shared" si="20"/>
        <v>0</v>
      </c>
      <c r="BF61" s="16">
        <f t="shared" si="21"/>
        <v>0</v>
      </c>
      <c r="BG61" s="16">
        <f t="shared" si="22"/>
        <v>0</v>
      </c>
      <c r="BH61" s="16">
        <f t="shared" si="23"/>
        <v>0</v>
      </c>
      <c r="BI61" s="16">
        <f t="shared" si="24"/>
        <v>0</v>
      </c>
      <c r="BJ61" s="16">
        <f t="shared" si="25"/>
        <v>0</v>
      </c>
      <c r="BK61" s="16">
        <f t="shared" si="26"/>
        <v>0</v>
      </c>
      <c r="BL61" s="16">
        <f t="shared" si="27"/>
        <v>0</v>
      </c>
      <c r="BM61" s="16">
        <f t="shared" si="28"/>
        <v>0</v>
      </c>
      <c r="BN61" s="16">
        <f t="shared" si="29"/>
        <v>0</v>
      </c>
      <c r="BO61" s="16">
        <f t="shared" si="30"/>
        <v>0</v>
      </c>
      <c r="BP61" s="16">
        <f t="shared" si="31"/>
        <v>0</v>
      </c>
      <c r="BQ61" s="16">
        <f t="shared" si="32"/>
        <v>0</v>
      </c>
      <c r="BR61" s="16">
        <f t="shared" si="33"/>
        <v>0</v>
      </c>
      <c r="BS61" s="16">
        <f t="shared" si="34"/>
        <v>0</v>
      </c>
      <c r="BT61" s="22">
        <f t="shared" si="35"/>
        <v>0</v>
      </c>
    </row>
    <row r="62" spans="1:72" s="2167" customFormat="1" ht="12.75">
      <c r="A62" s="1274"/>
      <c r="B62" s="1274"/>
      <c r="C62" s="2153"/>
      <c r="D62" s="2954" t="s">
        <v>3374</v>
      </c>
      <c r="E62" s="16">
        <f t="shared" si="7"/>
        <v>0</v>
      </c>
      <c r="F62" s="32"/>
      <c r="G62" s="33">
        <f t="shared" si="8"/>
        <v>0</v>
      </c>
      <c r="H62" s="20">
        <f t="shared" si="9"/>
        <v>0</v>
      </c>
      <c r="I62" s="2213"/>
      <c r="J62" s="2213"/>
      <c r="K62" s="2213"/>
      <c r="L62" s="2213"/>
      <c r="M62" s="2213"/>
      <c r="N62" s="2213"/>
      <c r="O62" s="2213"/>
      <c r="P62" s="2213"/>
      <c r="Q62" s="2213"/>
      <c r="R62" s="2213"/>
      <c r="S62" s="2213"/>
      <c r="T62" s="2213"/>
      <c r="U62" s="2213"/>
      <c r="V62" s="2213"/>
      <c r="W62" s="2213"/>
      <c r="X62" s="2213"/>
      <c r="Y62" s="2213"/>
      <c r="Z62" s="2213"/>
      <c r="AA62" s="2213"/>
      <c r="AB62" s="2213"/>
      <c r="AC62" s="16">
        <f t="shared" si="10"/>
        <v>0</v>
      </c>
      <c r="AD62" s="2214"/>
      <c r="AE62" s="2214"/>
      <c r="AF62" s="2214"/>
      <c r="AG62" s="2214"/>
      <c r="AH62" s="2214"/>
      <c r="AI62" s="2214"/>
      <c r="AJ62" s="2214"/>
      <c r="AK62" s="2214"/>
      <c r="AL62" s="2214"/>
      <c r="AM62" s="2214"/>
      <c r="AN62" s="2214"/>
      <c r="AO62" s="2214"/>
      <c r="AP62" s="2214"/>
      <c r="AQ62" s="2214"/>
      <c r="AR62" s="2214"/>
      <c r="AS62" s="2214"/>
      <c r="AT62" s="2215"/>
      <c r="AU62" s="2216"/>
      <c r="AV62" s="11">
        <f t="shared" si="11"/>
        <v>0</v>
      </c>
      <c r="AW62" s="11">
        <f t="shared" si="12"/>
        <v>0</v>
      </c>
      <c r="AX62" s="11">
        <f t="shared" si="13"/>
        <v>0</v>
      </c>
      <c r="AY62" s="2953">
        <f t="shared" si="14"/>
        <v>0</v>
      </c>
      <c r="AZ62" s="16">
        <f t="shared" si="15"/>
        <v>0</v>
      </c>
      <c r="BA62" s="16">
        <f t="shared" si="16"/>
        <v>0</v>
      </c>
      <c r="BB62" s="16">
        <f t="shared" si="17"/>
        <v>0</v>
      </c>
      <c r="BC62" s="16">
        <f t="shared" si="18"/>
        <v>0</v>
      </c>
      <c r="BD62" s="16">
        <f t="shared" si="19"/>
        <v>0</v>
      </c>
      <c r="BE62" s="16">
        <f t="shared" si="20"/>
        <v>0</v>
      </c>
      <c r="BF62" s="16">
        <f t="shared" si="21"/>
        <v>0</v>
      </c>
      <c r="BG62" s="16">
        <f t="shared" si="22"/>
        <v>0</v>
      </c>
      <c r="BH62" s="16">
        <f t="shared" si="23"/>
        <v>0</v>
      </c>
      <c r="BI62" s="16">
        <f t="shared" si="24"/>
        <v>0</v>
      </c>
      <c r="BJ62" s="16">
        <f t="shared" si="25"/>
        <v>0</v>
      </c>
      <c r="BK62" s="16">
        <f t="shared" si="26"/>
        <v>0</v>
      </c>
      <c r="BL62" s="16">
        <f t="shared" si="27"/>
        <v>0</v>
      </c>
      <c r="BM62" s="16">
        <f t="shared" si="28"/>
        <v>0</v>
      </c>
      <c r="BN62" s="16">
        <f t="shared" si="29"/>
        <v>0</v>
      </c>
      <c r="BO62" s="16">
        <f t="shared" si="30"/>
        <v>0</v>
      </c>
      <c r="BP62" s="16">
        <f t="shared" si="31"/>
        <v>0</v>
      </c>
      <c r="BQ62" s="16">
        <f t="shared" si="32"/>
        <v>0</v>
      </c>
      <c r="BR62" s="16">
        <f t="shared" si="33"/>
        <v>0</v>
      </c>
      <c r="BS62" s="16">
        <f t="shared" si="34"/>
        <v>0</v>
      </c>
      <c r="BT62" s="22">
        <f t="shared" si="35"/>
        <v>0</v>
      </c>
    </row>
    <row r="63" spans="1:72" s="2167" customFormat="1" ht="12.75">
      <c r="A63" s="1274"/>
      <c r="B63" s="1274"/>
      <c r="C63" s="2153"/>
      <c r="D63" s="2954" t="s">
        <v>3374</v>
      </c>
      <c r="E63" s="16">
        <f t="shared" si="7"/>
        <v>0</v>
      </c>
      <c r="F63" s="32"/>
      <c r="G63" s="33">
        <f t="shared" si="8"/>
        <v>0</v>
      </c>
      <c r="H63" s="20">
        <f t="shared" si="9"/>
        <v>0</v>
      </c>
      <c r="I63" s="2213"/>
      <c r="J63" s="2213"/>
      <c r="K63" s="2213"/>
      <c r="L63" s="2213"/>
      <c r="M63" s="2213"/>
      <c r="N63" s="2213"/>
      <c r="O63" s="2213"/>
      <c r="P63" s="2213"/>
      <c r="Q63" s="2213"/>
      <c r="R63" s="2213"/>
      <c r="S63" s="2213"/>
      <c r="T63" s="2213"/>
      <c r="U63" s="2213"/>
      <c r="V63" s="2213"/>
      <c r="W63" s="2213"/>
      <c r="X63" s="2213"/>
      <c r="Y63" s="2213"/>
      <c r="Z63" s="2213"/>
      <c r="AA63" s="2213"/>
      <c r="AB63" s="2213"/>
      <c r="AC63" s="16">
        <f t="shared" si="10"/>
        <v>0</v>
      </c>
      <c r="AD63" s="2214"/>
      <c r="AE63" s="2214"/>
      <c r="AF63" s="2214"/>
      <c r="AG63" s="2214"/>
      <c r="AH63" s="2214"/>
      <c r="AI63" s="2214"/>
      <c r="AJ63" s="2214"/>
      <c r="AK63" s="2214"/>
      <c r="AL63" s="2214"/>
      <c r="AM63" s="2214"/>
      <c r="AN63" s="2214"/>
      <c r="AO63" s="2214"/>
      <c r="AP63" s="2214"/>
      <c r="AQ63" s="2214"/>
      <c r="AR63" s="2214"/>
      <c r="AS63" s="2214"/>
      <c r="AT63" s="2215"/>
      <c r="AU63" s="2216"/>
      <c r="AV63" s="11">
        <f t="shared" si="11"/>
        <v>0</v>
      </c>
      <c r="AW63" s="11">
        <f t="shared" si="12"/>
        <v>0</v>
      </c>
      <c r="AX63" s="11">
        <f t="shared" si="13"/>
        <v>0</v>
      </c>
      <c r="AY63" s="2953">
        <f t="shared" si="14"/>
        <v>0</v>
      </c>
      <c r="AZ63" s="16">
        <f t="shared" si="15"/>
        <v>0</v>
      </c>
      <c r="BA63" s="16">
        <f t="shared" si="16"/>
        <v>0</v>
      </c>
      <c r="BB63" s="16">
        <f t="shared" si="17"/>
        <v>0</v>
      </c>
      <c r="BC63" s="16">
        <f t="shared" si="18"/>
        <v>0</v>
      </c>
      <c r="BD63" s="16">
        <f t="shared" si="19"/>
        <v>0</v>
      </c>
      <c r="BE63" s="16">
        <f t="shared" si="20"/>
        <v>0</v>
      </c>
      <c r="BF63" s="16">
        <f t="shared" si="21"/>
        <v>0</v>
      </c>
      <c r="BG63" s="16">
        <f t="shared" si="22"/>
        <v>0</v>
      </c>
      <c r="BH63" s="16">
        <f t="shared" si="23"/>
        <v>0</v>
      </c>
      <c r="BI63" s="16">
        <f t="shared" si="24"/>
        <v>0</v>
      </c>
      <c r="BJ63" s="16">
        <f t="shared" si="25"/>
        <v>0</v>
      </c>
      <c r="BK63" s="16">
        <f t="shared" si="26"/>
        <v>0</v>
      </c>
      <c r="BL63" s="16">
        <f t="shared" si="27"/>
        <v>0</v>
      </c>
      <c r="BM63" s="16">
        <f t="shared" si="28"/>
        <v>0</v>
      </c>
      <c r="BN63" s="16">
        <f t="shared" si="29"/>
        <v>0</v>
      </c>
      <c r="BO63" s="16">
        <f t="shared" si="30"/>
        <v>0</v>
      </c>
      <c r="BP63" s="16">
        <f t="shared" si="31"/>
        <v>0</v>
      </c>
      <c r="BQ63" s="16">
        <f t="shared" si="32"/>
        <v>0</v>
      </c>
      <c r="BR63" s="16">
        <f t="shared" si="33"/>
        <v>0</v>
      </c>
      <c r="BS63" s="16">
        <f t="shared" si="34"/>
        <v>0</v>
      </c>
      <c r="BT63" s="22">
        <f t="shared" si="35"/>
        <v>0</v>
      </c>
    </row>
    <row r="64" spans="1:72" s="2167" customFormat="1" ht="12.75">
      <c r="A64" s="1274"/>
      <c r="B64" s="1274"/>
      <c r="C64" s="2153"/>
      <c r="D64" s="2954" t="s">
        <v>3374</v>
      </c>
      <c r="E64" s="16">
        <f t="shared" si="7"/>
        <v>0</v>
      </c>
      <c r="F64" s="32"/>
      <c r="G64" s="33">
        <f t="shared" si="8"/>
        <v>0</v>
      </c>
      <c r="H64" s="20">
        <f t="shared" si="9"/>
        <v>0</v>
      </c>
      <c r="I64" s="2213"/>
      <c r="J64" s="2213"/>
      <c r="K64" s="2213"/>
      <c r="L64" s="2213"/>
      <c r="M64" s="2213"/>
      <c r="N64" s="2213"/>
      <c r="O64" s="2213"/>
      <c r="P64" s="2213"/>
      <c r="Q64" s="2213"/>
      <c r="R64" s="2213"/>
      <c r="S64" s="2213"/>
      <c r="T64" s="2213"/>
      <c r="U64" s="2213"/>
      <c r="V64" s="2213"/>
      <c r="W64" s="2213"/>
      <c r="X64" s="2213"/>
      <c r="Y64" s="2213"/>
      <c r="Z64" s="2213"/>
      <c r="AA64" s="2213"/>
      <c r="AB64" s="2213"/>
      <c r="AC64" s="16">
        <f t="shared" si="10"/>
        <v>0</v>
      </c>
      <c r="AD64" s="2214"/>
      <c r="AE64" s="2214"/>
      <c r="AF64" s="2214"/>
      <c r="AG64" s="2214"/>
      <c r="AH64" s="2214"/>
      <c r="AI64" s="2214"/>
      <c r="AJ64" s="2214"/>
      <c r="AK64" s="2214"/>
      <c r="AL64" s="2214"/>
      <c r="AM64" s="2214"/>
      <c r="AN64" s="2214"/>
      <c r="AO64" s="2214"/>
      <c r="AP64" s="2214"/>
      <c r="AQ64" s="2214"/>
      <c r="AR64" s="2214"/>
      <c r="AS64" s="2214"/>
      <c r="AT64" s="2215"/>
      <c r="AU64" s="2216"/>
      <c r="AV64" s="11">
        <f t="shared" si="11"/>
        <v>0</v>
      </c>
      <c r="AW64" s="11">
        <f t="shared" si="12"/>
        <v>0</v>
      </c>
      <c r="AX64" s="11">
        <f t="shared" si="13"/>
        <v>0</v>
      </c>
      <c r="AY64" s="2953">
        <f t="shared" si="14"/>
        <v>0</v>
      </c>
      <c r="AZ64" s="16">
        <f t="shared" si="15"/>
        <v>0</v>
      </c>
      <c r="BA64" s="16">
        <f t="shared" si="16"/>
        <v>0</v>
      </c>
      <c r="BB64" s="16">
        <f t="shared" si="17"/>
        <v>0</v>
      </c>
      <c r="BC64" s="16">
        <f t="shared" si="18"/>
        <v>0</v>
      </c>
      <c r="BD64" s="16">
        <f t="shared" si="19"/>
        <v>0</v>
      </c>
      <c r="BE64" s="16">
        <f t="shared" si="20"/>
        <v>0</v>
      </c>
      <c r="BF64" s="16">
        <f t="shared" si="21"/>
        <v>0</v>
      </c>
      <c r="BG64" s="16">
        <f t="shared" si="22"/>
        <v>0</v>
      </c>
      <c r="BH64" s="16">
        <f t="shared" si="23"/>
        <v>0</v>
      </c>
      <c r="BI64" s="16">
        <f t="shared" si="24"/>
        <v>0</v>
      </c>
      <c r="BJ64" s="16">
        <f t="shared" si="25"/>
        <v>0</v>
      </c>
      <c r="BK64" s="16">
        <f t="shared" si="26"/>
        <v>0</v>
      </c>
      <c r="BL64" s="16">
        <f t="shared" si="27"/>
        <v>0</v>
      </c>
      <c r="BM64" s="16">
        <f t="shared" si="28"/>
        <v>0</v>
      </c>
      <c r="BN64" s="16">
        <f t="shared" si="29"/>
        <v>0</v>
      </c>
      <c r="BO64" s="16">
        <f t="shared" si="30"/>
        <v>0</v>
      </c>
      <c r="BP64" s="16">
        <f t="shared" si="31"/>
        <v>0</v>
      </c>
      <c r="BQ64" s="16">
        <f t="shared" si="32"/>
        <v>0</v>
      </c>
      <c r="BR64" s="16">
        <f t="shared" si="33"/>
        <v>0</v>
      </c>
      <c r="BS64" s="16">
        <f t="shared" si="34"/>
        <v>0</v>
      </c>
      <c r="BT64" s="22">
        <f t="shared" si="35"/>
        <v>0</v>
      </c>
    </row>
    <row r="65" spans="1:72" s="2167" customFormat="1" ht="12.75">
      <c r="A65" s="1274"/>
      <c r="B65" s="1274"/>
      <c r="C65" s="2153"/>
      <c r="D65" s="2954" t="s">
        <v>3374</v>
      </c>
      <c r="E65" s="16">
        <f t="shared" si="7"/>
        <v>0</v>
      </c>
      <c r="F65" s="32"/>
      <c r="G65" s="33">
        <f t="shared" si="8"/>
        <v>0</v>
      </c>
      <c r="H65" s="20">
        <f t="shared" si="9"/>
        <v>0</v>
      </c>
      <c r="I65" s="2213"/>
      <c r="J65" s="2213"/>
      <c r="K65" s="2213"/>
      <c r="L65" s="2213"/>
      <c r="M65" s="2213"/>
      <c r="N65" s="2213"/>
      <c r="O65" s="2213"/>
      <c r="P65" s="2213"/>
      <c r="Q65" s="2213"/>
      <c r="R65" s="2213"/>
      <c r="S65" s="2213"/>
      <c r="T65" s="2213"/>
      <c r="U65" s="2213"/>
      <c r="V65" s="2213"/>
      <c r="W65" s="2213"/>
      <c r="X65" s="2213"/>
      <c r="Y65" s="2213"/>
      <c r="Z65" s="2213"/>
      <c r="AA65" s="2213"/>
      <c r="AB65" s="2213"/>
      <c r="AC65" s="16">
        <f t="shared" si="10"/>
        <v>0</v>
      </c>
      <c r="AD65" s="2214"/>
      <c r="AE65" s="2214"/>
      <c r="AF65" s="2214"/>
      <c r="AG65" s="2214"/>
      <c r="AH65" s="2214"/>
      <c r="AI65" s="2214"/>
      <c r="AJ65" s="2214"/>
      <c r="AK65" s="2214"/>
      <c r="AL65" s="2214"/>
      <c r="AM65" s="2214"/>
      <c r="AN65" s="2214"/>
      <c r="AO65" s="2214"/>
      <c r="AP65" s="2214"/>
      <c r="AQ65" s="2214"/>
      <c r="AR65" s="2214"/>
      <c r="AS65" s="2214"/>
      <c r="AT65" s="2215"/>
      <c r="AU65" s="2216"/>
      <c r="AV65" s="11">
        <f t="shared" si="11"/>
        <v>0</v>
      </c>
      <c r="AW65" s="11">
        <f t="shared" si="12"/>
        <v>0</v>
      </c>
      <c r="AX65" s="11">
        <f t="shared" si="13"/>
        <v>0</v>
      </c>
      <c r="AY65" s="2953">
        <f t="shared" si="14"/>
        <v>0</v>
      </c>
      <c r="AZ65" s="16">
        <f t="shared" si="15"/>
        <v>0</v>
      </c>
      <c r="BA65" s="16">
        <f t="shared" si="16"/>
        <v>0</v>
      </c>
      <c r="BB65" s="16">
        <f t="shared" si="17"/>
        <v>0</v>
      </c>
      <c r="BC65" s="16">
        <f t="shared" si="18"/>
        <v>0</v>
      </c>
      <c r="BD65" s="16">
        <f t="shared" si="19"/>
        <v>0</v>
      </c>
      <c r="BE65" s="16">
        <f t="shared" si="20"/>
        <v>0</v>
      </c>
      <c r="BF65" s="16">
        <f t="shared" si="21"/>
        <v>0</v>
      </c>
      <c r="BG65" s="16">
        <f t="shared" si="22"/>
        <v>0</v>
      </c>
      <c r="BH65" s="16">
        <f t="shared" si="23"/>
        <v>0</v>
      </c>
      <c r="BI65" s="16">
        <f t="shared" si="24"/>
        <v>0</v>
      </c>
      <c r="BJ65" s="16">
        <f t="shared" si="25"/>
        <v>0</v>
      </c>
      <c r="BK65" s="16">
        <f t="shared" si="26"/>
        <v>0</v>
      </c>
      <c r="BL65" s="16">
        <f t="shared" si="27"/>
        <v>0</v>
      </c>
      <c r="BM65" s="16">
        <f t="shared" si="28"/>
        <v>0</v>
      </c>
      <c r="BN65" s="16">
        <f t="shared" si="29"/>
        <v>0</v>
      </c>
      <c r="BO65" s="16">
        <f t="shared" si="30"/>
        <v>0</v>
      </c>
      <c r="BP65" s="16">
        <f t="shared" si="31"/>
        <v>0</v>
      </c>
      <c r="BQ65" s="16">
        <f t="shared" si="32"/>
        <v>0</v>
      </c>
      <c r="BR65" s="16">
        <f t="shared" si="33"/>
        <v>0</v>
      </c>
      <c r="BS65" s="16">
        <f t="shared" si="34"/>
        <v>0</v>
      </c>
      <c r="BT65" s="22">
        <f t="shared" si="35"/>
        <v>0</v>
      </c>
    </row>
    <row r="66" spans="1:72" s="2167" customFormat="1" ht="12.75">
      <c r="A66" s="1274"/>
      <c r="B66" s="1274"/>
      <c r="C66" s="2153"/>
      <c r="D66" s="2954" t="s">
        <v>3374</v>
      </c>
      <c r="E66" s="16">
        <f t="shared" si="7"/>
        <v>0</v>
      </c>
      <c r="F66" s="32"/>
      <c r="G66" s="33">
        <f t="shared" si="8"/>
        <v>0</v>
      </c>
      <c r="H66" s="20">
        <f t="shared" si="9"/>
        <v>0</v>
      </c>
      <c r="I66" s="2213"/>
      <c r="J66" s="2213"/>
      <c r="K66" s="2213"/>
      <c r="L66" s="2213"/>
      <c r="M66" s="2213"/>
      <c r="N66" s="2213"/>
      <c r="O66" s="2213"/>
      <c r="P66" s="2213"/>
      <c r="Q66" s="2213"/>
      <c r="R66" s="2213"/>
      <c r="S66" s="2213"/>
      <c r="T66" s="2213"/>
      <c r="U66" s="2213"/>
      <c r="V66" s="2213"/>
      <c r="W66" s="2213"/>
      <c r="X66" s="2213"/>
      <c r="Y66" s="2213"/>
      <c r="Z66" s="2213"/>
      <c r="AA66" s="2213"/>
      <c r="AB66" s="2213"/>
      <c r="AC66" s="16">
        <f t="shared" si="10"/>
        <v>0</v>
      </c>
      <c r="AD66" s="2214"/>
      <c r="AE66" s="2214"/>
      <c r="AF66" s="2214"/>
      <c r="AG66" s="2214"/>
      <c r="AH66" s="2214"/>
      <c r="AI66" s="2214"/>
      <c r="AJ66" s="2214"/>
      <c r="AK66" s="2214"/>
      <c r="AL66" s="2214"/>
      <c r="AM66" s="2214"/>
      <c r="AN66" s="2214"/>
      <c r="AO66" s="2214"/>
      <c r="AP66" s="2214"/>
      <c r="AQ66" s="2214"/>
      <c r="AR66" s="2214"/>
      <c r="AS66" s="2214"/>
      <c r="AT66" s="2215"/>
      <c r="AU66" s="2216"/>
      <c r="AV66" s="11">
        <f t="shared" si="11"/>
        <v>0</v>
      </c>
      <c r="AW66" s="11">
        <f t="shared" si="12"/>
        <v>0</v>
      </c>
      <c r="AX66" s="11">
        <f t="shared" si="13"/>
        <v>0</v>
      </c>
      <c r="AY66" s="2953">
        <f t="shared" si="14"/>
        <v>0</v>
      </c>
      <c r="AZ66" s="16">
        <f t="shared" si="15"/>
        <v>0</v>
      </c>
      <c r="BA66" s="16">
        <f t="shared" si="16"/>
        <v>0</v>
      </c>
      <c r="BB66" s="16">
        <f t="shared" si="17"/>
        <v>0</v>
      </c>
      <c r="BC66" s="16">
        <f t="shared" si="18"/>
        <v>0</v>
      </c>
      <c r="BD66" s="16">
        <f t="shared" si="19"/>
        <v>0</v>
      </c>
      <c r="BE66" s="16">
        <f t="shared" si="20"/>
        <v>0</v>
      </c>
      <c r="BF66" s="16">
        <f t="shared" si="21"/>
        <v>0</v>
      </c>
      <c r="BG66" s="16">
        <f t="shared" si="22"/>
        <v>0</v>
      </c>
      <c r="BH66" s="16">
        <f t="shared" si="23"/>
        <v>0</v>
      </c>
      <c r="BI66" s="16">
        <f t="shared" si="24"/>
        <v>0</v>
      </c>
      <c r="BJ66" s="16">
        <f t="shared" si="25"/>
        <v>0</v>
      </c>
      <c r="BK66" s="16">
        <f t="shared" si="26"/>
        <v>0</v>
      </c>
      <c r="BL66" s="16">
        <f t="shared" si="27"/>
        <v>0</v>
      </c>
      <c r="BM66" s="16">
        <f t="shared" si="28"/>
        <v>0</v>
      </c>
      <c r="BN66" s="16">
        <f t="shared" si="29"/>
        <v>0</v>
      </c>
      <c r="BO66" s="16">
        <f t="shared" si="30"/>
        <v>0</v>
      </c>
      <c r="BP66" s="16">
        <f t="shared" si="31"/>
        <v>0</v>
      </c>
      <c r="BQ66" s="16">
        <f t="shared" si="32"/>
        <v>0</v>
      </c>
      <c r="BR66" s="16">
        <f t="shared" si="33"/>
        <v>0</v>
      </c>
      <c r="BS66" s="16">
        <f t="shared" si="34"/>
        <v>0</v>
      </c>
      <c r="BT66" s="22">
        <f t="shared" si="35"/>
        <v>0</v>
      </c>
    </row>
    <row r="67" spans="1:72" s="2167" customFormat="1" ht="12.75">
      <c r="A67" s="1274"/>
      <c r="B67" s="1274"/>
      <c r="C67" s="2153"/>
      <c r="D67" s="2954" t="s">
        <v>3374</v>
      </c>
      <c r="E67" s="16">
        <f t="shared" si="7"/>
        <v>0</v>
      </c>
      <c r="F67" s="32"/>
      <c r="G67" s="33">
        <f t="shared" si="8"/>
        <v>0</v>
      </c>
      <c r="H67" s="20">
        <f t="shared" si="9"/>
        <v>0</v>
      </c>
      <c r="I67" s="2213"/>
      <c r="J67" s="2213"/>
      <c r="K67" s="2213"/>
      <c r="L67" s="2213"/>
      <c r="M67" s="2213"/>
      <c r="N67" s="2213"/>
      <c r="O67" s="2213"/>
      <c r="P67" s="2213"/>
      <c r="Q67" s="2213"/>
      <c r="R67" s="2213"/>
      <c r="S67" s="2213"/>
      <c r="T67" s="2213"/>
      <c r="U67" s="2213"/>
      <c r="V67" s="2213"/>
      <c r="W67" s="2213"/>
      <c r="X67" s="2213"/>
      <c r="Y67" s="2213"/>
      <c r="Z67" s="2213"/>
      <c r="AA67" s="2213"/>
      <c r="AB67" s="2213"/>
      <c r="AC67" s="16">
        <f t="shared" si="10"/>
        <v>0</v>
      </c>
      <c r="AD67" s="2214"/>
      <c r="AE67" s="2214"/>
      <c r="AF67" s="2214"/>
      <c r="AG67" s="2214"/>
      <c r="AH67" s="2214"/>
      <c r="AI67" s="2214"/>
      <c r="AJ67" s="2214"/>
      <c r="AK67" s="2214"/>
      <c r="AL67" s="2214"/>
      <c r="AM67" s="2214"/>
      <c r="AN67" s="2214"/>
      <c r="AO67" s="2214"/>
      <c r="AP67" s="2214"/>
      <c r="AQ67" s="2214"/>
      <c r="AR67" s="2214"/>
      <c r="AS67" s="2214"/>
      <c r="AT67" s="2215"/>
      <c r="AU67" s="2216"/>
      <c r="AV67" s="11">
        <f t="shared" si="11"/>
        <v>0</v>
      </c>
      <c r="AW67" s="11">
        <f t="shared" si="12"/>
        <v>0</v>
      </c>
      <c r="AX67" s="11">
        <f t="shared" si="13"/>
        <v>0</v>
      </c>
      <c r="AY67" s="2953">
        <f t="shared" si="14"/>
        <v>0</v>
      </c>
      <c r="AZ67" s="16">
        <f t="shared" si="15"/>
        <v>0</v>
      </c>
      <c r="BA67" s="16">
        <f t="shared" si="16"/>
        <v>0</v>
      </c>
      <c r="BB67" s="16">
        <f t="shared" si="17"/>
        <v>0</v>
      </c>
      <c r="BC67" s="16">
        <f t="shared" si="18"/>
        <v>0</v>
      </c>
      <c r="BD67" s="16">
        <f t="shared" si="19"/>
        <v>0</v>
      </c>
      <c r="BE67" s="16">
        <f t="shared" si="20"/>
        <v>0</v>
      </c>
      <c r="BF67" s="16">
        <f t="shared" si="21"/>
        <v>0</v>
      </c>
      <c r="BG67" s="16">
        <f t="shared" si="22"/>
        <v>0</v>
      </c>
      <c r="BH67" s="16">
        <f t="shared" si="23"/>
        <v>0</v>
      </c>
      <c r="BI67" s="16">
        <f t="shared" si="24"/>
        <v>0</v>
      </c>
      <c r="BJ67" s="16">
        <f t="shared" si="25"/>
        <v>0</v>
      </c>
      <c r="BK67" s="16">
        <f t="shared" si="26"/>
        <v>0</v>
      </c>
      <c r="BL67" s="16">
        <f t="shared" si="27"/>
        <v>0</v>
      </c>
      <c r="BM67" s="16">
        <f t="shared" si="28"/>
        <v>0</v>
      </c>
      <c r="BN67" s="16">
        <f t="shared" si="29"/>
        <v>0</v>
      </c>
      <c r="BO67" s="16">
        <f t="shared" si="30"/>
        <v>0</v>
      </c>
      <c r="BP67" s="16">
        <f t="shared" si="31"/>
        <v>0</v>
      </c>
      <c r="BQ67" s="16">
        <f t="shared" si="32"/>
        <v>0</v>
      </c>
      <c r="BR67" s="16">
        <f t="shared" si="33"/>
        <v>0</v>
      </c>
      <c r="BS67" s="16">
        <f t="shared" si="34"/>
        <v>0</v>
      </c>
      <c r="BT67" s="22">
        <f t="shared" si="35"/>
        <v>0</v>
      </c>
    </row>
    <row r="68" spans="1:72" s="2167" customFormat="1" ht="12.75">
      <c r="A68" s="1274"/>
      <c r="B68" s="1274"/>
      <c r="C68" s="2153"/>
      <c r="D68" s="2954" t="s">
        <v>3374</v>
      </c>
      <c r="E68" s="16">
        <f t="shared" si="7"/>
        <v>0</v>
      </c>
      <c r="F68" s="32"/>
      <c r="G68" s="33">
        <f t="shared" si="8"/>
        <v>0</v>
      </c>
      <c r="H68" s="20">
        <f t="shared" si="9"/>
        <v>0</v>
      </c>
      <c r="I68" s="2213"/>
      <c r="J68" s="2213"/>
      <c r="K68" s="2213"/>
      <c r="L68" s="2213"/>
      <c r="M68" s="2213"/>
      <c r="N68" s="2213"/>
      <c r="O68" s="2213"/>
      <c r="P68" s="2213"/>
      <c r="Q68" s="2213"/>
      <c r="R68" s="2213"/>
      <c r="S68" s="2213"/>
      <c r="T68" s="2213"/>
      <c r="U68" s="2213"/>
      <c r="V68" s="2213"/>
      <c r="W68" s="2213"/>
      <c r="X68" s="2213"/>
      <c r="Y68" s="2213"/>
      <c r="Z68" s="2213"/>
      <c r="AA68" s="2213"/>
      <c r="AB68" s="2213"/>
      <c r="AC68" s="16">
        <f t="shared" si="10"/>
        <v>0</v>
      </c>
      <c r="AD68" s="2214"/>
      <c r="AE68" s="2214"/>
      <c r="AF68" s="2214"/>
      <c r="AG68" s="2214"/>
      <c r="AH68" s="2214"/>
      <c r="AI68" s="2214"/>
      <c r="AJ68" s="2214"/>
      <c r="AK68" s="2214"/>
      <c r="AL68" s="2214"/>
      <c r="AM68" s="2214"/>
      <c r="AN68" s="2214"/>
      <c r="AO68" s="2214"/>
      <c r="AP68" s="2214"/>
      <c r="AQ68" s="2214"/>
      <c r="AR68" s="2214"/>
      <c r="AS68" s="2214"/>
      <c r="AT68" s="2215"/>
      <c r="AU68" s="2216"/>
      <c r="AV68" s="11">
        <f t="shared" si="11"/>
        <v>0</v>
      </c>
      <c r="AW68" s="11">
        <f t="shared" si="12"/>
        <v>0</v>
      </c>
      <c r="AX68" s="11">
        <f t="shared" si="13"/>
        <v>0</v>
      </c>
      <c r="AY68" s="2953">
        <f t="shared" si="14"/>
        <v>0</v>
      </c>
      <c r="AZ68" s="16">
        <f t="shared" si="15"/>
        <v>0</v>
      </c>
      <c r="BA68" s="16">
        <f t="shared" si="16"/>
        <v>0</v>
      </c>
      <c r="BB68" s="16">
        <f t="shared" si="17"/>
        <v>0</v>
      </c>
      <c r="BC68" s="16">
        <f t="shared" si="18"/>
        <v>0</v>
      </c>
      <c r="BD68" s="16">
        <f t="shared" si="19"/>
        <v>0</v>
      </c>
      <c r="BE68" s="16">
        <f t="shared" si="20"/>
        <v>0</v>
      </c>
      <c r="BF68" s="16">
        <f t="shared" si="21"/>
        <v>0</v>
      </c>
      <c r="BG68" s="16">
        <f t="shared" si="22"/>
        <v>0</v>
      </c>
      <c r="BH68" s="16">
        <f t="shared" si="23"/>
        <v>0</v>
      </c>
      <c r="BI68" s="16">
        <f t="shared" si="24"/>
        <v>0</v>
      </c>
      <c r="BJ68" s="16">
        <f t="shared" si="25"/>
        <v>0</v>
      </c>
      <c r="BK68" s="16">
        <f t="shared" si="26"/>
        <v>0</v>
      </c>
      <c r="BL68" s="16">
        <f t="shared" si="27"/>
        <v>0</v>
      </c>
      <c r="BM68" s="16">
        <f t="shared" si="28"/>
        <v>0</v>
      </c>
      <c r="BN68" s="16">
        <f t="shared" si="29"/>
        <v>0</v>
      </c>
      <c r="BO68" s="16">
        <f t="shared" si="30"/>
        <v>0</v>
      </c>
      <c r="BP68" s="16">
        <f t="shared" si="31"/>
        <v>0</v>
      </c>
      <c r="BQ68" s="16">
        <f t="shared" si="32"/>
        <v>0</v>
      </c>
      <c r="BR68" s="16">
        <f t="shared" si="33"/>
        <v>0</v>
      </c>
      <c r="BS68" s="16">
        <f t="shared" si="34"/>
        <v>0</v>
      </c>
      <c r="BT68" s="22">
        <f t="shared" si="35"/>
        <v>0</v>
      </c>
    </row>
    <row r="69" spans="1:72" s="2167" customFormat="1" ht="12.75">
      <c r="A69" s="1274"/>
      <c r="B69" s="1274"/>
      <c r="C69" s="2153"/>
      <c r="D69" s="2954" t="s">
        <v>3374</v>
      </c>
      <c r="E69" s="16">
        <f t="shared" si="7"/>
        <v>0</v>
      </c>
      <c r="F69" s="32"/>
      <c r="G69" s="33">
        <f t="shared" si="8"/>
        <v>0</v>
      </c>
      <c r="H69" s="20">
        <f t="shared" si="9"/>
        <v>0</v>
      </c>
      <c r="I69" s="2213"/>
      <c r="J69" s="2213"/>
      <c r="K69" s="2213"/>
      <c r="L69" s="2213"/>
      <c r="M69" s="2213"/>
      <c r="N69" s="2213"/>
      <c r="O69" s="2213"/>
      <c r="P69" s="2213"/>
      <c r="Q69" s="2213"/>
      <c r="R69" s="2213"/>
      <c r="S69" s="2213"/>
      <c r="T69" s="2213"/>
      <c r="U69" s="2213"/>
      <c r="V69" s="2213"/>
      <c r="W69" s="2213"/>
      <c r="X69" s="2213"/>
      <c r="Y69" s="2213"/>
      <c r="Z69" s="2213"/>
      <c r="AA69" s="2213"/>
      <c r="AB69" s="2213"/>
      <c r="AC69" s="16">
        <f t="shared" si="10"/>
        <v>0</v>
      </c>
      <c r="AD69" s="2214"/>
      <c r="AE69" s="2214"/>
      <c r="AF69" s="2214"/>
      <c r="AG69" s="2214"/>
      <c r="AH69" s="2214"/>
      <c r="AI69" s="2214"/>
      <c r="AJ69" s="2214"/>
      <c r="AK69" s="2214"/>
      <c r="AL69" s="2214"/>
      <c r="AM69" s="2214"/>
      <c r="AN69" s="2214"/>
      <c r="AO69" s="2214"/>
      <c r="AP69" s="2214"/>
      <c r="AQ69" s="2214"/>
      <c r="AR69" s="2214"/>
      <c r="AS69" s="2214"/>
      <c r="AT69" s="2215"/>
      <c r="AU69" s="2216"/>
      <c r="AV69" s="11">
        <f t="shared" si="11"/>
        <v>0</v>
      </c>
      <c r="AW69" s="11">
        <f t="shared" si="12"/>
        <v>0</v>
      </c>
      <c r="AX69" s="11">
        <f t="shared" si="13"/>
        <v>0</v>
      </c>
      <c r="AY69" s="2953">
        <f t="shared" si="14"/>
        <v>0</v>
      </c>
      <c r="AZ69" s="16">
        <f t="shared" si="15"/>
        <v>0</v>
      </c>
      <c r="BA69" s="16">
        <f t="shared" si="16"/>
        <v>0</v>
      </c>
      <c r="BB69" s="16">
        <f t="shared" si="17"/>
        <v>0</v>
      </c>
      <c r="BC69" s="16">
        <f t="shared" si="18"/>
        <v>0</v>
      </c>
      <c r="BD69" s="16">
        <f t="shared" si="19"/>
        <v>0</v>
      </c>
      <c r="BE69" s="16">
        <f t="shared" si="20"/>
        <v>0</v>
      </c>
      <c r="BF69" s="16">
        <f t="shared" si="21"/>
        <v>0</v>
      </c>
      <c r="BG69" s="16">
        <f t="shared" si="22"/>
        <v>0</v>
      </c>
      <c r="BH69" s="16">
        <f t="shared" si="23"/>
        <v>0</v>
      </c>
      <c r="BI69" s="16">
        <f t="shared" si="24"/>
        <v>0</v>
      </c>
      <c r="BJ69" s="16">
        <f t="shared" si="25"/>
        <v>0</v>
      </c>
      <c r="BK69" s="16">
        <f t="shared" si="26"/>
        <v>0</v>
      </c>
      <c r="BL69" s="16">
        <f t="shared" si="27"/>
        <v>0</v>
      </c>
      <c r="BM69" s="16">
        <f t="shared" si="28"/>
        <v>0</v>
      </c>
      <c r="BN69" s="16">
        <f t="shared" si="29"/>
        <v>0</v>
      </c>
      <c r="BO69" s="16">
        <f t="shared" si="30"/>
        <v>0</v>
      </c>
      <c r="BP69" s="16">
        <f t="shared" si="31"/>
        <v>0</v>
      </c>
      <c r="BQ69" s="16">
        <f t="shared" si="32"/>
        <v>0</v>
      </c>
      <c r="BR69" s="16">
        <f t="shared" si="33"/>
        <v>0</v>
      </c>
      <c r="BS69" s="16">
        <f t="shared" si="34"/>
        <v>0</v>
      </c>
      <c r="BT69" s="22">
        <f t="shared" si="35"/>
        <v>0</v>
      </c>
    </row>
    <row r="70" spans="1:72" s="2167" customFormat="1" ht="12.75">
      <c r="A70" s="1274"/>
      <c r="B70" s="1274"/>
      <c r="C70" s="2153"/>
      <c r="D70" s="2954" t="s">
        <v>3374</v>
      </c>
      <c r="E70" s="16">
        <f t="shared" si="7"/>
        <v>0</v>
      </c>
      <c r="F70" s="32"/>
      <c r="G70" s="33">
        <f t="shared" si="8"/>
        <v>0</v>
      </c>
      <c r="H70" s="20">
        <f t="shared" si="9"/>
        <v>0</v>
      </c>
      <c r="I70" s="2213"/>
      <c r="J70" s="2213"/>
      <c r="K70" s="2213"/>
      <c r="L70" s="2213"/>
      <c r="M70" s="2213"/>
      <c r="N70" s="2213"/>
      <c r="O70" s="2213"/>
      <c r="P70" s="2213"/>
      <c r="Q70" s="2213"/>
      <c r="R70" s="2213"/>
      <c r="S70" s="2213"/>
      <c r="T70" s="2213"/>
      <c r="U70" s="2213"/>
      <c r="V70" s="2213"/>
      <c r="W70" s="2213"/>
      <c r="X70" s="2213"/>
      <c r="Y70" s="2213"/>
      <c r="Z70" s="2213"/>
      <c r="AA70" s="2213"/>
      <c r="AB70" s="2213"/>
      <c r="AC70" s="16">
        <f t="shared" si="10"/>
        <v>0</v>
      </c>
      <c r="AD70" s="2214"/>
      <c r="AE70" s="2214"/>
      <c r="AF70" s="2214"/>
      <c r="AG70" s="2214"/>
      <c r="AH70" s="2214"/>
      <c r="AI70" s="2214"/>
      <c r="AJ70" s="2214"/>
      <c r="AK70" s="2214"/>
      <c r="AL70" s="2214"/>
      <c r="AM70" s="2214"/>
      <c r="AN70" s="2214"/>
      <c r="AO70" s="2214"/>
      <c r="AP70" s="2214"/>
      <c r="AQ70" s="2214"/>
      <c r="AR70" s="2214"/>
      <c r="AS70" s="2214"/>
      <c r="AT70" s="2215"/>
      <c r="AU70" s="2216"/>
      <c r="AV70" s="11">
        <f t="shared" si="11"/>
        <v>0</v>
      </c>
      <c r="AW70" s="11">
        <f t="shared" si="12"/>
        <v>0</v>
      </c>
      <c r="AX70" s="11">
        <f t="shared" si="13"/>
        <v>0</v>
      </c>
      <c r="AY70" s="2953">
        <f t="shared" si="14"/>
        <v>0</v>
      </c>
      <c r="AZ70" s="16">
        <f t="shared" si="15"/>
        <v>0</v>
      </c>
      <c r="BA70" s="16">
        <f t="shared" si="16"/>
        <v>0</v>
      </c>
      <c r="BB70" s="16">
        <f t="shared" si="17"/>
        <v>0</v>
      </c>
      <c r="BC70" s="16">
        <f t="shared" si="18"/>
        <v>0</v>
      </c>
      <c r="BD70" s="16">
        <f t="shared" si="19"/>
        <v>0</v>
      </c>
      <c r="BE70" s="16">
        <f t="shared" si="20"/>
        <v>0</v>
      </c>
      <c r="BF70" s="16">
        <f t="shared" si="21"/>
        <v>0</v>
      </c>
      <c r="BG70" s="16">
        <f t="shared" si="22"/>
        <v>0</v>
      </c>
      <c r="BH70" s="16">
        <f t="shared" si="23"/>
        <v>0</v>
      </c>
      <c r="BI70" s="16">
        <f t="shared" si="24"/>
        <v>0</v>
      </c>
      <c r="BJ70" s="16">
        <f t="shared" si="25"/>
        <v>0</v>
      </c>
      <c r="BK70" s="16">
        <f t="shared" si="26"/>
        <v>0</v>
      </c>
      <c r="BL70" s="16">
        <f t="shared" si="27"/>
        <v>0</v>
      </c>
      <c r="BM70" s="16">
        <f t="shared" si="28"/>
        <v>0</v>
      </c>
      <c r="BN70" s="16">
        <f t="shared" si="29"/>
        <v>0</v>
      </c>
      <c r="BO70" s="16">
        <f t="shared" si="30"/>
        <v>0</v>
      </c>
      <c r="BP70" s="16">
        <f t="shared" si="31"/>
        <v>0</v>
      </c>
      <c r="BQ70" s="16">
        <f t="shared" si="32"/>
        <v>0</v>
      </c>
      <c r="BR70" s="16">
        <f t="shared" si="33"/>
        <v>0</v>
      </c>
      <c r="BS70" s="16">
        <f t="shared" si="34"/>
        <v>0</v>
      </c>
      <c r="BT70" s="22">
        <f t="shared" si="35"/>
        <v>0</v>
      </c>
    </row>
    <row r="71" spans="1:72" s="2167" customFormat="1" ht="12.75">
      <c r="A71" s="1274"/>
      <c r="B71" s="1274"/>
      <c r="C71" s="2153"/>
      <c r="D71" s="2954" t="s">
        <v>3374</v>
      </c>
      <c r="E71" s="16">
        <f t="shared" si="7"/>
        <v>0</v>
      </c>
      <c r="F71" s="32"/>
      <c r="G71" s="33">
        <f t="shared" si="8"/>
        <v>0</v>
      </c>
      <c r="H71" s="20">
        <f t="shared" si="9"/>
        <v>0</v>
      </c>
      <c r="I71" s="2213"/>
      <c r="J71" s="2213"/>
      <c r="K71" s="2213"/>
      <c r="L71" s="2213"/>
      <c r="M71" s="2213"/>
      <c r="N71" s="2213"/>
      <c r="O71" s="2213"/>
      <c r="P71" s="2213"/>
      <c r="Q71" s="2213"/>
      <c r="R71" s="2213"/>
      <c r="S71" s="2213"/>
      <c r="T71" s="2213"/>
      <c r="U71" s="2213"/>
      <c r="V71" s="2213"/>
      <c r="W71" s="2213"/>
      <c r="X71" s="2213"/>
      <c r="Y71" s="2213"/>
      <c r="Z71" s="2213"/>
      <c r="AA71" s="2213"/>
      <c r="AB71" s="2213"/>
      <c r="AC71" s="16">
        <f t="shared" si="10"/>
        <v>0</v>
      </c>
      <c r="AD71" s="2214"/>
      <c r="AE71" s="2214"/>
      <c r="AF71" s="2214"/>
      <c r="AG71" s="2214"/>
      <c r="AH71" s="2214"/>
      <c r="AI71" s="2214"/>
      <c r="AJ71" s="2214"/>
      <c r="AK71" s="2214"/>
      <c r="AL71" s="2214"/>
      <c r="AM71" s="2214"/>
      <c r="AN71" s="2214"/>
      <c r="AO71" s="2214"/>
      <c r="AP71" s="2214"/>
      <c r="AQ71" s="2214"/>
      <c r="AR71" s="2214"/>
      <c r="AS71" s="2214"/>
      <c r="AT71" s="2215"/>
      <c r="AU71" s="2216"/>
      <c r="AV71" s="11">
        <f t="shared" si="11"/>
        <v>0</v>
      </c>
      <c r="AW71" s="11">
        <f t="shared" si="12"/>
        <v>0</v>
      </c>
      <c r="AX71" s="11">
        <f t="shared" si="13"/>
        <v>0</v>
      </c>
      <c r="AY71" s="2953">
        <f t="shared" si="14"/>
        <v>0</v>
      </c>
      <c r="AZ71" s="16">
        <f t="shared" si="15"/>
        <v>0</v>
      </c>
      <c r="BA71" s="16">
        <f t="shared" si="16"/>
        <v>0</v>
      </c>
      <c r="BB71" s="16">
        <f t="shared" si="17"/>
        <v>0</v>
      </c>
      <c r="BC71" s="16">
        <f t="shared" si="18"/>
        <v>0</v>
      </c>
      <c r="BD71" s="16">
        <f t="shared" si="19"/>
        <v>0</v>
      </c>
      <c r="BE71" s="16">
        <f t="shared" si="20"/>
        <v>0</v>
      </c>
      <c r="BF71" s="16">
        <f t="shared" si="21"/>
        <v>0</v>
      </c>
      <c r="BG71" s="16">
        <f t="shared" si="22"/>
        <v>0</v>
      </c>
      <c r="BH71" s="16">
        <f t="shared" si="23"/>
        <v>0</v>
      </c>
      <c r="BI71" s="16">
        <f t="shared" si="24"/>
        <v>0</v>
      </c>
      <c r="BJ71" s="16">
        <f t="shared" si="25"/>
        <v>0</v>
      </c>
      <c r="BK71" s="16">
        <f t="shared" si="26"/>
        <v>0</v>
      </c>
      <c r="BL71" s="16">
        <f t="shared" si="27"/>
        <v>0</v>
      </c>
      <c r="BM71" s="16">
        <f t="shared" si="28"/>
        <v>0</v>
      </c>
      <c r="BN71" s="16">
        <f t="shared" si="29"/>
        <v>0</v>
      </c>
      <c r="BO71" s="16">
        <f t="shared" si="30"/>
        <v>0</v>
      </c>
      <c r="BP71" s="16">
        <f t="shared" si="31"/>
        <v>0</v>
      </c>
      <c r="BQ71" s="16">
        <f t="shared" si="32"/>
        <v>0</v>
      </c>
      <c r="BR71" s="16">
        <f t="shared" si="33"/>
        <v>0</v>
      </c>
      <c r="BS71" s="16">
        <f t="shared" si="34"/>
        <v>0</v>
      </c>
      <c r="BT71" s="22">
        <f t="shared" si="35"/>
        <v>0</v>
      </c>
    </row>
    <row r="72" spans="1:72" s="2167" customFormat="1" ht="12.75">
      <c r="A72" s="1274"/>
      <c r="B72" s="1274"/>
      <c r="C72" s="2153"/>
      <c r="D72" s="2954" t="s">
        <v>3374</v>
      </c>
      <c r="E72" s="16">
        <f t="shared" si="7"/>
        <v>0</v>
      </c>
      <c r="F72" s="32"/>
      <c r="G72" s="33">
        <f t="shared" si="8"/>
        <v>0</v>
      </c>
      <c r="H72" s="20">
        <f t="shared" si="9"/>
        <v>0</v>
      </c>
      <c r="I72" s="2213"/>
      <c r="J72" s="2213"/>
      <c r="K72" s="2213"/>
      <c r="L72" s="2213"/>
      <c r="M72" s="2213"/>
      <c r="N72" s="2213"/>
      <c r="O72" s="2213"/>
      <c r="P72" s="2213"/>
      <c r="Q72" s="2213"/>
      <c r="R72" s="2213"/>
      <c r="S72" s="2213"/>
      <c r="T72" s="2213"/>
      <c r="U72" s="2213"/>
      <c r="V72" s="2213"/>
      <c r="W72" s="2213"/>
      <c r="X72" s="2213"/>
      <c r="Y72" s="2213"/>
      <c r="Z72" s="2213"/>
      <c r="AA72" s="2213"/>
      <c r="AB72" s="2213"/>
      <c r="AC72" s="16">
        <f t="shared" si="10"/>
        <v>0</v>
      </c>
      <c r="AD72" s="2214"/>
      <c r="AE72" s="2214"/>
      <c r="AF72" s="2214"/>
      <c r="AG72" s="2214"/>
      <c r="AH72" s="2214"/>
      <c r="AI72" s="2214"/>
      <c r="AJ72" s="2214"/>
      <c r="AK72" s="2214"/>
      <c r="AL72" s="2214"/>
      <c r="AM72" s="2214"/>
      <c r="AN72" s="2214"/>
      <c r="AO72" s="2214"/>
      <c r="AP72" s="2214"/>
      <c r="AQ72" s="2214"/>
      <c r="AR72" s="2214"/>
      <c r="AS72" s="2214"/>
      <c r="AT72" s="2215"/>
      <c r="AU72" s="2216"/>
      <c r="AV72" s="11">
        <f t="shared" si="11"/>
        <v>0</v>
      </c>
      <c r="AW72" s="11">
        <f t="shared" si="12"/>
        <v>0</v>
      </c>
      <c r="AX72" s="11">
        <f t="shared" si="13"/>
        <v>0</v>
      </c>
      <c r="AY72" s="2953">
        <f t="shared" si="14"/>
        <v>0</v>
      </c>
      <c r="AZ72" s="16">
        <f t="shared" si="15"/>
        <v>0</v>
      </c>
      <c r="BA72" s="16">
        <f t="shared" si="16"/>
        <v>0</v>
      </c>
      <c r="BB72" s="16">
        <f t="shared" si="17"/>
        <v>0</v>
      </c>
      <c r="BC72" s="16">
        <f t="shared" si="18"/>
        <v>0</v>
      </c>
      <c r="BD72" s="16">
        <f t="shared" si="19"/>
        <v>0</v>
      </c>
      <c r="BE72" s="16">
        <f t="shared" si="20"/>
        <v>0</v>
      </c>
      <c r="BF72" s="16">
        <f t="shared" si="21"/>
        <v>0</v>
      </c>
      <c r="BG72" s="16">
        <f t="shared" si="22"/>
        <v>0</v>
      </c>
      <c r="BH72" s="16">
        <f t="shared" si="23"/>
        <v>0</v>
      </c>
      <c r="BI72" s="16">
        <f t="shared" si="24"/>
        <v>0</v>
      </c>
      <c r="BJ72" s="16">
        <f t="shared" si="25"/>
        <v>0</v>
      </c>
      <c r="BK72" s="16">
        <f t="shared" si="26"/>
        <v>0</v>
      </c>
      <c r="BL72" s="16">
        <f t="shared" si="27"/>
        <v>0</v>
      </c>
      <c r="BM72" s="16">
        <f t="shared" si="28"/>
        <v>0</v>
      </c>
      <c r="BN72" s="16">
        <f t="shared" si="29"/>
        <v>0</v>
      </c>
      <c r="BO72" s="16">
        <f t="shared" si="30"/>
        <v>0</v>
      </c>
      <c r="BP72" s="16">
        <f t="shared" si="31"/>
        <v>0</v>
      </c>
      <c r="BQ72" s="16">
        <f t="shared" si="32"/>
        <v>0</v>
      </c>
      <c r="BR72" s="16">
        <f t="shared" si="33"/>
        <v>0</v>
      </c>
      <c r="BS72" s="16">
        <f t="shared" si="34"/>
        <v>0</v>
      </c>
      <c r="BT72" s="22">
        <f t="shared" si="35"/>
        <v>0</v>
      </c>
    </row>
    <row r="73" spans="1:72" s="2167" customFormat="1" ht="12.75">
      <c r="A73" s="1274"/>
      <c r="B73" s="1274"/>
      <c r="C73" s="2153"/>
      <c r="D73" s="2954" t="s">
        <v>3374</v>
      </c>
      <c r="E73" s="16">
        <f t="shared" si="7"/>
        <v>0</v>
      </c>
      <c r="F73" s="32"/>
      <c r="G73" s="33">
        <f t="shared" si="8"/>
        <v>0</v>
      </c>
      <c r="H73" s="20">
        <f t="shared" si="9"/>
        <v>0</v>
      </c>
      <c r="I73" s="2213"/>
      <c r="J73" s="2213"/>
      <c r="K73" s="2213"/>
      <c r="L73" s="2213"/>
      <c r="M73" s="2213"/>
      <c r="N73" s="2213"/>
      <c r="O73" s="2213"/>
      <c r="P73" s="2213"/>
      <c r="Q73" s="2213"/>
      <c r="R73" s="2213"/>
      <c r="S73" s="2213"/>
      <c r="T73" s="2213"/>
      <c r="U73" s="2213"/>
      <c r="V73" s="2213"/>
      <c r="W73" s="2213"/>
      <c r="X73" s="2213"/>
      <c r="Y73" s="2213"/>
      <c r="Z73" s="2213"/>
      <c r="AA73" s="2213"/>
      <c r="AB73" s="2213"/>
      <c r="AC73" s="16">
        <f t="shared" si="10"/>
        <v>0</v>
      </c>
      <c r="AD73" s="2214"/>
      <c r="AE73" s="2214"/>
      <c r="AF73" s="2214"/>
      <c r="AG73" s="2214"/>
      <c r="AH73" s="2214"/>
      <c r="AI73" s="2214"/>
      <c r="AJ73" s="2214"/>
      <c r="AK73" s="2214"/>
      <c r="AL73" s="2214"/>
      <c r="AM73" s="2214"/>
      <c r="AN73" s="2214"/>
      <c r="AO73" s="2214"/>
      <c r="AP73" s="2214"/>
      <c r="AQ73" s="2214"/>
      <c r="AR73" s="2214"/>
      <c r="AS73" s="2214"/>
      <c r="AT73" s="2215"/>
      <c r="AU73" s="2216"/>
      <c r="AV73" s="11">
        <f t="shared" si="11"/>
        <v>0</v>
      </c>
      <c r="AW73" s="11">
        <f t="shared" si="12"/>
        <v>0</v>
      </c>
      <c r="AX73" s="11">
        <f t="shared" si="13"/>
        <v>0</v>
      </c>
      <c r="AY73" s="2953">
        <f t="shared" si="14"/>
        <v>0</v>
      </c>
      <c r="AZ73" s="16">
        <f t="shared" si="15"/>
        <v>0</v>
      </c>
      <c r="BA73" s="16">
        <f t="shared" si="16"/>
        <v>0</v>
      </c>
      <c r="BB73" s="16">
        <f t="shared" si="17"/>
        <v>0</v>
      </c>
      <c r="BC73" s="16">
        <f t="shared" si="18"/>
        <v>0</v>
      </c>
      <c r="BD73" s="16">
        <f t="shared" si="19"/>
        <v>0</v>
      </c>
      <c r="BE73" s="16">
        <f t="shared" si="20"/>
        <v>0</v>
      </c>
      <c r="BF73" s="16">
        <f t="shared" si="21"/>
        <v>0</v>
      </c>
      <c r="BG73" s="16">
        <f t="shared" si="22"/>
        <v>0</v>
      </c>
      <c r="BH73" s="16">
        <f t="shared" si="23"/>
        <v>0</v>
      </c>
      <c r="BI73" s="16">
        <f t="shared" si="24"/>
        <v>0</v>
      </c>
      <c r="BJ73" s="16">
        <f t="shared" si="25"/>
        <v>0</v>
      </c>
      <c r="BK73" s="16">
        <f t="shared" si="26"/>
        <v>0</v>
      </c>
      <c r="BL73" s="16">
        <f t="shared" si="27"/>
        <v>0</v>
      </c>
      <c r="BM73" s="16">
        <f t="shared" si="28"/>
        <v>0</v>
      </c>
      <c r="BN73" s="16">
        <f t="shared" si="29"/>
        <v>0</v>
      </c>
      <c r="BO73" s="16">
        <f t="shared" si="30"/>
        <v>0</v>
      </c>
      <c r="BP73" s="16">
        <f t="shared" si="31"/>
        <v>0</v>
      </c>
      <c r="BQ73" s="16">
        <f t="shared" si="32"/>
        <v>0</v>
      </c>
      <c r="BR73" s="16">
        <f t="shared" si="33"/>
        <v>0</v>
      </c>
      <c r="BS73" s="16">
        <f t="shared" si="34"/>
        <v>0</v>
      </c>
      <c r="BT73" s="22">
        <f t="shared" si="35"/>
        <v>0</v>
      </c>
    </row>
    <row r="74" spans="1:72" s="2167" customFormat="1" ht="12.75">
      <c r="A74" s="1274"/>
      <c r="B74" s="1274"/>
      <c r="C74" s="2153"/>
      <c r="D74" s="2954" t="s">
        <v>3374</v>
      </c>
      <c r="E74" s="16">
        <f t="shared" si="7"/>
        <v>0</v>
      </c>
      <c r="F74" s="32"/>
      <c r="G74" s="33">
        <f t="shared" si="8"/>
        <v>0</v>
      </c>
      <c r="H74" s="20">
        <f t="shared" si="9"/>
        <v>0</v>
      </c>
      <c r="I74" s="2213"/>
      <c r="J74" s="2213"/>
      <c r="K74" s="2213"/>
      <c r="L74" s="2213"/>
      <c r="M74" s="2213"/>
      <c r="N74" s="2213"/>
      <c r="O74" s="2213"/>
      <c r="P74" s="2213"/>
      <c r="Q74" s="2213"/>
      <c r="R74" s="2213"/>
      <c r="S74" s="2213"/>
      <c r="T74" s="2213"/>
      <c r="U74" s="2213"/>
      <c r="V74" s="2213"/>
      <c r="W74" s="2213"/>
      <c r="X74" s="2213"/>
      <c r="Y74" s="2213"/>
      <c r="Z74" s="2213"/>
      <c r="AA74" s="2213"/>
      <c r="AB74" s="2213"/>
      <c r="AC74" s="16">
        <f t="shared" si="10"/>
        <v>0</v>
      </c>
      <c r="AD74" s="2214"/>
      <c r="AE74" s="2214"/>
      <c r="AF74" s="2214"/>
      <c r="AG74" s="2214"/>
      <c r="AH74" s="2214"/>
      <c r="AI74" s="2214"/>
      <c r="AJ74" s="2214"/>
      <c r="AK74" s="2214"/>
      <c r="AL74" s="2214"/>
      <c r="AM74" s="2214"/>
      <c r="AN74" s="2214"/>
      <c r="AO74" s="2214"/>
      <c r="AP74" s="2214"/>
      <c r="AQ74" s="2214"/>
      <c r="AR74" s="2214"/>
      <c r="AS74" s="2214"/>
      <c r="AT74" s="2215"/>
      <c r="AU74" s="2216"/>
      <c r="AV74" s="11">
        <f t="shared" si="11"/>
        <v>0</v>
      </c>
      <c r="AW74" s="11">
        <f t="shared" si="12"/>
        <v>0</v>
      </c>
      <c r="AX74" s="11">
        <f t="shared" si="13"/>
        <v>0</v>
      </c>
      <c r="AY74" s="2953">
        <f t="shared" si="14"/>
        <v>0</v>
      </c>
      <c r="AZ74" s="16">
        <f t="shared" si="15"/>
        <v>0</v>
      </c>
      <c r="BA74" s="16">
        <f t="shared" si="16"/>
        <v>0</v>
      </c>
      <c r="BB74" s="16">
        <f t="shared" si="17"/>
        <v>0</v>
      </c>
      <c r="BC74" s="16">
        <f t="shared" si="18"/>
        <v>0</v>
      </c>
      <c r="BD74" s="16">
        <f t="shared" si="19"/>
        <v>0</v>
      </c>
      <c r="BE74" s="16">
        <f t="shared" si="20"/>
        <v>0</v>
      </c>
      <c r="BF74" s="16">
        <f t="shared" si="21"/>
        <v>0</v>
      </c>
      <c r="BG74" s="16">
        <f t="shared" si="22"/>
        <v>0</v>
      </c>
      <c r="BH74" s="16">
        <f t="shared" si="23"/>
        <v>0</v>
      </c>
      <c r="BI74" s="16">
        <f t="shared" si="24"/>
        <v>0</v>
      </c>
      <c r="BJ74" s="16">
        <f t="shared" si="25"/>
        <v>0</v>
      </c>
      <c r="BK74" s="16">
        <f t="shared" si="26"/>
        <v>0</v>
      </c>
      <c r="BL74" s="16">
        <f t="shared" si="27"/>
        <v>0</v>
      </c>
      <c r="BM74" s="16">
        <f t="shared" si="28"/>
        <v>0</v>
      </c>
      <c r="BN74" s="16">
        <f t="shared" si="29"/>
        <v>0</v>
      </c>
      <c r="BO74" s="16">
        <f t="shared" si="30"/>
        <v>0</v>
      </c>
      <c r="BP74" s="16">
        <f t="shared" si="31"/>
        <v>0</v>
      </c>
      <c r="BQ74" s="16">
        <f t="shared" si="32"/>
        <v>0</v>
      </c>
      <c r="BR74" s="16">
        <f t="shared" si="33"/>
        <v>0</v>
      </c>
      <c r="BS74" s="16">
        <f t="shared" si="34"/>
        <v>0</v>
      </c>
      <c r="BT74" s="22">
        <f t="shared" si="35"/>
        <v>0</v>
      </c>
    </row>
    <row r="75" spans="1:72" s="2167" customFormat="1" ht="12.75">
      <c r="A75" s="1274"/>
      <c r="B75" s="1274"/>
      <c r="C75" s="2153"/>
      <c r="D75" s="2954" t="s">
        <v>3374</v>
      </c>
      <c r="E75" s="16">
        <f t="shared" si="7"/>
        <v>0</v>
      </c>
      <c r="F75" s="32"/>
      <c r="G75" s="33">
        <f t="shared" si="8"/>
        <v>0</v>
      </c>
      <c r="H75" s="20">
        <f t="shared" si="9"/>
        <v>0</v>
      </c>
      <c r="I75" s="2213"/>
      <c r="J75" s="2213"/>
      <c r="K75" s="2213"/>
      <c r="L75" s="2213"/>
      <c r="M75" s="2213"/>
      <c r="N75" s="2213"/>
      <c r="O75" s="2213"/>
      <c r="P75" s="2213"/>
      <c r="Q75" s="2213"/>
      <c r="R75" s="2213"/>
      <c r="S75" s="2213"/>
      <c r="T75" s="2213"/>
      <c r="U75" s="2213"/>
      <c r="V75" s="2213"/>
      <c r="W75" s="2213"/>
      <c r="X75" s="2213"/>
      <c r="Y75" s="2213"/>
      <c r="Z75" s="2213"/>
      <c r="AA75" s="2213"/>
      <c r="AB75" s="2213"/>
      <c r="AC75" s="16">
        <f t="shared" si="10"/>
        <v>0</v>
      </c>
      <c r="AD75" s="2214"/>
      <c r="AE75" s="2214"/>
      <c r="AF75" s="2214"/>
      <c r="AG75" s="2214"/>
      <c r="AH75" s="2214"/>
      <c r="AI75" s="2214"/>
      <c r="AJ75" s="2214"/>
      <c r="AK75" s="2214"/>
      <c r="AL75" s="2214"/>
      <c r="AM75" s="2214"/>
      <c r="AN75" s="2214"/>
      <c r="AO75" s="2214"/>
      <c r="AP75" s="2214"/>
      <c r="AQ75" s="2214"/>
      <c r="AR75" s="2214"/>
      <c r="AS75" s="2214"/>
      <c r="AT75" s="2215"/>
      <c r="AU75" s="2216"/>
      <c r="AV75" s="11">
        <f t="shared" si="11"/>
        <v>0</v>
      </c>
      <c r="AW75" s="11">
        <f t="shared" si="12"/>
        <v>0</v>
      </c>
      <c r="AX75" s="11">
        <f t="shared" si="13"/>
        <v>0</v>
      </c>
      <c r="AY75" s="2953">
        <f t="shared" si="14"/>
        <v>0</v>
      </c>
      <c r="AZ75" s="16">
        <f t="shared" si="15"/>
        <v>0</v>
      </c>
      <c r="BA75" s="16">
        <f t="shared" si="16"/>
        <v>0</v>
      </c>
      <c r="BB75" s="16">
        <f t="shared" si="17"/>
        <v>0</v>
      </c>
      <c r="BC75" s="16">
        <f t="shared" si="18"/>
        <v>0</v>
      </c>
      <c r="BD75" s="16">
        <f t="shared" si="19"/>
        <v>0</v>
      </c>
      <c r="BE75" s="16">
        <f t="shared" si="20"/>
        <v>0</v>
      </c>
      <c r="BF75" s="16">
        <f t="shared" si="21"/>
        <v>0</v>
      </c>
      <c r="BG75" s="16">
        <f t="shared" si="22"/>
        <v>0</v>
      </c>
      <c r="BH75" s="16">
        <f t="shared" si="23"/>
        <v>0</v>
      </c>
      <c r="BI75" s="16">
        <f t="shared" si="24"/>
        <v>0</v>
      </c>
      <c r="BJ75" s="16">
        <f t="shared" si="25"/>
        <v>0</v>
      </c>
      <c r="BK75" s="16">
        <f t="shared" si="26"/>
        <v>0</v>
      </c>
      <c r="BL75" s="16">
        <f t="shared" si="27"/>
        <v>0</v>
      </c>
      <c r="BM75" s="16">
        <f t="shared" si="28"/>
        <v>0</v>
      </c>
      <c r="BN75" s="16">
        <f t="shared" si="29"/>
        <v>0</v>
      </c>
      <c r="BO75" s="16">
        <f t="shared" si="30"/>
        <v>0</v>
      </c>
      <c r="BP75" s="16">
        <f t="shared" si="31"/>
        <v>0</v>
      </c>
      <c r="BQ75" s="16">
        <f t="shared" si="32"/>
        <v>0</v>
      </c>
      <c r="BR75" s="16">
        <f t="shared" si="33"/>
        <v>0</v>
      </c>
      <c r="BS75" s="16">
        <f t="shared" si="34"/>
        <v>0</v>
      </c>
      <c r="BT75" s="22">
        <f t="shared" si="35"/>
        <v>0</v>
      </c>
    </row>
    <row r="76" spans="1:72" s="2167" customFormat="1" ht="12.75">
      <c r="A76" s="1274"/>
      <c r="B76" s="1274"/>
      <c r="C76" s="2153"/>
      <c r="D76" s="2954" t="s">
        <v>3374</v>
      </c>
      <c r="E76" s="16">
        <f t="shared" si="7"/>
        <v>0</v>
      </c>
      <c r="F76" s="32"/>
      <c r="G76" s="33">
        <f t="shared" si="8"/>
        <v>0</v>
      </c>
      <c r="H76" s="20">
        <f t="shared" si="9"/>
        <v>0</v>
      </c>
      <c r="I76" s="2213"/>
      <c r="J76" s="2213"/>
      <c r="K76" s="2213"/>
      <c r="L76" s="2213"/>
      <c r="M76" s="2213"/>
      <c r="N76" s="2213"/>
      <c r="O76" s="2213"/>
      <c r="P76" s="2213"/>
      <c r="Q76" s="2213"/>
      <c r="R76" s="2213"/>
      <c r="S76" s="2213"/>
      <c r="T76" s="2213"/>
      <c r="U76" s="2213"/>
      <c r="V76" s="2213"/>
      <c r="W76" s="2213"/>
      <c r="X76" s="2213"/>
      <c r="Y76" s="2213"/>
      <c r="Z76" s="2213"/>
      <c r="AA76" s="2213"/>
      <c r="AB76" s="2213"/>
      <c r="AC76" s="16">
        <f t="shared" si="10"/>
        <v>0</v>
      </c>
      <c r="AD76" s="2214"/>
      <c r="AE76" s="2214"/>
      <c r="AF76" s="2214"/>
      <c r="AG76" s="2214"/>
      <c r="AH76" s="2214"/>
      <c r="AI76" s="2214"/>
      <c r="AJ76" s="2214"/>
      <c r="AK76" s="2214"/>
      <c r="AL76" s="2214"/>
      <c r="AM76" s="2214"/>
      <c r="AN76" s="2214"/>
      <c r="AO76" s="2214"/>
      <c r="AP76" s="2214"/>
      <c r="AQ76" s="2214"/>
      <c r="AR76" s="2214"/>
      <c r="AS76" s="2214"/>
      <c r="AT76" s="2215"/>
      <c r="AU76" s="2216"/>
      <c r="AV76" s="11">
        <f t="shared" si="11"/>
        <v>0</v>
      </c>
      <c r="AW76" s="11">
        <f t="shared" si="12"/>
        <v>0</v>
      </c>
      <c r="AX76" s="11">
        <f t="shared" si="13"/>
        <v>0</v>
      </c>
      <c r="AY76" s="2953">
        <f t="shared" si="14"/>
        <v>0</v>
      </c>
      <c r="AZ76" s="16">
        <f t="shared" si="15"/>
        <v>0</v>
      </c>
      <c r="BA76" s="16">
        <f t="shared" si="16"/>
        <v>0</v>
      </c>
      <c r="BB76" s="16">
        <f t="shared" si="17"/>
        <v>0</v>
      </c>
      <c r="BC76" s="16">
        <f t="shared" si="18"/>
        <v>0</v>
      </c>
      <c r="BD76" s="16">
        <f t="shared" si="19"/>
        <v>0</v>
      </c>
      <c r="BE76" s="16">
        <f t="shared" si="20"/>
        <v>0</v>
      </c>
      <c r="BF76" s="16">
        <f t="shared" si="21"/>
        <v>0</v>
      </c>
      <c r="BG76" s="16">
        <f t="shared" si="22"/>
        <v>0</v>
      </c>
      <c r="BH76" s="16">
        <f t="shared" si="23"/>
        <v>0</v>
      </c>
      <c r="BI76" s="16">
        <f t="shared" si="24"/>
        <v>0</v>
      </c>
      <c r="BJ76" s="16">
        <f t="shared" si="25"/>
        <v>0</v>
      </c>
      <c r="BK76" s="16">
        <f t="shared" si="26"/>
        <v>0</v>
      </c>
      <c r="BL76" s="16">
        <f t="shared" si="27"/>
        <v>0</v>
      </c>
      <c r="BM76" s="16">
        <f t="shared" si="28"/>
        <v>0</v>
      </c>
      <c r="BN76" s="16">
        <f t="shared" si="29"/>
        <v>0</v>
      </c>
      <c r="BO76" s="16">
        <f t="shared" si="30"/>
        <v>0</v>
      </c>
      <c r="BP76" s="16">
        <f t="shared" si="31"/>
        <v>0</v>
      </c>
      <c r="BQ76" s="16">
        <f t="shared" si="32"/>
        <v>0</v>
      </c>
      <c r="BR76" s="16">
        <f t="shared" si="33"/>
        <v>0</v>
      </c>
      <c r="BS76" s="16">
        <f t="shared" si="34"/>
        <v>0</v>
      </c>
      <c r="BT76" s="22">
        <f t="shared" si="35"/>
        <v>0</v>
      </c>
    </row>
    <row r="77" spans="1:72" s="2167" customFormat="1" ht="12.75">
      <c r="A77" s="1274"/>
      <c r="B77" s="1274"/>
      <c r="C77" s="2153"/>
      <c r="D77" s="2954" t="s">
        <v>3055</v>
      </c>
      <c r="E77" s="16">
        <f t="shared" si="7"/>
        <v>0</v>
      </c>
      <c r="F77" s="32"/>
      <c r="G77" s="33">
        <f t="shared" si="8"/>
        <v>0</v>
      </c>
      <c r="H77" s="20">
        <f t="shared" si="9"/>
        <v>0</v>
      </c>
      <c r="I77" s="2213"/>
      <c r="J77" s="2213"/>
      <c r="K77" s="2213"/>
      <c r="L77" s="2213"/>
      <c r="M77" s="2213"/>
      <c r="N77" s="2213"/>
      <c r="O77" s="2213"/>
      <c r="P77" s="2213"/>
      <c r="Q77" s="2213"/>
      <c r="R77" s="2213"/>
      <c r="S77" s="2213"/>
      <c r="T77" s="2213"/>
      <c r="U77" s="2213"/>
      <c r="V77" s="2213"/>
      <c r="W77" s="2213"/>
      <c r="X77" s="2213"/>
      <c r="Y77" s="2213"/>
      <c r="Z77" s="2213"/>
      <c r="AA77" s="2213"/>
      <c r="AB77" s="2213"/>
      <c r="AC77" s="16">
        <f t="shared" si="10"/>
        <v>0</v>
      </c>
      <c r="AD77" s="2214"/>
      <c r="AE77" s="2214"/>
      <c r="AF77" s="2214"/>
      <c r="AG77" s="2214"/>
      <c r="AH77" s="2214"/>
      <c r="AI77" s="2214"/>
      <c r="AJ77" s="2214"/>
      <c r="AK77" s="2214"/>
      <c r="AL77" s="2214"/>
      <c r="AM77" s="2214"/>
      <c r="AN77" s="2214"/>
      <c r="AO77" s="2214"/>
      <c r="AP77" s="2214"/>
      <c r="AQ77" s="2214"/>
      <c r="AR77" s="2214"/>
      <c r="AS77" s="2214"/>
      <c r="AT77" s="2215"/>
      <c r="AU77" s="2216"/>
      <c r="AV77" s="11">
        <f t="shared" si="11"/>
        <v>0</v>
      </c>
      <c r="AW77" s="11">
        <f t="shared" si="12"/>
        <v>0</v>
      </c>
      <c r="AX77" s="11">
        <f t="shared" si="13"/>
        <v>0</v>
      </c>
      <c r="AY77" s="2953">
        <f t="shared" si="14"/>
        <v>0</v>
      </c>
      <c r="AZ77" s="16">
        <f t="shared" si="15"/>
        <v>0</v>
      </c>
      <c r="BA77" s="16">
        <f t="shared" si="16"/>
        <v>0</v>
      </c>
      <c r="BB77" s="16">
        <f t="shared" si="17"/>
        <v>0</v>
      </c>
      <c r="BC77" s="16">
        <f t="shared" si="18"/>
        <v>0</v>
      </c>
      <c r="BD77" s="16">
        <f t="shared" si="19"/>
        <v>0</v>
      </c>
      <c r="BE77" s="16">
        <f t="shared" si="20"/>
        <v>0</v>
      </c>
      <c r="BF77" s="16">
        <f t="shared" si="21"/>
        <v>0</v>
      </c>
      <c r="BG77" s="16">
        <f t="shared" si="22"/>
        <v>0</v>
      </c>
      <c r="BH77" s="16">
        <f t="shared" si="23"/>
        <v>0</v>
      </c>
      <c r="BI77" s="16">
        <f t="shared" si="24"/>
        <v>0</v>
      </c>
      <c r="BJ77" s="16">
        <f t="shared" si="25"/>
        <v>0</v>
      </c>
      <c r="BK77" s="16">
        <f t="shared" si="26"/>
        <v>0</v>
      </c>
      <c r="BL77" s="16">
        <f t="shared" si="27"/>
        <v>0</v>
      </c>
      <c r="BM77" s="16">
        <f t="shared" si="28"/>
        <v>0</v>
      </c>
      <c r="BN77" s="16">
        <f t="shared" si="29"/>
        <v>0</v>
      </c>
      <c r="BO77" s="16">
        <f t="shared" si="30"/>
        <v>0</v>
      </c>
      <c r="BP77" s="16">
        <f t="shared" si="31"/>
        <v>0</v>
      </c>
      <c r="BQ77" s="16">
        <f t="shared" si="32"/>
        <v>0</v>
      </c>
      <c r="BR77" s="16">
        <f t="shared" si="33"/>
        <v>0</v>
      </c>
      <c r="BS77" s="16">
        <f t="shared" si="34"/>
        <v>0</v>
      </c>
      <c r="BT77" s="22">
        <f t="shared" si="35"/>
        <v>0</v>
      </c>
    </row>
    <row r="78" spans="1:72" s="2167" customFormat="1" ht="12.75">
      <c r="A78" s="1274"/>
      <c r="B78" s="1274"/>
      <c r="C78" s="2153"/>
      <c r="D78" s="2954" t="s">
        <v>3054</v>
      </c>
      <c r="E78" s="16">
        <f t="shared" si="7"/>
        <v>0</v>
      </c>
      <c r="F78" s="32"/>
      <c r="G78" s="33">
        <f t="shared" si="8"/>
        <v>0</v>
      </c>
      <c r="H78" s="20">
        <f t="shared" si="9"/>
        <v>0</v>
      </c>
      <c r="I78" s="2213"/>
      <c r="J78" s="2213"/>
      <c r="K78" s="2213"/>
      <c r="L78" s="2213"/>
      <c r="M78" s="2213"/>
      <c r="N78" s="2213"/>
      <c r="O78" s="2213"/>
      <c r="P78" s="2213"/>
      <c r="Q78" s="2213"/>
      <c r="R78" s="2213"/>
      <c r="S78" s="2213"/>
      <c r="T78" s="2213"/>
      <c r="U78" s="2213"/>
      <c r="V78" s="2213"/>
      <c r="W78" s="2213"/>
      <c r="X78" s="2213"/>
      <c r="Y78" s="2213"/>
      <c r="Z78" s="2213"/>
      <c r="AA78" s="2213"/>
      <c r="AB78" s="2213"/>
      <c r="AC78" s="16">
        <f t="shared" si="10"/>
        <v>0</v>
      </c>
      <c r="AD78" s="2214"/>
      <c r="AE78" s="2214"/>
      <c r="AF78" s="2214"/>
      <c r="AG78" s="2214"/>
      <c r="AH78" s="2214"/>
      <c r="AI78" s="2214"/>
      <c r="AJ78" s="2214"/>
      <c r="AK78" s="2214"/>
      <c r="AL78" s="2214"/>
      <c r="AM78" s="2214"/>
      <c r="AN78" s="2214"/>
      <c r="AO78" s="2214"/>
      <c r="AP78" s="2214"/>
      <c r="AQ78" s="2214"/>
      <c r="AR78" s="2214"/>
      <c r="AS78" s="2214"/>
      <c r="AT78" s="2215"/>
      <c r="AU78" s="2216"/>
      <c r="AV78" s="11">
        <f t="shared" si="11"/>
        <v>0</v>
      </c>
      <c r="AW78" s="11">
        <f t="shared" si="12"/>
        <v>0</v>
      </c>
      <c r="AX78" s="11">
        <f t="shared" si="13"/>
        <v>0</v>
      </c>
      <c r="AY78" s="2953">
        <f t="shared" si="14"/>
        <v>0</v>
      </c>
      <c r="AZ78" s="16">
        <f t="shared" si="15"/>
        <v>0</v>
      </c>
      <c r="BA78" s="16">
        <f t="shared" si="16"/>
        <v>0</v>
      </c>
      <c r="BB78" s="16">
        <f t="shared" si="17"/>
        <v>0</v>
      </c>
      <c r="BC78" s="16">
        <f t="shared" si="18"/>
        <v>0</v>
      </c>
      <c r="BD78" s="16">
        <f t="shared" si="19"/>
        <v>0</v>
      </c>
      <c r="BE78" s="16">
        <f t="shared" si="20"/>
        <v>0</v>
      </c>
      <c r="BF78" s="16">
        <f t="shared" si="21"/>
        <v>0</v>
      </c>
      <c r="BG78" s="16">
        <f t="shared" si="22"/>
        <v>0</v>
      </c>
      <c r="BH78" s="16">
        <f t="shared" si="23"/>
        <v>0</v>
      </c>
      <c r="BI78" s="16">
        <f t="shared" si="24"/>
        <v>0</v>
      </c>
      <c r="BJ78" s="16">
        <f t="shared" si="25"/>
        <v>0</v>
      </c>
      <c r="BK78" s="16">
        <f t="shared" si="26"/>
        <v>0</v>
      </c>
      <c r="BL78" s="16">
        <f t="shared" si="27"/>
        <v>0</v>
      </c>
      <c r="BM78" s="16">
        <f t="shared" si="28"/>
        <v>0</v>
      </c>
      <c r="BN78" s="16">
        <f t="shared" si="29"/>
        <v>0</v>
      </c>
      <c r="BO78" s="16">
        <f t="shared" si="30"/>
        <v>0</v>
      </c>
      <c r="BP78" s="16">
        <f t="shared" si="31"/>
        <v>0</v>
      </c>
      <c r="BQ78" s="16">
        <f t="shared" si="32"/>
        <v>0</v>
      </c>
      <c r="BR78" s="16">
        <f t="shared" si="33"/>
        <v>0</v>
      </c>
      <c r="BS78" s="16">
        <f t="shared" si="34"/>
        <v>0</v>
      </c>
      <c r="BT78" s="22">
        <f t="shared" si="35"/>
        <v>0</v>
      </c>
    </row>
    <row r="79" spans="1:72" s="2167" customFormat="1" ht="12.75">
      <c r="A79" s="1274"/>
      <c r="B79" s="1274"/>
      <c r="C79" s="2153"/>
      <c r="D79" s="2954" t="s">
        <v>3054</v>
      </c>
      <c r="E79" s="16">
        <f t="shared" si="7"/>
        <v>0</v>
      </c>
      <c r="F79" s="32"/>
      <c r="G79" s="33">
        <f t="shared" si="8"/>
        <v>0</v>
      </c>
      <c r="H79" s="20">
        <f t="shared" si="9"/>
        <v>0</v>
      </c>
      <c r="I79" s="2213"/>
      <c r="J79" s="2213"/>
      <c r="K79" s="2213"/>
      <c r="L79" s="2213"/>
      <c r="M79" s="2213"/>
      <c r="N79" s="2213"/>
      <c r="O79" s="2213"/>
      <c r="P79" s="2213"/>
      <c r="Q79" s="2213"/>
      <c r="R79" s="2213"/>
      <c r="S79" s="2213"/>
      <c r="T79" s="2213"/>
      <c r="U79" s="2213"/>
      <c r="V79" s="2213"/>
      <c r="W79" s="2213"/>
      <c r="X79" s="2213"/>
      <c r="Y79" s="2213"/>
      <c r="Z79" s="2213"/>
      <c r="AA79" s="2213"/>
      <c r="AB79" s="2213"/>
      <c r="AC79" s="16">
        <f t="shared" si="10"/>
        <v>0</v>
      </c>
      <c r="AD79" s="2214"/>
      <c r="AE79" s="2214"/>
      <c r="AF79" s="2214"/>
      <c r="AG79" s="2214"/>
      <c r="AH79" s="2214"/>
      <c r="AI79" s="2214"/>
      <c r="AJ79" s="2214"/>
      <c r="AK79" s="2214"/>
      <c r="AL79" s="2214"/>
      <c r="AM79" s="2214"/>
      <c r="AN79" s="2214"/>
      <c r="AO79" s="2214"/>
      <c r="AP79" s="2214"/>
      <c r="AQ79" s="2214"/>
      <c r="AR79" s="2214"/>
      <c r="AS79" s="2214"/>
      <c r="AT79" s="2215"/>
      <c r="AU79" s="2216"/>
      <c r="AV79" s="11">
        <f t="shared" si="11"/>
        <v>0</v>
      </c>
      <c r="AW79" s="11">
        <f t="shared" si="12"/>
        <v>0</v>
      </c>
      <c r="AX79" s="11">
        <f t="shared" si="13"/>
        <v>0</v>
      </c>
      <c r="AY79" s="2953">
        <f t="shared" si="14"/>
        <v>0</v>
      </c>
      <c r="AZ79" s="16">
        <f t="shared" si="15"/>
        <v>0</v>
      </c>
      <c r="BA79" s="16">
        <f t="shared" si="16"/>
        <v>0</v>
      </c>
      <c r="BB79" s="16">
        <f t="shared" si="17"/>
        <v>0</v>
      </c>
      <c r="BC79" s="16">
        <f t="shared" si="18"/>
        <v>0</v>
      </c>
      <c r="BD79" s="16">
        <f t="shared" si="19"/>
        <v>0</v>
      </c>
      <c r="BE79" s="16">
        <f t="shared" si="20"/>
        <v>0</v>
      </c>
      <c r="BF79" s="16">
        <f t="shared" si="21"/>
        <v>0</v>
      </c>
      <c r="BG79" s="16">
        <f t="shared" si="22"/>
        <v>0</v>
      </c>
      <c r="BH79" s="16">
        <f t="shared" si="23"/>
        <v>0</v>
      </c>
      <c r="BI79" s="16">
        <f t="shared" si="24"/>
        <v>0</v>
      </c>
      <c r="BJ79" s="16">
        <f t="shared" si="25"/>
        <v>0</v>
      </c>
      <c r="BK79" s="16">
        <f t="shared" si="26"/>
        <v>0</v>
      </c>
      <c r="BL79" s="16">
        <f t="shared" si="27"/>
        <v>0</v>
      </c>
      <c r="BM79" s="16">
        <f t="shared" si="28"/>
        <v>0</v>
      </c>
      <c r="BN79" s="16">
        <f t="shared" si="29"/>
        <v>0</v>
      </c>
      <c r="BO79" s="16">
        <f t="shared" si="30"/>
        <v>0</v>
      </c>
      <c r="BP79" s="16">
        <f t="shared" si="31"/>
        <v>0</v>
      </c>
      <c r="BQ79" s="16">
        <f t="shared" si="32"/>
        <v>0</v>
      </c>
      <c r="BR79" s="16">
        <f t="shared" si="33"/>
        <v>0</v>
      </c>
      <c r="BS79" s="16">
        <f t="shared" si="34"/>
        <v>0</v>
      </c>
      <c r="BT79" s="22">
        <f t="shared" si="35"/>
        <v>0</v>
      </c>
    </row>
    <row r="80" spans="1:72" s="2167" customFormat="1" ht="12.75">
      <c r="A80" s="1274"/>
      <c r="B80" s="1274"/>
      <c r="C80" s="2153"/>
      <c r="D80" s="2954" t="s">
        <v>3054</v>
      </c>
      <c r="E80" s="16">
        <f t="shared" si="7"/>
        <v>0</v>
      </c>
      <c r="F80" s="32"/>
      <c r="G80" s="33">
        <f t="shared" si="8"/>
        <v>0</v>
      </c>
      <c r="H80" s="20">
        <f t="shared" si="9"/>
        <v>0</v>
      </c>
      <c r="I80" s="2213"/>
      <c r="J80" s="2213"/>
      <c r="K80" s="2213"/>
      <c r="L80" s="2213"/>
      <c r="M80" s="2213"/>
      <c r="N80" s="2213"/>
      <c r="O80" s="2213"/>
      <c r="P80" s="2213"/>
      <c r="Q80" s="2213"/>
      <c r="R80" s="2213"/>
      <c r="S80" s="2213"/>
      <c r="T80" s="2213"/>
      <c r="U80" s="2213"/>
      <c r="V80" s="2213"/>
      <c r="W80" s="2213"/>
      <c r="X80" s="2213"/>
      <c r="Y80" s="2213"/>
      <c r="Z80" s="2213"/>
      <c r="AA80" s="2213"/>
      <c r="AB80" s="2213"/>
      <c r="AC80" s="16">
        <f t="shared" si="10"/>
        <v>0</v>
      </c>
      <c r="AD80" s="2214"/>
      <c r="AE80" s="2214"/>
      <c r="AF80" s="2214"/>
      <c r="AG80" s="2214"/>
      <c r="AH80" s="2214"/>
      <c r="AI80" s="2214"/>
      <c r="AJ80" s="2214"/>
      <c r="AK80" s="2214"/>
      <c r="AL80" s="2214"/>
      <c r="AM80" s="2214"/>
      <c r="AN80" s="2214"/>
      <c r="AO80" s="2214"/>
      <c r="AP80" s="2214"/>
      <c r="AQ80" s="2214"/>
      <c r="AR80" s="2214"/>
      <c r="AS80" s="2214"/>
      <c r="AT80" s="2215"/>
      <c r="AU80" s="2216"/>
      <c r="AV80" s="11">
        <f t="shared" si="11"/>
        <v>0</v>
      </c>
      <c r="AW80" s="11">
        <f t="shared" si="12"/>
        <v>0</v>
      </c>
      <c r="AX80" s="11">
        <f t="shared" si="13"/>
        <v>0</v>
      </c>
      <c r="AY80" s="2953">
        <f t="shared" si="14"/>
        <v>0</v>
      </c>
      <c r="AZ80" s="16">
        <f t="shared" si="15"/>
        <v>0</v>
      </c>
      <c r="BA80" s="16">
        <f t="shared" si="16"/>
        <v>0</v>
      </c>
      <c r="BB80" s="16">
        <f t="shared" si="17"/>
        <v>0</v>
      </c>
      <c r="BC80" s="16">
        <f t="shared" si="18"/>
        <v>0</v>
      </c>
      <c r="BD80" s="16">
        <f t="shared" si="19"/>
        <v>0</v>
      </c>
      <c r="BE80" s="16">
        <f t="shared" si="20"/>
        <v>0</v>
      </c>
      <c r="BF80" s="16">
        <f t="shared" si="21"/>
        <v>0</v>
      </c>
      <c r="BG80" s="16">
        <f t="shared" si="22"/>
        <v>0</v>
      </c>
      <c r="BH80" s="16">
        <f t="shared" si="23"/>
        <v>0</v>
      </c>
      <c r="BI80" s="16">
        <f t="shared" si="24"/>
        <v>0</v>
      </c>
      <c r="BJ80" s="16">
        <f t="shared" si="25"/>
        <v>0</v>
      </c>
      <c r="BK80" s="16">
        <f t="shared" si="26"/>
        <v>0</v>
      </c>
      <c r="BL80" s="16">
        <f t="shared" si="27"/>
        <v>0</v>
      </c>
      <c r="BM80" s="16">
        <f t="shared" si="28"/>
        <v>0</v>
      </c>
      <c r="BN80" s="16">
        <f t="shared" si="29"/>
        <v>0</v>
      </c>
      <c r="BO80" s="16">
        <f t="shared" si="30"/>
        <v>0</v>
      </c>
      <c r="BP80" s="16">
        <f t="shared" si="31"/>
        <v>0</v>
      </c>
      <c r="BQ80" s="16">
        <f t="shared" si="32"/>
        <v>0</v>
      </c>
      <c r="BR80" s="16">
        <f t="shared" si="33"/>
        <v>0</v>
      </c>
      <c r="BS80" s="16">
        <f t="shared" si="34"/>
        <v>0</v>
      </c>
      <c r="BT80" s="22">
        <f t="shared" si="35"/>
        <v>0</v>
      </c>
    </row>
    <row r="81" spans="1:72" s="2167" customFormat="1" ht="12.75">
      <c r="A81" s="1274"/>
      <c r="B81" s="1274"/>
      <c r="C81" s="2153"/>
      <c r="D81" s="2954" t="s">
        <v>3054</v>
      </c>
      <c r="E81" s="16">
        <f t="shared" si="7"/>
        <v>0</v>
      </c>
      <c r="F81" s="32"/>
      <c r="G81" s="33">
        <f t="shared" si="8"/>
        <v>0</v>
      </c>
      <c r="H81" s="20">
        <f t="shared" si="9"/>
        <v>0</v>
      </c>
      <c r="I81" s="2213"/>
      <c r="J81" s="2213"/>
      <c r="K81" s="2213"/>
      <c r="L81" s="2213"/>
      <c r="M81" s="2213"/>
      <c r="N81" s="2213"/>
      <c r="O81" s="2213"/>
      <c r="P81" s="2213"/>
      <c r="Q81" s="2213"/>
      <c r="R81" s="2213"/>
      <c r="S81" s="2213"/>
      <c r="T81" s="2213"/>
      <c r="U81" s="2213"/>
      <c r="V81" s="2213"/>
      <c r="W81" s="2213"/>
      <c r="X81" s="2213"/>
      <c r="Y81" s="2213"/>
      <c r="Z81" s="2213"/>
      <c r="AA81" s="2213"/>
      <c r="AB81" s="2213"/>
      <c r="AC81" s="16">
        <f t="shared" si="10"/>
        <v>0</v>
      </c>
      <c r="AD81" s="2214"/>
      <c r="AE81" s="2214"/>
      <c r="AF81" s="2214"/>
      <c r="AG81" s="2214"/>
      <c r="AH81" s="2214"/>
      <c r="AI81" s="2214"/>
      <c r="AJ81" s="2214"/>
      <c r="AK81" s="2214"/>
      <c r="AL81" s="2214"/>
      <c r="AM81" s="2214"/>
      <c r="AN81" s="2214"/>
      <c r="AO81" s="2214"/>
      <c r="AP81" s="2214"/>
      <c r="AQ81" s="2214"/>
      <c r="AR81" s="2214"/>
      <c r="AS81" s="2214"/>
      <c r="AT81" s="2215"/>
      <c r="AU81" s="2216"/>
      <c r="AV81" s="11">
        <f t="shared" si="11"/>
        <v>0</v>
      </c>
      <c r="AW81" s="11">
        <f t="shared" si="12"/>
        <v>0</v>
      </c>
      <c r="AX81" s="11">
        <f t="shared" si="13"/>
        <v>0</v>
      </c>
      <c r="AY81" s="2953">
        <f t="shared" si="14"/>
        <v>0</v>
      </c>
      <c r="AZ81" s="16">
        <f t="shared" si="15"/>
        <v>0</v>
      </c>
      <c r="BA81" s="16">
        <f t="shared" si="16"/>
        <v>0</v>
      </c>
      <c r="BB81" s="16">
        <f t="shared" si="17"/>
        <v>0</v>
      </c>
      <c r="BC81" s="16">
        <f t="shared" si="18"/>
        <v>0</v>
      </c>
      <c r="BD81" s="16">
        <f t="shared" si="19"/>
        <v>0</v>
      </c>
      <c r="BE81" s="16">
        <f t="shared" si="20"/>
        <v>0</v>
      </c>
      <c r="BF81" s="16">
        <f t="shared" si="21"/>
        <v>0</v>
      </c>
      <c r="BG81" s="16">
        <f t="shared" si="22"/>
        <v>0</v>
      </c>
      <c r="BH81" s="16">
        <f t="shared" si="23"/>
        <v>0</v>
      </c>
      <c r="BI81" s="16">
        <f t="shared" si="24"/>
        <v>0</v>
      </c>
      <c r="BJ81" s="16">
        <f t="shared" si="25"/>
        <v>0</v>
      </c>
      <c r="BK81" s="16">
        <f t="shared" si="26"/>
        <v>0</v>
      </c>
      <c r="BL81" s="16">
        <f t="shared" si="27"/>
        <v>0</v>
      </c>
      <c r="BM81" s="16">
        <f t="shared" si="28"/>
        <v>0</v>
      </c>
      <c r="BN81" s="16">
        <f t="shared" si="29"/>
        <v>0</v>
      </c>
      <c r="BO81" s="16">
        <f t="shared" si="30"/>
        <v>0</v>
      </c>
      <c r="BP81" s="16">
        <f t="shared" si="31"/>
        <v>0</v>
      </c>
      <c r="BQ81" s="16">
        <f t="shared" si="32"/>
        <v>0</v>
      </c>
      <c r="BR81" s="16">
        <f t="shared" si="33"/>
        <v>0</v>
      </c>
      <c r="BS81" s="16">
        <f t="shared" si="34"/>
        <v>0</v>
      </c>
      <c r="BT81" s="22">
        <f t="shared" si="35"/>
        <v>0</v>
      </c>
    </row>
    <row r="82" spans="1:72" s="2167" customFormat="1" ht="12.75">
      <c r="A82" s="1274"/>
      <c r="B82" s="1274"/>
      <c r="C82" s="2153"/>
      <c r="D82" s="2954" t="s">
        <v>3054</v>
      </c>
      <c r="E82" s="16">
        <f t="shared" si="7"/>
        <v>0</v>
      </c>
      <c r="F82" s="32"/>
      <c r="G82" s="33">
        <f t="shared" si="8"/>
        <v>0</v>
      </c>
      <c r="H82" s="20">
        <f t="shared" si="9"/>
        <v>0</v>
      </c>
      <c r="I82" s="2213"/>
      <c r="J82" s="2213"/>
      <c r="K82" s="2213"/>
      <c r="L82" s="2213"/>
      <c r="M82" s="2213"/>
      <c r="N82" s="2213"/>
      <c r="O82" s="2213"/>
      <c r="P82" s="2213"/>
      <c r="Q82" s="2213"/>
      <c r="R82" s="2213"/>
      <c r="S82" s="2213"/>
      <c r="T82" s="2213"/>
      <c r="U82" s="2213"/>
      <c r="V82" s="2213"/>
      <c r="W82" s="2213"/>
      <c r="X82" s="2213"/>
      <c r="Y82" s="2213"/>
      <c r="Z82" s="2213"/>
      <c r="AA82" s="2213"/>
      <c r="AB82" s="2213"/>
      <c r="AC82" s="16">
        <f t="shared" si="10"/>
        <v>0</v>
      </c>
      <c r="AD82" s="2214"/>
      <c r="AE82" s="2214"/>
      <c r="AF82" s="2214"/>
      <c r="AG82" s="2214"/>
      <c r="AH82" s="2214"/>
      <c r="AI82" s="2214"/>
      <c r="AJ82" s="2214"/>
      <c r="AK82" s="2214"/>
      <c r="AL82" s="2214"/>
      <c r="AM82" s="2214"/>
      <c r="AN82" s="2214"/>
      <c r="AO82" s="2214"/>
      <c r="AP82" s="2214"/>
      <c r="AQ82" s="2214"/>
      <c r="AR82" s="2214"/>
      <c r="AS82" s="2214"/>
      <c r="AT82" s="2215"/>
      <c r="AU82" s="2216"/>
      <c r="AV82" s="11">
        <f t="shared" si="11"/>
        <v>0</v>
      </c>
      <c r="AW82" s="11">
        <f t="shared" si="12"/>
        <v>0</v>
      </c>
      <c r="AX82" s="11">
        <f t="shared" si="13"/>
        <v>0</v>
      </c>
      <c r="AY82" s="2953">
        <f t="shared" si="14"/>
        <v>0</v>
      </c>
      <c r="AZ82" s="16">
        <f t="shared" si="15"/>
        <v>0</v>
      </c>
      <c r="BA82" s="16">
        <f t="shared" si="16"/>
        <v>0</v>
      </c>
      <c r="BB82" s="16">
        <f t="shared" si="17"/>
        <v>0</v>
      </c>
      <c r="BC82" s="16">
        <f t="shared" si="18"/>
        <v>0</v>
      </c>
      <c r="BD82" s="16">
        <f t="shared" si="19"/>
        <v>0</v>
      </c>
      <c r="BE82" s="16">
        <f t="shared" si="20"/>
        <v>0</v>
      </c>
      <c r="BF82" s="16">
        <f t="shared" si="21"/>
        <v>0</v>
      </c>
      <c r="BG82" s="16">
        <f t="shared" si="22"/>
        <v>0</v>
      </c>
      <c r="BH82" s="16">
        <f t="shared" si="23"/>
        <v>0</v>
      </c>
      <c r="BI82" s="16">
        <f t="shared" si="24"/>
        <v>0</v>
      </c>
      <c r="BJ82" s="16">
        <f t="shared" si="25"/>
        <v>0</v>
      </c>
      <c r="BK82" s="16">
        <f t="shared" si="26"/>
        <v>0</v>
      </c>
      <c r="BL82" s="16">
        <f t="shared" si="27"/>
        <v>0</v>
      </c>
      <c r="BM82" s="16">
        <f t="shared" si="28"/>
        <v>0</v>
      </c>
      <c r="BN82" s="16">
        <f t="shared" si="29"/>
        <v>0</v>
      </c>
      <c r="BO82" s="16">
        <f t="shared" si="30"/>
        <v>0</v>
      </c>
      <c r="BP82" s="16">
        <f t="shared" si="31"/>
        <v>0</v>
      </c>
      <c r="BQ82" s="16">
        <f t="shared" si="32"/>
        <v>0</v>
      </c>
      <c r="BR82" s="16">
        <f t="shared" si="33"/>
        <v>0</v>
      </c>
      <c r="BS82" s="16">
        <f t="shared" si="34"/>
        <v>0</v>
      </c>
      <c r="BT82" s="22">
        <f t="shared" si="35"/>
        <v>0</v>
      </c>
    </row>
    <row r="83" spans="1:72" s="2167" customFormat="1" ht="12.75">
      <c r="A83" s="1274"/>
      <c r="B83" s="1274"/>
      <c r="C83" s="2153"/>
      <c r="D83" s="2954" t="s">
        <v>3054</v>
      </c>
      <c r="E83" s="16">
        <f t="shared" si="7"/>
        <v>0</v>
      </c>
      <c r="F83" s="32"/>
      <c r="G83" s="33">
        <f t="shared" si="8"/>
        <v>0</v>
      </c>
      <c r="H83" s="20">
        <f t="shared" si="9"/>
        <v>0</v>
      </c>
      <c r="I83" s="2213"/>
      <c r="J83" s="2213"/>
      <c r="K83" s="2213"/>
      <c r="L83" s="2213"/>
      <c r="M83" s="2213"/>
      <c r="N83" s="2213"/>
      <c r="O83" s="2213"/>
      <c r="P83" s="2213"/>
      <c r="Q83" s="2213"/>
      <c r="R83" s="2213"/>
      <c r="S83" s="2213"/>
      <c r="T83" s="2213"/>
      <c r="U83" s="2213"/>
      <c r="V83" s="2213"/>
      <c r="W83" s="2213"/>
      <c r="X83" s="2213"/>
      <c r="Y83" s="2213"/>
      <c r="Z83" s="2213"/>
      <c r="AA83" s="2213"/>
      <c r="AB83" s="2213"/>
      <c r="AC83" s="16">
        <f t="shared" si="10"/>
        <v>0</v>
      </c>
      <c r="AD83" s="2214"/>
      <c r="AE83" s="2214"/>
      <c r="AF83" s="2214"/>
      <c r="AG83" s="2214"/>
      <c r="AH83" s="2214"/>
      <c r="AI83" s="2214"/>
      <c r="AJ83" s="2214"/>
      <c r="AK83" s="2214"/>
      <c r="AL83" s="2214"/>
      <c r="AM83" s="2214"/>
      <c r="AN83" s="2214"/>
      <c r="AO83" s="2214"/>
      <c r="AP83" s="2214"/>
      <c r="AQ83" s="2214"/>
      <c r="AR83" s="2214"/>
      <c r="AS83" s="2214"/>
      <c r="AT83" s="2215"/>
      <c r="AU83" s="2216"/>
      <c r="AV83" s="11">
        <f t="shared" si="11"/>
        <v>0</v>
      </c>
      <c r="AW83" s="11">
        <f t="shared" si="12"/>
        <v>0</v>
      </c>
      <c r="AX83" s="11">
        <f t="shared" si="13"/>
        <v>0</v>
      </c>
      <c r="AY83" s="2953">
        <f t="shared" si="14"/>
        <v>0</v>
      </c>
      <c r="AZ83" s="16">
        <f t="shared" si="15"/>
        <v>0</v>
      </c>
      <c r="BA83" s="16">
        <f t="shared" si="16"/>
        <v>0</v>
      </c>
      <c r="BB83" s="16">
        <f t="shared" si="17"/>
        <v>0</v>
      </c>
      <c r="BC83" s="16">
        <f t="shared" si="18"/>
        <v>0</v>
      </c>
      <c r="BD83" s="16">
        <f t="shared" si="19"/>
        <v>0</v>
      </c>
      <c r="BE83" s="16">
        <f t="shared" si="20"/>
        <v>0</v>
      </c>
      <c r="BF83" s="16">
        <f t="shared" si="21"/>
        <v>0</v>
      </c>
      <c r="BG83" s="16">
        <f t="shared" si="22"/>
        <v>0</v>
      </c>
      <c r="BH83" s="16">
        <f t="shared" si="23"/>
        <v>0</v>
      </c>
      <c r="BI83" s="16">
        <f t="shared" si="24"/>
        <v>0</v>
      </c>
      <c r="BJ83" s="16">
        <f t="shared" si="25"/>
        <v>0</v>
      </c>
      <c r="BK83" s="16">
        <f t="shared" si="26"/>
        <v>0</v>
      </c>
      <c r="BL83" s="16">
        <f t="shared" si="27"/>
        <v>0</v>
      </c>
      <c r="BM83" s="16">
        <f t="shared" si="28"/>
        <v>0</v>
      </c>
      <c r="BN83" s="16">
        <f t="shared" si="29"/>
        <v>0</v>
      </c>
      <c r="BO83" s="16">
        <f t="shared" si="30"/>
        <v>0</v>
      </c>
      <c r="BP83" s="16">
        <f t="shared" si="31"/>
        <v>0</v>
      </c>
      <c r="BQ83" s="16">
        <f t="shared" si="32"/>
        <v>0</v>
      </c>
      <c r="BR83" s="16">
        <f t="shared" si="33"/>
        <v>0</v>
      </c>
      <c r="BS83" s="16">
        <f t="shared" si="34"/>
        <v>0</v>
      </c>
      <c r="BT83" s="22">
        <f t="shared" si="35"/>
        <v>0</v>
      </c>
    </row>
    <row r="84" spans="1:72" s="2167" customFormat="1" ht="12.75">
      <c r="A84" s="1274"/>
      <c r="B84" s="1274"/>
      <c r="C84" s="2153"/>
      <c r="D84" s="2954" t="s">
        <v>3054</v>
      </c>
      <c r="E84" s="16">
        <f t="shared" si="7"/>
        <v>0</v>
      </c>
      <c r="F84" s="32"/>
      <c r="G84" s="33">
        <f t="shared" si="8"/>
        <v>0</v>
      </c>
      <c r="H84" s="20">
        <f t="shared" si="9"/>
        <v>0</v>
      </c>
      <c r="I84" s="2213"/>
      <c r="J84" s="2213"/>
      <c r="K84" s="2213"/>
      <c r="L84" s="2213"/>
      <c r="M84" s="2213"/>
      <c r="N84" s="2213"/>
      <c r="O84" s="2213"/>
      <c r="P84" s="2213"/>
      <c r="Q84" s="2213"/>
      <c r="R84" s="2213"/>
      <c r="S84" s="2213"/>
      <c r="T84" s="2213"/>
      <c r="U84" s="2213"/>
      <c r="V84" s="2213"/>
      <c r="W84" s="2213"/>
      <c r="X84" s="2213"/>
      <c r="Y84" s="2213"/>
      <c r="Z84" s="2213"/>
      <c r="AA84" s="2213"/>
      <c r="AB84" s="2213"/>
      <c r="AC84" s="16">
        <f t="shared" si="10"/>
        <v>0</v>
      </c>
      <c r="AD84" s="2214"/>
      <c r="AE84" s="2214"/>
      <c r="AF84" s="2214"/>
      <c r="AG84" s="2214"/>
      <c r="AH84" s="2214"/>
      <c r="AI84" s="2214"/>
      <c r="AJ84" s="2214"/>
      <c r="AK84" s="2214"/>
      <c r="AL84" s="2214"/>
      <c r="AM84" s="2214"/>
      <c r="AN84" s="2214"/>
      <c r="AO84" s="2214"/>
      <c r="AP84" s="2214"/>
      <c r="AQ84" s="2214"/>
      <c r="AR84" s="2214"/>
      <c r="AS84" s="2214"/>
      <c r="AT84" s="2215"/>
      <c r="AU84" s="2216"/>
      <c r="AV84" s="11">
        <f t="shared" si="11"/>
        <v>0</v>
      </c>
      <c r="AW84" s="11">
        <f t="shared" si="12"/>
        <v>0</v>
      </c>
      <c r="AX84" s="11">
        <f t="shared" si="13"/>
        <v>0</v>
      </c>
      <c r="AY84" s="2953">
        <f t="shared" si="14"/>
        <v>0</v>
      </c>
      <c r="AZ84" s="16">
        <f t="shared" si="15"/>
        <v>0</v>
      </c>
      <c r="BA84" s="16">
        <f t="shared" si="16"/>
        <v>0</v>
      </c>
      <c r="BB84" s="16">
        <f t="shared" si="17"/>
        <v>0</v>
      </c>
      <c r="BC84" s="16">
        <f t="shared" si="18"/>
        <v>0</v>
      </c>
      <c r="BD84" s="16">
        <f t="shared" si="19"/>
        <v>0</v>
      </c>
      <c r="BE84" s="16">
        <f t="shared" si="20"/>
        <v>0</v>
      </c>
      <c r="BF84" s="16">
        <f t="shared" si="21"/>
        <v>0</v>
      </c>
      <c r="BG84" s="16">
        <f t="shared" si="22"/>
        <v>0</v>
      </c>
      <c r="BH84" s="16">
        <f t="shared" si="23"/>
        <v>0</v>
      </c>
      <c r="BI84" s="16">
        <f t="shared" si="24"/>
        <v>0</v>
      </c>
      <c r="BJ84" s="16">
        <f t="shared" si="25"/>
        <v>0</v>
      </c>
      <c r="BK84" s="16">
        <f t="shared" si="26"/>
        <v>0</v>
      </c>
      <c r="BL84" s="16">
        <f t="shared" si="27"/>
        <v>0</v>
      </c>
      <c r="BM84" s="16">
        <f t="shared" si="28"/>
        <v>0</v>
      </c>
      <c r="BN84" s="16">
        <f t="shared" si="29"/>
        <v>0</v>
      </c>
      <c r="BO84" s="16">
        <f t="shared" si="30"/>
        <v>0</v>
      </c>
      <c r="BP84" s="16">
        <f t="shared" si="31"/>
        <v>0</v>
      </c>
      <c r="BQ84" s="16">
        <f t="shared" si="32"/>
        <v>0</v>
      </c>
      <c r="BR84" s="16">
        <f t="shared" si="33"/>
        <v>0</v>
      </c>
      <c r="BS84" s="16">
        <f t="shared" si="34"/>
        <v>0</v>
      </c>
      <c r="BT84" s="22">
        <f t="shared" si="35"/>
        <v>0</v>
      </c>
    </row>
    <row r="85" spans="1:72" s="2167" customFormat="1" ht="12.75">
      <c r="A85" s="1274"/>
      <c r="B85" s="1274"/>
      <c r="C85" s="2153"/>
      <c r="D85" s="2954" t="s">
        <v>3054</v>
      </c>
      <c r="E85" s="16">
        <f t="shared" si="7"/>
        <v>0</v>
      </c>
      <c r="F85" s="32"/>
      <c r="G85" s="33">
        <f t="shared" si="8"/>
        <v>0</v>
      </c>
      <c r="H85" s="20">
        <f t="shared" si="9"/>
        <v>0</v>
      </c>
      <c r="I85" s="2213"/>
      <c r="J85" s="2213"/>
      <c r="K85" s="2213"/>
      <c r="L85" s="2213"/>
      <c r="M85" s="2213"/>
      <c r="N85" s="2213"/>
      <c r="O85" s="2213"/>
      <c r="P85" s="2213"/>
      <c r="Q85" s="2213"/>
      <c r="R85" s="2213"/>
      <c r="S85" s="2213"/>
      <c r="T85" s="2213"/>
      <c r="U85" s="2213"/>
      <c r="V85" s="2213"/>
      <c r="W85" s="2213"/>
      <c r="X85" s="2213"/>
      <c r="Y85" s="2213"/>
      <c r="Z85" s="2213"/>
      <c r="AA85" s="2213"/>
      <c r="AB85" s="2213"/>
      <c r="AC85" s="16">
        <f t="shared" si="10"/>
        <v>0</v>
      </c>
      <c r="AD85" s="2214"/>
      <c r="AE85" s="2214"/>
      <c r="AF85" s="2214"/>
      <c r="AG85" s="2214"/>
      <c r="AH85" s="2214"/>
      <c r="AI85" s="2214"/>
      <c r="AJ85" s="2214"/>
      <c r="AK85" s="2214"/>
      <c r="AL85" s="2214"/>
      <c r="AM85" s="2214"/>
      <c r="AN85" s="2214"/>
      <c r="AO85" s="2214"/>
      <c r="AP85" s="2214"/>
      <c r="AQ85" s="2214"/>
      <c r="AR85" s="2214"/>
      <c r="AS85" s="2214"/>
      <c r="AT85" s="2215"/>
      <c r="AU85" s="2216"/>
      <c r="AV85" s="11">
        <f t="shared" si="11"/>
        <v>0</v>
      </c>
      <c r="AW85" s="11">
        <f t="shared" si="12"/>
        <v>0</v>
      </c>
      <c r="AX85" s="11">
        <f t="shared" si="13"/>
        <v>0</v>
      </c>
      <c r="AY85" s="2953">
        <f t="shared" si="14"/>
        <v>0</v>
      </c>
      <c r="AZ85" s="16">
        <f t="shared" si="15"/>
        <v>0</v>
      </c>
      <c r="BA85" s="16">
        <f t="shared" si="16"/>
        <v>0</v>
      </c>
      <c r="BB85" s="16">
        <f t="shared" si="17"/>
        <v>0</v>
      </c>
      <c r="BC85" s="16">
        <f t="shared" si="18"/>
        <v>0</v>
      </c>
      <c r="BD85" s="16">
        <f t="shared" si="19"/>
        <v>0</v>
      </c>
      <c r="BE85" s="16">
        <f t="shared" si="20"/>
        <v>0</v>
      </c>
      <c r="BF85" s="16">
        <f t="shared" si="21"/>
        <v>0</v>
      </c>
      <c r="BG85" s="16">
        <f t="shared" si="22"/>
        <v>0</v>
      </c>
      <c r="BH85" s="16">
        <f t="shared" si="23"/>
        <v>0</v>
      </c>
      <c r="BI85" s="16">
        <f t="shared" si="24"/>
        <v>0</v>
      </c>
      <c r="BJ85" s="16">
        <f t="shared" si="25"/>
        <v>0</v>
      </c>
      <c r="BK85" s="16">
        <f t="shared" si="26"/>
        <v>0</v>
      </c>
      <c r="BL85" s="16">
        <f t="shared" si="27"/>
        <v>0</v>
      </c>
      <c r="BM85" s="16">
        <f t="shared" si="28"/>
        <v>0</v>
      </c>
      <c r="BN85" s="16">
        <f t="shared" si="29"/>
        <v>0</v>
      </c>
      <c r="BO85" s="16">
        <f t="shared" si="30"/>
        <v>0</v>
      </c>
      <c r="BP85" s="16">
        <f t="shared" si="31"/>
        <v>0</v>
      </c>
      <c r="BQ85" s="16">
        <f t="shared" si="32"/>
        <v>0</v>
      </c>
      <c r="BR85" s="16">
        <f t="shared" si="33"/>
        <v>0</v>
      </c>
      <c r="BS85" s="16">
        <f t="shared" si="34"/>
        <v>0</v>
      </c>
      <c r="BT85" s="22">
        <f t="shared" si="35"/>
        <v>0</v>
      </c>
    </row>
    <row r="86" spans="1:72" s="2167" customFormat="1" ht="12.75">
      <c r="A86" s="1274"/>
      <c r="B86" s="1274"/>
      <c r="C86" s="2153"/>
      <c r="D86" s="2954" t="s">
        <v>3054</v>
      </c>
      <c r="E86" s="16">
        <f t="shared" si="7"/>
        <v>0</v>
      </c>
      <c r="F86" s="32"/>
      <c r="G86" s="33">
        <f t="shared" si="8"/>
        <v>0</v>
      </c>
      <c r="H86" s="20">
        <f t="shared" si="9"/>
        <v>0</v>
      </c>
      <c r="I86" s="2213"/>
      <c r="J86" s="2213"/>
      <c r="K86" s="2213"/>
      <c r="L86" s="2213"/>
      <c r="M86" s="2213"/>
      <c r="N86" s="2213"/>
      <c r="O86" s="2213"/>
      <c r="P86" s="2213"/>
      <c r="Q86" s="2213"/>
      <c r="R86" s="2213"/>
      <c r="S86" s="2213"/>
      <c r="T86" s="2213"/>
      <c r="U86" s="2213"/>
      <c r="V86" s="2213"/>
      <c r="W86" s="2213"/>
      <c r="X86" s="2213"/>
      <c r="Y86" s="2213"/>
      <c r="Z86" s="2213"/>
      <c r="AA86" s="2213"/>
      <c r="AB86" s="2213"/>
      <c r="AC86" s="16">
        <f t="shared" si="10"/>
        <v>0</v>
      </c>
      <c r="AD86" s="2214"/>
      <c r="AE86" s="2214"/>
      <c r="AF86" s="2214"/>
      <c r="AG86" s="2214"/>
      <c r="AH86" s="2214"/>
      <c r="AI86" s="2214"/>
      <c r="AJ86" s="2214"/>
      <c r="AK86" s="2214"/>
      <c r="AL86" s="2214"/>
      <c r="AM86" s="2214"/>
      <c r="AN86" s="2214"/>
      <c r="AO86" s="2214"/>
      <c r="AP86" s="2214"/>
      <c r="AQ86" s="2214"/>
      <c r="AR86" s="2214"/>
      <c r="AS86" s="2214"/>
      <c r="AT86" s="2215"/>
      <c r="AU86" s="2216"/>
      <c r="AV86" s="11">
        <f t="shared" si="11"/>
        <v>0</v>
      </c>
      <c r="AW86" s="11">
        <f t="shared" si="12"/>
        <v>0</v>
      </c>
      <c r="AX86" s="11">
        <f t="shared" si="13"/>
        <v>0</v>
      </c>
      <c r="AY86" s="2953">
        <f t="shared" si="14"/>
        <v>0</v>
      </c>
      <c r="AZ86" s="16">
        <f t="shared" si="15"/>
        <v>0</v>
      </c>
      <c r="BA86" s="16">
        <f t="shared" si="16"/>
        <v>0</v>
      </c>
      <c r="BB86" s="16">
        <f t="shared" si="17"/>
        <v>0</v>
      </c>
      <c r="BC86" s="16">
        <f t="shared" si="18"/>
        <v>0</v>
      </c>
      <c r="BD86" s="16">
        <f t="shared" si="19"/>
        <v>0</v>
      </c>
      <c r="BE86" s="16">
        <f t="shared" si="20"/>
        <v>0</v>
      </c>
      <c r="BF86" s="16">
        <f t="shared" si="21"/>
        <v>0</v>
      </c>
      <c r="BG86" s="16">
        <f t="shared" si="22"/>
        <v>0</v>
      </c>
      <c r="BH86" s="16">
        <f t="shared" si="23"/>
        <v>0</v>
      </c>
      <c r="BI86" s="16">
        <f t="shared" si="24"/>
        <v>0</v>
      </c>
      <c r="BJ86" s="16">
        <f t="shared" si="25"/>
        <v>0</v>
      </c>
      <c r="BK86" s="16">
        <f t="shared" si="26"/>
        <v>0</v>
      </c>
      <c r="BL86" s="16">
        <f t="shared" si="27"/>
        <v>0</v>
      </c>
      <c r="BM86" s="16">
        <f t="shared" si="28"/>
        <v>0</v>
      </c>
      <c r="BN86" s="16">
        <f t="shared" si="29"/>
        <v>0</v>
      </c>
      <c r="BO86" s="16">
        <f t="shared" si="30"/>
        <v>0</v>
      </c>
      <c r="BP86" s="16">
        <f t="shared" si="31"/>
        <v>0</v>
      </c>
      <c r="BQ86" s="16">
        <f t="shared" si="32"/>
        <v>0</v>
      </c>
      <c r="BR86" s="16">
        <f t="shared" si="33"/>
        <v>0</v>
      </c>
      <c r="BS86" s="16">
        <f t="shared" si="34"/>
        <v>0</v>
      </c>
      <c r="BT86" s="22">
        <f t="shared" si="35"/>
        <v>0</v>
      </c>
    </row>
    <row r="87" spans="1:72" s="2167" customFormat="1" ht="12.75">
      <c r="A87" s="1274"/>
      <c r="B87" s="1274"/>
      <c r="C87" s="2153"/>
      <c r="D87" s="2954" t="s">
        <v>3374</v>
      </c>
      <c r="E87" s="16">
        <f t="shared" si="7"/>
        <v>0</v>
      </c>
      <c r="F87" s="32"/>
      <c r="G87" s="33">
        <f t="shared" si="8"/>
        <v>0</v>
      </c>
      <c r="H87" s="20">
        <f t="shared" si="9"/>
        <v>0</v>
      </c>
      <c r="I87" s="2213"/>
      <c r="J87" s="2213"/>
      <c r="K87" s="2213"/>
      <c r="L87" s="2213"/>
      <c r="M87" s="2213"/>
      <c r="N87" s="2213"/>
      <c r="O87" s="2213"/>
      <c r="P87" s="2213"/>
      <c r="Q87" s="2213"/>
      <c r="R87" s="2213"/>
      <c r="S87" s="2213"/>
      <c r="T87" s="2213"/>
      <c r="U87" s="2213"/>
      <c r="V87" s="2213"/>
      <c r="W87" s="2213"/>
      <c r="X87" s="2213"/>
      <c r="Y87" s="2213"/>
      <c r="Z87" s="2213"/>
      <c r="AA87" s="2213"/>
      <c r="AB87" s="2213"/>
      <c r="AC87" s="16">
        <f t="shared" si="10"/>
        <v>0</v>
      </c>
      <c r="AD87" s="2214"/>
      <c r="AE87" s="2214"/>
      <c r="AF87" s="2214"/>
      <c r="AG87" s="2214"/>
      <c r="AH87" s="2214"/>
      <c r="AI87" s="2214"/>
      <c r="AJ87" s="2214"/>
      <c r="AK87" s="2214"/>
      <c r="AL87" s="2214"/>
      <c r="AM87" s="2214"/>
      <c r="AN87" s="2214"/>
      <c r="AO87" s="2214"/>
      <c r="AP87" s="2214"/>
      <c r="AQ87" s="2214"/>
      <c r="AR87" s="2214"/>
      <c r="AS87" s="2214"/>
      <c r="AT87" s="2215"/>
      <c r="AU87" s="2216"/>
      <c r="AV87" s="11">
        <f t="shared" si="11"/>
        <v>0</v>
      </c>
      <c r="AW87" s="11">
        <f t="shared" si="12"/>
        <v>0</v>
      </c>
      <c r="AX87" s="11">
        <f t="shared" si="13"/>
        <v>0</v>
      </c>
      <c r="AY87" s="2953">
        <f t="shared" si="14"/>
        <v>0</v>
      </c>
      <c r="AZ87" s="16">
        <f t="shared" si="15"/>
        <v>0</v>
      </c>
      <c r="BA87" s="16">
        <f t="shared" si="16"/>
        <v>0</v>
      </c>
      <c r="BB87" s="16">
        <f t="shared" si="17"/>
        <v>0</v>
      </c>
      <c r="BC87" s="16">
        <f t="shared" si="18"/>
        <v>0</v>
      </c>
      <c r="BD87" s="16">
        <f t="shared" si="19"/>
        <v>0</v>
      </c>
      <c r="BE87" s="16">
        <f t="shared" si="20"/>
        <v>0</v>
      </c>
      <c r="BF87" s="16">
        <f t="shared" si="21"/>
        <v>0</v>
      </c>
      <c r="BG87" s="16">
        <f t="shared" si="22"/>
        <v>0</v>
      </c>
      <c r="BH87" s="16">
        <f t="shared" si="23"/>
        <v>0</v>
      </c>
      <c r="BI87" s="16">
        <f t="shared" si="24"/>
        <v>0</v>
      </c>
      <c r="BJ87" s="16">
        <f t="shared" si="25"/>
        <v>0</v>
      </c>
      <c r="BK87" s="16">
        <f t="shared" si="26"/>
        <v>0</v>
      </c>
      <c r="BL87" s="16">
        <f t="shared" si="27"/>
        <v>0</v>
      </c>
      <c r="BM87" s="16">
        <f t="shared" si="28"/>
        <v>0</v>
      </c>
      <c r="BN87" s="16">
        <f t="shared" si="29"/>
        <v>0</v>
      </c>
      <c r="BO87" s="16">
        <f t="shared" si="30"/>
        <v>0</v>
      </c>
      <c r="BP87" s="16">
        <f t="shared" si="31"/>
        <v>0</v>
      </c>
      <c r="BQ87" s="16">
        <f t="shared" si="32"/>
        <v>0</v>
      </c>
      <c r="BR87" s="16">
        <f t="shared" si="33"/>
        <v>0</v>
      </c>
      <c r="BS87" s="16">
        <f t="shared" si="34"/>
        <v>0</v>
      </c>
      <c r="BT87" s="22">
        <f t="shared" si="35"/>
        <v>0</v>
      </c>
    </row>
    <row r="88" spans="1:72" s="2167" customFormat="1" ht="12.75">
      <c r="A88" s="1274"/>
      <c r="B88" s="1274"/>
      <c r="C88" s="2153"/>
      <c r="D88" s="2954" t="s">
        <v>3374</v>
      </c>
      <c r="E88" s="16">
        <f t="shared" si="7"/>
        <v>0</v>
      </c>
      <c r="F88" s="32"/>
      <c r="G88" s="33">
        <f t="shared" si="8"/>
        <v>0</v>
      </c>
      <c r="H88" s="20">
        <f t="shared" si="9"/>
        <v>0</v>
      </c>
      <c r="I88" s="2213"/>
      <c r="J88" s="2213"/>
      <c r="K88" s="2213"/>
      <c r="L88" s="2213"/>
      <c r="M88" s="2213"/>
      <c r="N88" s="2213"/>
      <c r="O88" s="2213"/>
      <c r="P88" s="2213"/>
      <c r="Q88" s="2213"/>
      <c r="R88" s="2213"/>
      <c r="S88" s="2213"/>
      <c r="T88" s="2213"/>
      <c r="U88" s="2213"/>
      <c r="V88" s="2213"/>
      <c r="W88" s="2213"/>
      <c r="X88" s="2213"/>
      <c r="Y88" s="2213"/>
      <c r="Z88" s="2213"/>
      <c r="AA88" s="2213"/>
      <c r="AB88" s="2213"/>
      <c r="AC88" s="16">
        <f t="shared" si="10"/>
        <v>0</v>
      </c>
      <c r="AD88" s="2214"/>
      <c r="AE88" s="2214"/>
      <c r="AF88" s="2214"/>
      <c r="AG88" s="2214"/>
      <c r="AH88" s="2214"/>
      <c r="AI88" s="2214"/>
      <c r="AJ88" s="2214"/>
      <c r="AK88" s="2214"/>
      <c r="AL88" s="2214"/>
      <c r="AM88" s="2214"/>
      <c r="AN88" s="2214"/>
      <c r="AO88" s="2214"/>
      <c r="AP88" s="2214"/>
      <c r="AQ88" s="2214"/>
      <c r="AR88" s="2214"/>
      <c r="AS88" s="2214"/>
      <c r="AT88" s="2215"/>
      <c r="AU88" s="2216"/>
      <c r="AV88" s="11">
        <f t="shared" si="11"/>
        <v>0</v>
      </c>
      <c r="AW88" s="11">
        <f t="shared" si="12"/>
        <v>0</v>
      </c>
      <c r="AX88" s="11">
        <f t="shared" si="13"/>
        <v>0</v>
      </c>
      <c r="AY88" s="2953">
        <f t="shared" si="14"/>
        <v>0</v>
      </c>
      <c r="AZ88" s="16">
        <f t="shared" si="15"/>
        <v>0</v>
      </c>
      <c r="BA88" s="16">
        <f t="shared" si="16"/>
        <v>0</v>
      </c>
      <c r="BB88" s="16">
        <f t="shared" si="17"/>
        <v>0</v>
      </c>
      <c r="BC88" s="16">
        <f t="shared" si="18"/>
        <v>0</v>
      </c>
      <c r="BD88" s="16">
        <f t="shared" si="19"/>
        <v>0</v>
      </c>
      <c r="BE88" s="16">
        <f t="shared" si="20"/>
        <v>0</v>
      </c>
      <c r="BF88" s="16">
        <f t="shared" si="21"/>
        <v>0</v>
      </c>
      <c r="BG88" s="16">
        <f t="shared" si="22"/>
        <v>0</v>
      </c>
      <c r="BH88" s="16">
        <f t="shared" si="23"/>
        <v>0</v>
      </c>
      <c r="BI88" s="16">
        <f t="shared" si="24"/>
        <v>0</v>
      </c>
      <c r="BJ88" s="16">
        <f t="shared" si="25"/>
        <v>0</v>
      </c>
      <c r="BK88" s="16">
        <f t="shared" si="26"/>
        <v>0</v>
      </c>
      <c r="BL88" s="16">
        <f t="shared" si="27"/>
        <v>0</v>
      </c>
      <c r="BM88" s="16">
        <f t="shared" si="28"/>
        <v>0</v>
      </c>
      <c r="BN88" s="16">
        <f t="shared" si="29"/>
        <v>0</v>
      </c>
      <c r="BO88" s="16">
        <f t="shared" si="30"/>
        <v>0</v>
      </c>
      <c r="BP88" s="16">
        <f t="shared" si="31"/>
        <v>0</v>
      </c>
      <c r="BQ88" s="16">
        <f t="shared" si="32"/>
        <v>0</v>
      </c>
      <c r="BR88" s="16">
        <f t="shared" si="33"/>
        <v>0</v>
      </c>
      <c r="BS88" s="16">
        <f t="shared" si="34"/>
        <v>0</v>
      </c>
      <c r="BT88" s="22">
        <f t="shared" si="35"/>
        <v>0</v>
      </c>
    </row>
    <row r="89" spans="1:72" s="2167" customFormat="1" ht="12.75">
      <c r="A89" s="1274"/>
      <c r="B89" s="1274"/>
      <c r="C89" s="2153"/>
      <c r="D89" s="2954" t="s">
        <v>3374</v>
      </c>
      <c r="E89" s="16">
        <f t="shared" si="7"/>
        <v>0</v>
      </c>
      <c r="F89" s="32"/>
      <c r="G89" s="33">
        <f t="shared" si="8"/>
        <v>0</v>
      </c>
      <c r="H89" s="20">
        <f t="shared" si="9"/>
        <v>0</v>
      </c>
      <c r="I89" s="2213"/>
      <c r="J89" s="2213"/>
      <c r="K89" s="2213"/>
      <c r="L89" s="2213"/>
      <c r="M89" s="2213"/>
      <c r="N89" s="2213"/>
      <c r="O89" s="2213"/>
      <c r="P89" s="2213"/>
      <c r="Q89" s="2213"/>
      <c r="R89" s="2213"/>
      <c r="S89" s="2213"/>
      <c r="T89" s="2213"/>
      <c r="U89" s="2213"/>
      <c r="V89" s="2213"/>
      <c r="W89" s="2213"/>
      <c r="X89" s="2213"/>
      <c r="Y89" s="2213"/>
      <c r="Z89" s="2213"/>
      <c r="AA89" s="2213"/>
      <c r="AB89" s="2213"/>
      <c r="AC89" s="16">
        <f t="shared" si="10"/>
        <v>0</v>
      </c>
      <c r="AD89" s="2214"/>
      <c r="AE89" s="2214"/>
      <c r="AF89" s="2214"/>
      <c r="AG89" s="2214"/>
      <c r="AH89" s="2214"/>
      <c r="AI89" s="2214"/>
      <c r="AJ89" s="2214"/>
      <c r="AK89" s="2214"/>
      <c r="AL89" s="2214"/>
      <c r="AM89" s="2214"/>
      <c r="AN89" s="2214"/>
      <c r="AO89" s="2214"/>
      <c r="AP89" s="2214"/>
      <c r="AQ89" s="2214"/>
      <c r="AR89" s="2214"/>
      <c r="AS89" s="2214"/>
      <c r="AT89" s="2215"/>
      <c r="AU89" s="2216"/>
      <c r="AV89" s="11">
        <f t="shared" si="11"/>
        <v>0</v>
      </c>
      <c r="AW89" s="11">
        <f t="shared" si="12"/>
        <v>0</v>
      </c>
      <c r="AX89" s="11">
        <f t="shared" si="13"/>
        <v>0</v>
      </c>
      <c r="AY89" s="2953">
        <f t="shared" si="14"/>
        <v>0</v>
      </c>
      <c r="AZ89" s="16">
        <f t="shared" si="15"/>
        <v>0</v>
      </c>
      <c r="BA89" s="16">
        <f t="shared" si="16"/>
        <v>0</v>
      </c>
      <c r="BB89" s="16">
        <f t="shared" si="17"/>
        <v>0</v>
      </c>
      <c r="BC89" s="16">
        <f t="shared" si="18"/>
        <v>0</v>
      </c>
      <c r="BD89" s="16">
        <f t="shared" si="19"/>
        <v>0</v>
      </c>
      <c r="BE89" s="16">
        <f t="shared" si="20"/>
        <v>0</v>
      </c>
      <c r="BF89" s="16">
        <f t="shared" si="21"/>
        <v>0</v>
      </c>
      <c r="BG89" s="16">
        <f t="shared" si="22"/>
        <v>0</v>
      </c>
      <c r="BH89" s="16">
        <f t="shared" si="23"/>
        <v>0</v>
      </c>
      <c r="BI89" s="16">
        <f t="shared" si="24"/>
        <v>0</v>
      </c>
      <c r="BJ89" s="16">
        <f t="shared" si="25"/>
        <v>0</v>
      </c>
      <c r="BK89" s="16">
        <f t="shared" si="26"/>
        <v>0</v>
      </c>
      <c r="BL89" s="16">
        <f t="shared" si="27"/>
        <v>0</v>
      </c>
      <c r="BM89" s="16">
        <f t="shared" si="28"/>
        <v>0</v>
      </c>
      <c r="BN89" s="16">
        <f t="shared" si="29"/>
        <v>0</v>
      </c>
      <c r="BO89" s="16">
        <f t="shared" si="30"/>
        <v>0</v>
      </c>
      <c r="BP89" s="16">
        <f t="shared" si="31"/>
        <v>0</v>
      </c>
      <c r="BQ89" s="16">
        <f t="shared" si="32"/>
        <v>0</v>
      </c>
      <c r="BR89" s="16">
        <f t="shared" si="33"/>
        <v>0</v>
      </c>
      <c r="BS89" s="16">
        <f t="shared" si="34"/>
        <v>0</v>
      </c>
      <c r="BT89" s="22">
        <f t="shared" si="35"/>
        <v>0</v>
      </c>
    </row>
    <row r="90" spans="1:72" s="2167" customFormat="1" ht="12.75">
      <c r="A90" s="1274"/>
      <c r="B90" s="1274"/>
      <c r="C90" s="2153"/>
      <c r="D90" s="2954" t="s">
        <v>3374</v>
      </c>
      <c r="E90" s="16">
        <f t="shared" si="7"/>
        <v>0</v>
      </c>
      <c r="F90" s="32"/>
      <c r="G90" s="33">
        <f t="shared" si="8"/>
        <v>0</v>
      </c>
      <c r="H90" s="20">
        <f t="shared" si="9"/>
        <v>0</v>
      </c>
      <c r="I90" s="2213"/>
      <c r="J90" s="2213"/>
      <c r="K90" s="2213"/>
      <c r="L90" s="2213"/>
      <c r="M90" s="2213"/>
      <c r="N90" s="2213"/>
      <c r="O90" s="2213"/>
      <c r="P90" s="2213"/>
      <c r="Q90" s="2213"/>
      <c r="R90" s="2213"/>
      <c r="S90" s="2213"/>
      <c r="T90" s="2213"/>
      <c r="U90" s="2213"/>
      <c r="V90" s="2213"/>
      <c r="W90" s="2213"/>
      <c r="X90" s="2213"/>
      <c r="Y90" s="2213"/>
      <c r="Z90" s="2213"/>
      <c r="AA90" s="2213"/>
      <c r="AB90" s="2213"/>
      <c r="AC90" s="16">
        <f t="shared" si="10"/>
        <v>0</v>
      </c>
      <c r="AD90" s="2214"/>
      <c r="AE90" s="2214"/>
      <c r="AF90" s="2214"/>
      <c r="AG90" s="2214"/>
      <c r="AH90" s="2214"/>
      <c r="AI90" s="2214"/>
      <c r="AJ90" s="2214"/>
      <c r="AK90" s="2214"/>
      <c r="AL90" s="2214"/>
      <c r="AM90" s="2214"/>
      <c r="AN90" s="2214"/>
      <c r="AO90" s="2214"/>
      <c r="AP90" s="2214"/>
      <c r="AQ90" s="2214"/>
      <c r="AR90" s="2214"/>
      <c r="AS90" s="2214"/>
      <c r="AT90" s="2215"/>
      <c r="AU90" s="2216"/>
      <c r="AV90" s="11">
        <f t="shared" si="11"/>
        <v>0</v>
      </c>
      <c r="AW90" s="11">
        <f t="shared" si="12"/>
        <v>0</v>
      </c>
      <c r="AX90" s="11">
        <f t="shared" si="13"/>
        <v>0</v>
      </c>
      <c r="AY90" s="2953">
        <f t="shared" si="14"/>
        <v>0</v>
      </c>
      <c r="AZ90" s="16">
        <f t="shared" si="15"/>
        <v>0</v>
      </c>
      <c r="BA90" s="16">
        <f t="shared" si="16"/>
        <v>0</v>
      </c>
      <c r="BB90" s="16">
        <f t="shared" si="17"/>
        <v>0</v>
      </c>
      <c r="BC90" s="16">
        <f t="shared" si="18"/>
        <v>0</v>
      </c>
      <c r="BD90" s="16">
        <f t="shared" si="19"/>
        <v>0</v>
      </c>
      <c r="BE90" s="16">
        <f t="shared" si="20"/>
        <v>0</v>
      </c>
      <c r="BF90" s="16">
        <f t="shared" si="21"/>
        <v>0</v>
      </c>
      <c r="BG90" s="16">
        <f t="shared" si="22"/>
        <v>0</v>
      </c>
      <c r="BH90" s="16">
        <f t="shared" si="23"/>
        <v>0</v>
      </c>
      <c r="BI90" s="16">
        <f t="shared" si="24"/>
        <v>0</v>
      </c>
      <c r="BJ90" s="16">
        <f t="shared" si="25"/>
        <v>0</v>
      </c>
      <c r="BK90" s="16">
        <f t="shared" si="26"/>
        <v>0</v>
      </c>
      <c r="BL90" s="16">
        <f t="shared" si="27"/>
        <v>0</v>
      </c>
      <c r="BM90" s="16">
        <f t="shared" si="28"/>
        <v>0</v>
      </c>
      <c r="BN90" s="16">
        <f t="shared" si="29"/>
        <v>0</v>
      </c>
      <c r="BO90" s="16">
        <f t="shared" si="30"/>
        <v>0</v>
      </c>
      <c r="BP90" s="16">
        <f t="shared" si="31"/>
        <v>0</v>
      </c>
      <c r="BQ90" s="16">
        <f t="shared" si="32"/>
        <v>0</v>
      </c>
      <c r="BR90" s="16">
        <f t="shared" si="33"/>
        <v>0</v>
      </c>
      <c r="BS90" s="16">
        <f t="shared" si="34"/>
        <v>0</v>
      </c>
      <c r="BT90" s="22">
        <f t="shared" si="35"/>
        <v>0</v>
      </c>
    </row>
    <row r="91" spans="1:72" s="2167" customFormat="1" ht="12.75">
      <c r="A91" s="1274"/>
      <c r="B91" s="1274"/>
      <c r="C91" s="2153"/>
      <c r="D91" s="2954" t="s">
        <v>3374</v>
      </c>
      <c r="E91" s="16">
        <f t="shared" si="7"/>
        <v>0</v>
      </c>
      <c r="F91" s="32"/>
      <c r="G91" s="33">
        <f t="shared" si="8"/>
        <v>0</v>
      </c>
      <c r="H91" s="20">
        <f t="shared" si="9"/>
        <v>0</v>
      </c>
      <c r="I91" s="2213"/>
      <c r="J91" s="2213"/>
      <c r="K91" s="2213"/>
      <c r="L91" s="2213"/>
      <c r="M91" s="2213"/>
      <c r="N91" s="2213"/>
      <c r="O91" s="2213"/>
      <c r="P91" s="2213"/>
      <c r="Q91" s="2213"/>
      <c r="R91" s="2213"/>
      <c r="S91" s="2213"/>
      <c r="T91" s="2213"/>
      <c r="U91" s="2213"/>
      <c r="V91" s="2213"/>
      <c r="W91" s="2213"/>
      <c r="X91" s="2213"/>
      <c r="Y91" s="2213"/>
      <c r="Z91" s="2213"/>
      <c r="AA91" s="2213"/>
      <c r="AB91" s="2213"/>
      <c r="AC91" s="16">
        <f t="shared" si="10"/>
        <v>0</v>
      </c>
      <c r="AD91" s="2214"/>
      <c r="AE91" s="2214"/>
      <c r="AF91" s="2214"/>
      <c r="AG91" s="2214"/>
      <c r="AH91" s="2214"/>
      <c r="AI91" s="2214"/>
      <c r="AJ91" s="2214"/>
      <c r="AK91" s="2214"/>
      <c r="AL91" s="2214"/>
      <c r="AM91" s="2214"/>
      <c r="AN91" s="2214"/>
      <c r="AO91" s="2214"/>
      <c r="AP91" s="2214"/>
      <c r="AQ91" s="2214"/>
      <c r="AR91" s="2214"/>
      <c r="AS91" s="2214"/>
      <c r="AT91" s="2215"/>
      <c r="AU91" s="2216"/>
      <c r="AV91" s="11">
        <f t="shared" si="11"/>
        <v>0</v>
      </c>
      <c r="AW91" s="11">
        <f t="shared" si="12"/>
        <v>0</v>
      </c>
      <c r="AX91" s="11">
        <f t="shared" si="13"/>
        <v>0</v>
      </c>
      <c r="AY91" s="2953">
        <f t="shared" si="14"/>
        <v>0</v>
      </c>
      <c r="AZ91" s="16">
        <f t="shared" si="15"/>
        <v>0</v>
      </c>
      <c r="BA91" s="16">
        <f t="shared" si="16"/>
        <v>0</v>
      </c>
      <c r="BB91" s="16">
        <f t="shared" si="17"/>
        <v>0</v>
      </c>
      <c r="BC91" s="16">
        <f t="shared" si="18"/>
        <v>0</v>
      </c>
      <c r="BD91" s="16">
        <f t="shared" si="19"/>
        <v>0</v>
      </c>
      <c r="BE91" s="16">
        <f t="shared" si="20"/>
        <v>0</v>
      </c>
      <c r="BF91" s="16">
        <f t="shared" si="21"/>
        <v>0</v>
      </c>
      <c r="BG91" s="16">
        <f t="shared" si="22"/>
        <v>0</v>
      </c>
      <c r="BH91" s="16">
        <f t="shared" si="23"/>
        <v>0</v>
      </c>
      <c r="BI91" s="16">
        <f t="shared" si="24"/>
        <v>0</v>
      </c>
      <c r="BJ91" s="16">
        <f t="shared" si="25"/>
        <v>0</v>
      </c>
      <c r="BK91" s="16">
        <f t="shared" si="26"/>
        <v>0</v>
      </c>
      <c r="BL91" s="16">
        <f t="shared" si="27"/>
        <v>0</v>
      </c>
      <c r="BM91" s="16">
        <f t="shared" si="28"/>
        <v>0</v>
      </c>
      <c r="BN91" s="16">
        <f t="shared" si="29"/>
        <v>0</v>
      </c>
      <c r="BO91" s="16">
        <f t="shared" si="30"/>
        <v>0</v>
      </c>
      <c r="BP91" s="16">
        <f t="shared" si="31"/>
        <v>0</v>
      </c>
      <c r="BQ91" s="16">
        <f t="shared" si="32"/>
        <v>0</v>
      </c>
      <c r="BR91" s="16">
        <f t="shared" si="33"/>
        <v>0</v>
      </c>
      <c r="BS91" s="16">
        <f t="shared" si="34"/>
        <v>0</v>
      </c>
      <c r="BT91" s="22">
        <f t="shared" si="35"/>
        <v>0</v>
      </c>
    </row>
    <row r="92" spans="1:72" s="2167" customFormat="1" ht="12.75">
      <c r="A92" s="1274"/>
      <c r="B92" s="1274"/>
      <c r="C92" s="2153"/>
      <c r="D92" s="2954" t="s">
        <v>3374</v>
      </c>
      <c r="E92" s="16">
        <f t="shared" si="7"/>
        <v>0</v>
      </c>
      <c r="F92" s="32"/>
      <c r="G92" s="33">
        <f t="shared" si="8"/>
        <v>0</v>
      </c>
      <c r="H92" s="20">
        <f t="shared" si="9"/>
        <v>0</v>
      </c>
      <c r="I92" s="2213"/>
      <c r="J92" s="2213"/>
      <c r="K92" s="2213"/>
      <c r="L92" s="2213"/>
      <c r="M92" s="2213"/>
      <c r="N92" s="2213"/>
      <c r="O92" s="2213"/>
      <c r="P92" s="2213"/>
      <c r="Q92" s="2213"/>
      <c r="R92" s="2213"/>
      <c r="S92" s="2213"/>
      <c r="T92" s="2213"/>
      <c r="U92" s="2213"/>
      <c r="V92" s="2213"/>
      <c r="W92" s="2213"/>
      <c r="X92" s="2213"/>
      <c r="Y92" s="2213"/>
      <c r="Z92" s="2213"/>
      <c r="AA92" s="2213"/>
      <c r="AB92" s="2213"/>
      <c r="AC92" s="16">
        <f t="shared" si="10"/>
        <v>0</v>
      </c>
      <c r="AD92" s="2214"/>
      <c r="AE92" s="2214"/>
      <c r="AF92" s="2214"/>
      <c r="AG92" s="2214"/>
      <c r="AH92" s="2214"/>
      <c r="AI92" s="2214"/>
      <c r="AJ92" s="2214"/>
      <c r="AK92" s="2214"/>
      <c r="AL92" s="2214"/>
      <c r="AM92" s="2214"/>
      <c r="AN92" s="2214"/>
      <c r="AO92" s="2214"/>
      <c r="AP92" s="2214"/>
      <c r="AQ92" s="2214"/>
      <c r="AR92" s="2214"/>
      <c r="AS92" s="2214"/>
      <c r="AT92" s="2215"/>
      <c r="AU92" s="2216"/>
      <c r="AV92" s="11">
        <f t="shared" si="11"/>
        <v>0</v>
      </c>
      <c r="AW92" s="11">
        <f t="shared" si="12"/>
        <v>0</v>
      </c>
      <c r="AX92" s="11">
        <f t="shared" si="13"/>
        <v>0</v>
      </c>
      <c r="AY92" s="2953">
        <f t="shared" si="14"/>
        <v>0</v>
      </c>
      <c r="AZ92" s="16">
        <f t="shared" si="15"/>
        <v>0</v>
      </c>
      <c r="BA92" s="16">
        <f t="shared" si="16"/>
        <v>0</v>
      </c>
      <c r="BB92" s="16">
        <f t="shared" si="17"/>
        <v>0</v>
      </c>
      <c r="BC92" s="16">
        <f t="shared" si="18"/>
        <v>0</v>
      </c>
      <c r="BD92" s="16">
        <f t="shared" si="19"/>
        <v>0</v>
      </c>
      <c r="BE92" s="16">
        <f t="shared" si="20"/>
        <v>0</v>
      </c>
      <c r="BF92" s="16">
        <f t="shared" si="21"/>
        <v>0</v>
      </c>
      <c r="BG92" s="16">
        <f t="shared" si="22"/>
        <v>0</v>
      </c>
      <c r="BH92" s="16">
        <f t="shared" si="23"/>
        <v>0</v>
      </c>
      <c r="BI92" s="16">
        <f t="shared" si="24"/>
        <v>0</v>
      </c>
      <c r="BJ92" s="16">
        <f t="shared" si="25"/>
        <v>0</v>
      </c>
      <c r="BK92" s="16">
        <f t="shared" si="26"/>
        <v>0</v>
      </c>
      <c r="BL92" s="16">
        <f t="shared" si="27"/>
        <v>0</v>
      </c>
      <c r="BM92" s="16">
        <f t="shared" si="28"/>
        <v>0</v>
      </c>
      <c r="BN92" s="16">
        <f t="shared" si="29"/>
        <v>0</v>
      </c>
      <c r="BO92" s="16">
        <f t="shared" si="30"/>
        <v>0</v>
      </c>
      <c r="BP92" s="16">
        <f t="shared" si="31"/>
        <v>0</v>
      </c>
      <c r="BQ92" s="16">
        <f t="shared" si="32"/>
        <v>0</v>
      </c>
      <c r="BR92" s="16">
        <f t="shared" si="33"/>
        <v>0</v>
      </c>
      <c r="BS92" s="16">
        <f t="shared" si="34"/>
        <v>0</v>
      </c>
      <c r="BT92" s="22">
        <f t="shared" si="35"/>
        <v>0</v>
      </c>
    </row>
    <row r="93" spans="1:72" s="2167" customFormat="1" ht="12.75">
      <c r="A93" s="1274"/>
      <c r="B93" s="1274"/>
      <c r="C93" s="2153"/>
      <c r="D93" s="2954" t="s">
        <v>3374</v>
      </c>
      <c r="E93" s="16">
        <f t="shared" si="7"/>
        <v>0</v>
      </c>
      <c r="F93" s="32"/>
      <c r="G93" s="33">
        <f t="shared" si="8"/>
        <v>0</v>
      </c>
      <c r="H93" s="20">
        <f t="shared" si="9"/>
        <v>0</v>
      </c>
      <c r="I93" s="2213"/>
      <c r="J93" s="2213"/>
      <c r="K93" s="2213"/>
      <c r="L93" s="2213"/>
      <c r="M93" s="2213"/>
      <c r="N93" s="2213"/>
      <c r="O93" s="2213"/>
      <c r="P93" s="2213"/>
      <c r="Q93" s="2213"/>
      <c r="R93" s="2213"/>
      <c r="S93" s="2213"/>
      <c r="T93" s="2213"/>
      <c r="U93" s="2213"/>
      <c r="V93" s="2213"/>
      <c r="W93" s="2213"/>
      <c r="X93" s="2213"/>
      <c r="Y93" s="2213"/>
      <c r="Z93" s="2213"/>
      <c r="AA93" s="2213"/>
      <c r="AB93" s="2213"/>
      <c r="AC93" s="16">
        <f t="shared" si="10"/>
        <v>0</v>
      </c>
      <c r="AD93" s="2214"/>
      <c r="AE93" s="2214"/>
      <c r="AF93" s="2214"/>
      <c r="AG93" s="2214"/>
      <c r="AH93" s="2214"/>
      <c r="AI93" s="2214"/>
      <c r="AJ93" s="2214"/>
      <c r="AK93" s="2214"/>
      <c r="AL93" s="2214"/>
      <c r="AM93" s="2214"/>
      <c r="AN93" s="2214"/>
      <c r="AO93" s="2214"/>
      <c r="AP93" s="2214"/>
      <c r="AQ93" s="2214"/>
      <c r="AR93" s="2214"/>
      <c r="AS93" s="2214"/>
      <c r="AT93" s="2215"/>
      <c r="AU93" s="2216"/>
      <c r="AV93" s="11">
        <f t="shared" si="11"/>
        <v>0</v>
      </c>
      <c r="AW93" s="11">
        <f t="shared" si="12"/>
        <v>0</v>
      </c>
      <c r="AX93" s="11">
        <f t="shared" si="13"/>
        <v>0</v>
      </c>
      <c r="AY93" s="2953">
        <f t="shared" si="14"/>
        <v>0</v>
      </c>
      <c r="AZ93" s="16">
        <f t="shared" si="15"/>
        <v>0</v>
      </c>
      <c r="BA93" s="16">
        <f t="shared" si="16"/>
        <v>0</v>
      </c>
      <c r="BB93" s="16">
        <f t="shared" si="17"/>
        <v>0</v>
      </c>
      <c r="BC93" s="16">
        <f t="shared" si="18"/>
        <v>0</v>
      </c>
      <c r="BD93" s="16">
        <f t="shared" si="19"/>
        <v>0</v>
      </c>
      <c r="BE93" s="16">
        <f t="shared" si="20"/>
        <v>0</v>
      </c>
      <c r="BF93" s="16">
        <f t="shared" si="21"/>
        <v>0</v>
      </c>
      <c r="BG93" s="16">
        <f t="shared" si="22"/>
        <v>0</v>
      </c>
      <c r="BH93" s="16">
        <f t="shared" si="23"/>
        <v>0</v>
      </c>
      <c r="BI93" s="16">
        <f t="shared" si="24"/>
        <v>0</v>
      </c>
      <c r="BJ93" s="16">
        <f t="shared" si="25"/>
        <v>0</v>
      </c>
      <c r="BK93" s="16">
        <f t="shared" si="26"/>
        <v>0</v>
      </c>
      <c r="BL93" s="16">
        <f t="shared" si="27"/>
        <v>0</v>
      </c>
      <c r="BM93" s="16">
        <f t="shared" si="28"/>
        <v>0</v>
      </c>
      <c r="BN93" s="16">
        <f t="shared" si="29"/>
        <v>0</v>
      </c>
      <c r="BO93" s="16">
        <f t="shared" si="30"/>
        <v>0</v>
      </c>
      <c r="BP93" s="16">
        <f t="shared" si="31"/>
        <v>0</v>
      </c>
      <c r="BQ93" s="16">
        <f t="shared" si="32"/>
        <v>0</v>
      </c>
      <c r="BR93" s="16">
        <f t="shared" si="33"/>
        <v>0</v>
      </c>
      <c r="BS93" s="16">
        <f t="shared" si="34"/>
        <v>0</v>
      </c>
      <c r="BT93" s="22">
        <f t="shared" si="35"/>
        <v>0</v>
      </c>
    </row>
    <row r="94" spans="1:72" s="2167" customFormat="1" ht="12.75">
      <c r="A94" s="1274"/>
      <c r="B94" s="1274"/>
      <c r="C94" s="2153"/>
      <c r="D94" s="2954" t="s">
        <v>3374</v>
      </c>
      <c r="E94" s="16">
        <f t="shared" si="7"/>
        <v>0</v>
      </c>
      <c r="F94" s="32"/>
      <c r="G94" s="33">
        <f t="shared" si="8"/>
        <v>0</v>
      </c>
      <c r="H94" s="20">
        <f t="shared" si="9"/>
        <v>0</v>
      </c>
      <c r="I94" s="2213"/>
      <c r="J94" s="2213"/>
      <c r="K94" s="2213"/>
      <c r="L94" s="2213"/>
      <c r="M94" s="2213"/>
      <c r="N94" s="2213"/>
      <c r="O94" s="2213"/>
      <c r="P94" s="2213"/>
      <c r="Q94" s="2213"/>
      <c r="R94" s="2213"/>
      <c r="S94" s="2213"/>
      <c r="T94" s="2213"/>
      <c r="U94" s="2213"/>
      <c r="V94" s="2213"/>
      <c r="W94" s="2213"/>
      <c r="X94" s="2213"/>
      <c r="Y94" s="2213"/>
      <c r="Z94" s="2213"/>
      <c r="AA94" s="2213"/>
      <c r="AB94" s="2213"/>
      <c r="AC94" s="16">
        <f t="shared" si="10"/>
        <v>0</v>
      </c>
      <c r="AD94" s="2214"/>
      <c r="AE94" s="2214"/>
      <c r="AF94" s="2214"/>
      <c r="AG94" s="2214"/>
      <c r="AH94" s="2214"/>
      <c r="AI94" s="2214"/>
      <c r="AJ94" s="2214"/>
      <c r="AK94" s="2214"/>
      <c r="AL94" s="2214"/>
      <c r="AM94" s="2214"/>
      <c r="AN94" s="2214"/>
      <c r="AO94" s="2214"/>
      <c r="AP94" s="2214"/>
      <c r="AQ94" s="2214"/>
      <c r="AR94" s="2214"/>
      <c r="AS94" s="2214"/>
      <c r="AT94" s="2215"/>
      <c r="AU94" s="2216"/>
      <c r="AV94" s="11">
        <f t="shared" si="11"/>
        <v>0</v>
      </c>
      <c r="AW94" s="11">
        <f t="shared" si="12"/>
        <v>0</v>
      </c>
      <c r="AX94" s="11">
        <f t="shared" si="13"/>
        <v>0</v>
      </c>
      <c r="AY94" s="2953">
        <f t="shared" si="14"/>
        <v>0</v>
      </c>
      <c r="AZ94" s="16">
        <f t="shared" si="15"/>
        <v>0</v>
      </c>
      <c r="BA94" s="16">
        <f t="shared" si="16"/>
        <v>0</v>
      </c>
      <c r="BB94" s="16">
        <f t="shared" si="17"/>
        <v>0</v>
      </c>
      <c r="BC94" s="16">
        <f t="shared" si="18"/>
        <v>0</v>
      </c>
      <c r="BD94" s="16">
        <f t="shared" si="19"/>
        <v>0</v>
      </c>
      <c r="BE94" s="16">
        <f t="shared" si="20"/>
        <v>0</v>
      </c>
      <c r="BF94" s="16">
        <f t="shared" si="21"/>
        <v>0</v>
      </c>
      <c r="BG94" s="16">
        <f t="shared" si="22"/>
        <v>0</v>
      </c>
      <c r="BH94" s="16">
        <f t="shared" si="23"/>
        <v>0</v>
      </c>
      <c r="BI94" s="16">
        <f t="shared" si="24"/>
        <v>0</v>
      </c>
      <c r="BJ94" s="16">
        <f t="shared" si="25"/>
        <v>0</v>
      </c>
      <c r="BK94" s="16">
        <f t="shared" si="26"/>
        <v>0</v>
      </c>
      <c r="BL94" s="16">
        <f t="shared" si="27"/>
        <v>0</v>
      </c>
      <c r="BM94" s="16">
        <f t="shared" si="28"/>
        <v>0</v>
      </c>
      <c r="BN94" s="16">
        <f t="shared" si="29"/>
        <v>0</v>
      </c>
      <c r="BO94" s="16">
        <f t="shared" si="30"/>
        <v>0</v>
      </c>
      <c r="BP94" s="16">
        <f t="shared" si="31"/>
        <v>0</v>
      </c>
      <c r="BQ94" s="16">
        <f t="shared" si="32"/>
        <v>0</v>
      </c>
      <c r="BR94" s="16">
        <f t="shared" si="33"/>
        <v>0</v>
      </c>
      <c r="BS94" s="16">
        <f t="shared" si="34"/>
        <v>0</v>
      </c>
      <c r="BT94" s="22">
        <f t="shared" si="35"/>
        <v>0</v>
      </c>
    </row>
    <row r="95" spans="1:72" s="2167" customFormat="1" ht="12.75">
      <c r="A95" s="1274"/>
      <c r="B95" s="1274"/>
      <c r="C95" s="2153"/>
      <c r="D95" s="2954" t="s">
        <v>3374</v>
      </c>
      <c r="E95" s="16">
        <f t="shared" si="7"/>
        <v>0</v>
      </c>
      <c r="F95" s="32"/>
      <c r="G95" s="33">
        <f t="shared" si="8"/>
        <v>0</v>
      </c>
      <c r="H95" s="20">
        <f t="shared" si="9"/>
        <v>0</v>
      </c>
      <c r="I95" s="2213"/>
      <c r="J95" s="2213"/>
      <c r="K95" s="2213"/>
      <c r="L95" s="2213"/>
      <c r="M95" s="2213"/>
      <c r="N95" s="2213"/>
      <c r="O95" s="2213"/>
      <c r="P95" s="2213"/>
      <c r="Q95" s="2213"/>
      <c r="R95" s="2213"/>
      <c r="S95" s="2213"/>
      <c r="T95" s="2213"/>
      <c r="U95" s="2213"/>
      <c r="V95" s="2213"/>
      <c r="W95" s="2213"/>
      <c r="X95" s="2213"/>
      <c r="Y95" s="2213"/>
      <c r="Z95" s="2213"/>
      <c r="AA95" s="2213"/>
      <c r="AB95" s="2213"/>
      <c r="AC95" s="16">
        <f t="shared" si="10"/>
        <v>0</v>
      </c>
      <c r="AD95" s="2214"/>
      <c r="AE95" s="2214"/>
      <c r="AF95" s="2214"/>
      <c r="AG95" s="2214"/>
      <c r="AH95" s="2214"/>
      <c r="AI95" s="2214"/>
      <c r="AJ95" s="2214"/>
      <c r="AK95" s="2214"/>
      <c r="AL95" s="2214"/>
      <c r="AM95" s="2214"/>
      <c r="AN95" s="2214"/>
      <c r="AO95" s="2214"/>
      <c r="AP95" s="2214"/>
      <c r="AQ95" s="2214"/>
      <c r="AR95" s="2214"/>
      <c r="AS95" s="2214"/>
      <c r="AT95" s="2215"/>
      <c r="AU95" s="2216"/>
      <c r="AV95" s="11">
        <f t="shared" si="11"/>
        <v>0</v>
      </c>
      <c r="AW95" s="11">
        <f t="shared" si="12"/>
        <v>0</v>
      </c>
      <c r="AX95" s="11">
        <f t="shared" si="13"/>
        <v>0</v>
      </c>
      <c r="AY95" s="2953">
        <f t="shared" si="14"/>
        <v>0</v>
      </c>
      <c r="AZ95" s="16">
        <f t="shared" si="15"/>
        <v>0</v>
      </c>
      <c r="BA95" s="16">
        <f t="shared" si="16"/>
        <v>0</v>
      </c>
      <c r="BB95" s="16">
        <f t="shared" si="17"/>
        <v>0</v>
      </c>
      <c r="BC95" s="16">
        <f t="shared" si="18"/>
        <v>0</v>
      </c>
      <c r="BD95" s="16">
        <f t="shared" si="19"/>
        <v>0</v>
      </c>
      <c r="BE95" s="16">
        <f t="shared" si="20"/>
        <v>0</v>
      </c>
      <c r="BF95" s="16">
        <f t="shared" si="21"/>
        <v>0</v>
      </c>
      <c r="BG95" s="16">
        <f t="shared" si="22"/>
        <v>0</v>
      </c>
      <c r="BH95" s="16">
        <f t="shared" si="23"/>
        <v>0</v>
      </c>
      <c r="BI95" s="16">
        <f t="shared" si="24"/>
        <v>0</v>
      </c>
      <c r="BJ95" s="16">
        <f t="shared" si="25"/>
        <v>0</v>
      </c>
      <c r="BK95" s="16">
        <f t="shared" si="26"/>
        <v>0</v>
      </c>
      <c r="BL95" s="16">
        <f t="shared" si="27"/>
        <v>0</v>
      </c>
      <c r="BM95" s="16">
        <f t="shared" si="28"/>
        <v>0</v>
      </c>
      <c r="BN95" s="16">
        <f t="shared" si="29"/>
        <v>0</v>
      </c>
      <c r="BO95" s="16">
        <f t="shared" si="30"/>
        <v>0</v>
      </c>
      <c r="BP95" s="16">
        <f t="shared" si="31"/>
        <v>0</v>
      </c>
      <c r="BQ95" s="16">
        <f t="shared" si="32"/>
        <v>0</v>
      </c>
      <c r="BR95" s="16">
        <f t="shared" si="33"/>
        <v>0</v>
      </c>
      <c r="BS95" s="16">
        <f t="shared" si="34"/>
        <v>0</v>
      </c>
      <c r="BT95" s="22">
        <f t="shared" si="35"/>
        <v>0</v>
      </c>
    </row>
    <row r="96" spans="1:72" s="2167" customFormat="1" ht="12.75">
      <c r="A96" s="1274"/>
      <c r="B96" s="1274"/>
      <c r="C96" s="2153"/>
      <c r="D96" s="2954" t="s">
        <v>3374</v>
      </c>
      <c r="E96" s="16">
        <f t="shared" si="7"/>
        <v>0</v>
      </c>
      <c r="F96" s="32"/>
      <c r="G96" s="33">
        <f t="shared" si="8"/>
        <v>0</v>
      </c>
      <c r="H96" s="20">
        <f t="shared" si="9"/>
        <v>0</v>
      </c>
      <c r="I96" s="2213"/>
      <c r="J96" s="2213"/>
      <c r="K96" s="2213"/>
      <c r="L96" s="2213"/>
      <c r="M96" s="2213"/>
      <c r="N96" s="2213"/>
      <c r="O96" s="2213"/>
      <c r="P96" s="2213"/>
      <c r="Q96" s="2213"/>
      <c r="R96" s="2213"/>
      <c r="S96" s="2213"/>
      <c r="T96" s="2213"/>
      <c r="U96" s="2213"/>
      <c r="V96" s="2213"/>
      <c r="W96" s="2213"/>
      <c r="X96" s="2213"/>
      <c r="Y96" s="2213"/>
      <c r="Z96" s="2213"/>
      <c r="AA96" s="2213"/>
      <c r="AB96" s="2213"/>
      <c r="AC96" s="16">
        <f t="shared" si="10"/>
        <v>0</v>
      </c>
      <c r="AD96" s="2214"/>
      <c r="AE96" s="2214"/>
      <c r="AF96" s="2214"/>
      <c r="AG96" s="2214"/>
      <c r="AH96" s="2214"/>
      <c r="AI96" s="2214"/>
      <c r="AJ96" s="2214"/>
      <c r="AK96" s="2214"/>
      <c r="AL96" s="2214"/>
      <c r="AM96" s="2214"/>
      <c r="AN96" s="2214"/>
      <c r="AO96" s="2214"/>
      <c r="AP96" s="2214"/>
      <c r="AQ96" s="2214"/>
      <c r="AR96" s="2214"/>
      <c r="AS96" s="2214"/>
      <c r="AT96" s="2215"/>
      <c r="AU96" s="2216"/>
      <c r="AV96" s="11">
        <f t="shared" si="11"/>
        <v>0</v>
      </c>
      <c r="AW96" s="11">
        <f t="shared" si="12"/>
        <v>0</v>
      </c>
      <c r="AX96" s="11">
        <f t="shared" si="13"/>
        <v>0</v>
      </c>
      <c r="AY96" s="2953">
        <f t="shared" si="14"/>
        <v>0</v>
      </c>
      <c r="AZ96" s="16">
        <f t="shared" si="15"/>
        <v>0</v>
      </c>
      <c r="BA96" s="16">
        <f t="shared" si="16"/>
        <v>0</v>
      </c>
      <c r="BB96" s="16">
        <f t="shared" si="17"/>
        <v>0</v>
      </c>
      <c r="BC96" s="16">
        <f t="shared" si="18"/>
        <v>0</v>
      </c>
      <c r="BD96" s="16">
        <f t="shared" si="19"/>
        <v>0</v>
      </c>
      <c r="BE96" s="16">
        <f t="shared" si="20"/>
        <v>0</v>
      </c>
      <c r="BF96" s="16">
        <f t="shared" si="21"/>
        <v>0</v>
      </c>
      <c r="BG96" s="16">
        <f t="shared" si="22"/>
        <v>0</v>
      </c>
      <c r="BH96" s="16">
        <f t="shared" si="23"/>
        <v>0</v>
      </c>
      <c r="BI96" s="16">
        <f t="shared" si="24"/>
        <v>0</v>
      </c>
      <c r="BJ96" s="16">
        <f t="shared" si="25"/>
        <v>0</v>
      </c>
      <c r="BK96" s="16">
        <f t="shared" si="26"/>
        <v>0</v>
      </c>
      <c r="BL96" s="16">
        <f t="shared" si="27"/>
        <v>0</v>
      </c>
      <c r="BM96" s="16">
        <f t="shared" si="28"/>
        <v>0</v>
      </c>
      <c r="BN96" s="16">
        <f t="shared" si="29"/>
        <v>0</v>
      </c>
      <c r="BO96" s="16">
        <f t="shared" si="30"/>
        <v>0</v>
      </c>
      <c r="BP96" s="16">
        <f t="shared" si="31"/>
        <v>0</v>
      </c>
      <c r="BQ96" s="16">
        <f t="shared" si="32"/>
        <v>0</v>
      </c>
      <c r="BR96" s="16">
        <f t="shared" si="33"/>
        <v>0</v>
      </c>
      <c r="BS96" s="16">
        <f t="shared" si="34"/>
        <v>0</v>
      </c>
      <c r="BT96" s="22">
        <f t="shared" si="35"/>
        <v>0</v>
      </c>
    </row>
    <row r="97" spans="1:72" s="2167" customFormat="1" ht="12.75">
      <c r="A97" s="1274"/>
      <c r="B97" s="1274"/>
      <c r="C97" s="2153"/>
      <c r="D97" s="2954" t="s">
        <v>3374</v>
      </c>
      <c r="E97" s="16">
        <f t="shared" si="7"/>
        <v>0</v>
      </c>
      <c r="F97" s="32"/>
      <c r="G97" s="33">
        <f t="shared" si="8"/>
        <v>0</v>
      </c>
      <c r="H97" s="20">
        <f t="shared" si="9"/>
        <v>0</v>
      </c>
      <c r="I97" s="2213"/>
      <c r="J97" s="2213"/>
      <c r="K97" s="2213"/>
      <c r="L97" s="2213"/>
      <c r="M97" s="2213"/>
      <c r="N97" s="2213"/>
      <c r="O97" s="2213"/>
      <c r="P97" s="2213"/>
      <c r="Q97" s="2213"/>
      <c r="R97" s="2213"/>
      <c r="S97" s="2213"/>
      <c r="T97" s="2213"/>
      <c r="U97" s="2213"/>
      <c r="V97" s="2213"/>
      <c r="W97" s="2213"/>
      <c r="X97" s="2213"/>
      <c r="Y97" s="2213"/>
      <c r="Z97" s="2213"/>
      <c r="AA97" s="2213"/>
      <c r="AB97" s="2213"/>
      <c r="AC97" s="16">
        <f t="shared" si="10"/>
        <v>0</v>
      </c>
      <c r="AD97" s="2214"/>
      <c r="AE97" s="2214"/>
      <c r="AF97" s="2214"/>
      <c r="AG97" s="2214"/>
      <c r="AH97" s="2214"/>
      <c r="AI97" s="2214"/>
      <c r="AJ97" s="2214"/>
      <c r="AK97" s="2214"/>
      <c r="AL97" s="2214"/>
      <c r="AM97" s="2214"/>
      <c r="AN97" s="2214"/>
      <c r="AO97" s="2214"/>
      <c r="AP97" s="2214"/>
      <c r="AQ97" s="2214"/>
      <c r="AR97" s="2214"/>
      <c r="AS97" s="2214"/>
      <c r="AT97" s="2215"/>
      <c r="AU97" s="2216"/>
      <c r="AV97" s="11">
        <f t="shared" si="11"/>
        <v>0</v>
      </c>
      <c r="AW97" s="11">
        <f t="shared" si="12"/>
        <v>0</v>
      </c>
      <c r="AX97" s="11">
        <f t="shared" si="13"/>
        <v>0</v>
      </c>
      <c r="AY97" s="2953">
        <f t="shared" si="14"/>
        <v>0</v>
      </c>
      <c r="AZ97" s="16">
        <f t="shared" si="15"/>
        <v>0</v>
      </c>
      <c r="BA97" s="16">
        <f t="shared" si="16"/>
        <v>0</v>
      </c>
      <c r="BB97" s="16">
        <f t="shared" si="17"/>
        <v>0</v>
      </c>
      <c r="BC97" s="16">
        <f t="shared" si="18"/>
        <v>0</v>
      </c>
      <c r="BD97" s="16">
        <f t="shared" si="19"/>
        <v>0</v>
      </c>
      <c r="BE97" s="16">
        <f t="shared" si="20"/>
        <v>0</v>
      </c>
      <c r="BF97" s="16">
        <f t="shared" si="21"/>
        <v>0</v>
      </c>
      <c r="BG97" s="16">
        <f t="shared" si="22"/>
        <v>0</v>
      </c>
      <c r="BH97" s="16">
        <f t="shared" si="23"/>
        <v>0</v>
      </c>
      <c r="BI97" s="16">
        <f t="shared" si="24"/>
        <v>0</v>
      </c>
      <c r="BJ97" s="16">
        <f t="shared" si="25"/>
        <v>0</v>
      </c>
      <c r="BK97" s="16">
        <f t="shared" si="26"/>
        <v>0</v>
      </c>
      <c r="BL97" s="16">
        <f t="shared" si="27"/>
        <v>0</v>
      </c>
      <c r="BM97" s="16">
        <f t="shared" si="28"/>
        <v>0</v>
      </c>
      <c r="BN97" s="16">
        <f t="shared" si="29"/>
        <v>0</v>
      </c>
      <c r="BO97" s="16">
        <f t="shared" si="30"/>
        <v>0</v>
      </c>
      <c r="BP97" s="16">
        <f t="shared" si="31"/>
        <v>0</v>
      </c>
      <c r="BQ97" s="16">
        <f t="shared" si="32"/>
        <v>0</v>
      </c>
      <c r="BR97" s="16">
        <f t="shared" si="33"/>
        <v>0</v>
      </c>
      <c r="BS97" s="16">
        <f t="shared" si="34"/>
        <v>0</v>
      </c>
      <c r="BT97" s="22">
        <f t="shared" si="35"/>
        <v>0</v>
      </c>
    </row>
    <row r="98" spans="1:72" s="2167" customFormat="1" ht="12.75">
      <c r="A98" s="1274"/>
      <c r="B98" s="1274"/>
      <c r="C98" s="2153"/>
      <c r="D98" s="2954" t="s">
        <v>3374</v>
      </c>
      <c r="E98" s="16">
        <f t="shared" si="7"/>
        <v>0</v>
      </c>
      <c r="F98" s="32"/>
      <c r="G98" s="33">
        <f t="shared" si="8"/>
        <v>0</v>
      </c>
      <c r="H98" s="20">
        <f t="shared" si="9"/>
        <v>0</v>
      </c>
      <c r="I98" s="2213"/>
      <c r="J98" s="2213"/>
      <c r="K98" s="2213"/>
      <c r="L98" s="2213"/>
      <c r="M98" s="2213"/>
      <c r="N98" s="2213"/>
      <c r="O98" s="2213"/>
      <c r="P98" s="2213"/>
      <c r="Q98" s="2213"/>
      <c r="R98" s="2213"/>
      <c r="S98" s="2213"/>
      <c r="T98" s="2213"/>
      <c r="U98" s="2213"/>
      <c r="V98" s="2213"/>
      <c r="W98" s="2213"/>
      <c r="X98" s="2213"/>
      <c r="Y98" s="2213"/>
      <c r="Z98" s="2213"/>
      <c r="AA98" s="2213"/>
      <c r="AB98" s="2213"/>
      <c r="AC98" s="16">
        <f t="shared" si="10"/>
        <v>0</v>
      </c>
      <c r="AD98" s="2214"/>
      <c r="AE98" s="2214"/>
      <c r="AF98" s="2214"/>
      <c r="AG98" s="2214"/>
      <c r="AH98" s="2214"/>
      <c r="AI98" s="2214"/>
      <c r="AJ98" s="2214"/>
      <c r="AK98" s="2214"/>
      <c r="AL98" s="2214"/>
      <c r="AM98" s="2214"/>
      <c r="AN98" s="2214"/>
      <c r="AO98" s="2214"/>
      <c r="AP98" s="2214"/>
      <c r="AQ98" s="2214"/>
      <c r="AR98" s="2214"/>
      <c r="AS98" s="2214"/>
      <c r="AT98" s="2215"/>
      <c r="AU98" s="2216"/>
      <c r="AV98" s="11">
        <f t="shared" si="11"/>
        <v>0</v>
      </c>
      <c r="AW98" s="11">
        <f t="shared" si="12"/>
        <v>0</v>
      </c>
      <c r="AX98" s="11">
        <f t="shared" si="13"/>
        <v>0</v>
      </c>
      <c r="AY98" s="2953">
        <f t="shared" si="14"/>
        <v>0</v>
      </c>
      <c r="AZ98" s="16">
        <f t="shared" si="15"/>
        <v>0</v>
      </c>
      <c r="BA98" s="16">
        <f t="shared" si="16"/>
        <v>0</v>
      </c>
      <c r="BB98" s="16">
        <f t="shared" si="17"/>
        <v>0</v>
      </c>
      <c r="BC98" s="16">
        <f t="shared" si="18"/>
        <v>0</v>
      </c>
      <c r="BD98" s="16">
        <f t="shared" si="19"/>
        <v>0</v>
      </c>
      <c r="BE98" s="16">
        <f t="shared" si="20"/>
        <v>0</v>
      </c>
      <c r="BF98" s="16">
        <f t="shared" si="21"/>
        <v>0</v>
      </c>
      <c r="BG98" s="16">
        <f t="shared" si="22"/>
        <v>0</v>
      </c>
      <c r="BH98" s="16">
        <f t="shared" si="23"/>
        <v>0</v>
      </c>
      <c r="BI98" s="16">
        <f t="shared" si="24"/>
        <v>0</v>
      </c>
      <c r="BJ98" s="16">
        <f t="shared" si="25"/>
        <v>0</v>
      </c>
      <c r="BK98" s="16">
        <f t="shared" si="26"/>
        <v>0</v>
      </c>
      <c r="BL98" s="16">
        <f t="shared" si="27"/>
        <v>0</v>
      </c>
      <c r="BM98" s="16">
        <f t="shared" si="28"/>
        <v>0</v>
      </c>
      <c r="BN98" s="16">
        <f t="shared" si="29"/>
        <v>0</v>
      </c>
      <c r="BO98" s="16">
        <f t="shared" si="30"/>
        <v>0</v>
      </c>
      <c r="BP98" s="16">
        <f t="shared" si="31"/>
        <v>0</v>
      </c>
      <c r="BQ98" s="16">
        <f t="shared" si="32"/>
        <v>0</v>
      </c>
      <c r="BR98" s="16">
        <f t="shared" si="33"/>
        <v>0</v>
      </c>
      <c r="BS98" s="16">
        <f t="shared" si="34"/>
        <v>0</v>
      </c>
      <c r="BT98" s="22">
        <f t="shared" si="35"/>
        <v>0</v>
      </c>
    </row>
    <row r="99" spans="1:72" s="2167" customFormat="1" ht="12.75">
      <c r="A99" s="1274"/>
      <c r="B99" s="1274"/>
      <c r="C99" s="2153"/>
      <c r="D99" s="2954" t="s">
        <v>3374</v>
      </c>
      <c r="E99" s="16">
        <f t="shared" si="7"/>
        <v>0</v>
      </c>
      <c r="F99" s="32"/>
      <c r="G99" s="33">
        <f t="shared" si="8"/>
        <v>0</v>
      </c>
      <c r="H99" s="20">
        <f t="shared" si="9"/>
        <v>0</v>
      </c>
      <c r="I99" s="2213"/>
      <c r="J99" s="2213"/>
      <c r="K99" s="2213"/>
      <c r="L99" s="2213"/>
      <c r="M99" s="2213"/>
      <c r="N99" s="2213"/>
      <c r="O99" s="2213"/>
      <c r="P99" s="2213"/>
      <c r="Q99" s="2213"/>
      <c r="R99" s="2213"/>
      <c r="S99" s="2213"/>
      <c r="T99" s="2213"/>
      <c r="U99" s="2213"/>
      <c r="V99" s="2213"/>
      <c r="W99" s="2213"/>
      <c r="X99" s="2213"/>
      <c r="Y99" s="2213"/>
      <c r="Z99" s="2213"/>
      <c r="AA99" s="2213"/>
      <c r="AB99" s="2213"/>
      <c r="AC99" s="16">
        <f t="shared" si="10"/>
        <v>0</v>
      </c>
      <c r="AD99" s="2214"/>
      <c r="AE99" s="2214"/>
      <c r="AF99" s="2214"/>
      <c r="AG99" s="2214"/>
      <c r="AH99" s="2214"/>
      <c r="AI99" s="2214"/>
      <c r="AJ99" s="2214"/>
      <c r="AK99" s="2214"/>
      <c r="AL99" s="2214"/>
      <c r="AM99" s="2214"/>
      <c r="AN99" s="2214"/>
      <c r="AO99" s="2214"/>
      <c r="AP99" s="2214"/>
      <c r="AQ99" s="2214"/>
      <c r="AR99" s="2214"/>
      <c r="AS99" s="2214"/>
      <c r="AT99" s="2215"/>
      <c r="AU99" s="2216"/>
      <c r="AV99" s="11">
        <f t="shared" si="11"/>
        <v>0</v>
      </c>
      <c r="AW99" s="11">
        <f t="shared" si="12"/>
        <v>0</v>
      </c>
      <c r="AX99" s="11">
        <f t="shared" si="13"/>
        <v>0</v>
      </c>
      <c r="AY99" s="2953">
        <f t="shared" si="14"/>
        <v>0</v>
      </c>
      <c r="AZ99" s="16">
        <f t="shared" si="15"/>
        <v>0</v>
      </c>
      <c r="BA99" s="16">
        <f t="shared" si="16"/>
        <v>0</v>
      </c>
      <c r="BB99" s="16">
        <f t="shared" si="17"/>
        <v>0</v>
      </c>
      <c r="BC99" s="16">
        <f t="shared" si="18"/>
        <v>0</v>
      </c>
      <c r="BD99" s="16">
        <f t="shared" si="19"/>
        <v>0</v>
      </c>
      <c r="BE99" s="16">
        <f t="shared" si="20"/>
        <v>0</v>
      </c>
      <c r="BF99" s="16">
        <f t="shared" si="21"/>
        <v>0</v>
      </c>
      <c r="BG99" s="16">
        <f t="shared" si="22"/>
        <v>0</v>
      </c>
      <c r="BH99" s="16">
        <f t="shared" si="23"/>
        <v>0</v>
      </c>
      <c r="BI99" s="16">
        <f t="shared" si="24"/>
        <v>0</v>
      </c>
      <c r="BJ99" s="16">
        <f t="shared" si="25"/>
        <v>0</v>
      </c>
      <c r="BK99" s="16">
        <f t="shared" si="26"/>
        <v>0</v>
      </c>
      <c r="BL99" s="16">
        <f t="shared" si="27"/>
        <v>0</v>
      </c>
      <c r="BM99" s="16">
        <f t="shared" si="28"/>
        <v>0</v>
      </c>
      <c r="BN99" s="16">
        <f t="shared" si="29"/>
        <v>0</v>
      </c>
      <c r="BO99" s="16">
        <f t="shared" si="30"/>
        <v>0</v>
      </c>
      <c r="BP99" s="16">
        <f t="shared" si="31"/>
        <v>0</v>
      </c>
      <c r="BQ99" s="16">
        <f t="shared" si="32"/>
        <v>0</v>
      </c>
      <c r="BR99" s="16">
        <f t="shared" si="33"/>
        <v>0</v>
      </c>
      <c r="BS99" s="16">
        <f t="shared" si="34"/>
        <v>0</v>
      </c>
      <c r="BT99" s="22">
        <f t="shared" si="35"/>
        <v>0</v>
      </c>
    </row>
    <row r="100" spans="1:72" s="2167" customFormat="1" ht="12.75">
      <c r="A100" s="1274"/>
      <c r="B100" s="1274"/>
      <c r="C100" s="2153"/>
      <c r="D100" s="2954" t="s">
        <v>3374</v>
      </c>
      <c r="E100" s="16">
        <f t="shared" si="7"/>
        <v>0</v>
      </c>
      <c r="F100" s="32"/>
      <c r="G100" s="33">
        <f t="shared" si="8"/>
        <v>0</v>
      </c>
      <c r="H100" s="20">
        <f t="shared" si="9"/>
        <v>0</v>
      </c>
      <c r="I100" s="2213"/>
      <c r="J100" s="2213"/>
      <c r="K100" s="2213"/>
      <c r="L100" s="2213"/>
      <c r="M100" s="2213"/>
      <c r="N100" s="2213"/>
      <c r="O100" s="2213"/>
      <c r="P100" s="2213"/>
      <c r="Q100" s="2213"/>
      <c r="R100" s="2213"/>
      <c r="S100" s="2213"/>
      <c r="T100" s="2213"/>
      <c r="U100" s="2213"/>
      <c r="V100" s="2213"/>
      <c r="W100" s="2213"/>
      <c r="X100" s="2213"/>
      <c r="Y100" s="2213"/>
      <c r="Z100" s="2213"/>
      <c r="AA100" s="2213"/>
      <c r="AB100" s="2213"/>
      <c r="AC100" s="16">
        <f t="shared" si="10"/>
        <v>0</v>
      </c>
      <c r="AD100" s="2214"/>
      <c r="AE100" s="2214"/>
      <c r="AF100" s="2214"/>
      <c r="AG100" s="2214"/>
      <c r="AH100" s="2214"/>
      <c r="AI100" s="2214"/>
      <c r="AJ100" s="2214"/>
      <c r="AK100" s="2214"/>
      <c r="AL100" s="2214"/>
      <c r="AM100" s="2214"/>
      <c r="AN100" s="2214"/>
      <c r="AO100" s="2214"/>
      <c r="AP100" s="2214"/>
      <c r="AQ100" s="2214"/>
      <c r="AR100" s="2214"/>
      <c r="AS100" s="2214"/>
      <c r="AT100" s="2215"/>
      <c r="AU100" s="2216"/>
      <c r="AV100" s="11">
        <f t="shared" si="11"/>
        <v>0</v>
      </c>
      <c r="AW100" s="11">
        <f t="shared" si="12"/>
        <v>0</v>
      </c>
      <c r="AX100" s="11">
        <f t="shared" si="13"/>
        <v>0</v>
      </c>
      <c r="AY100" s="2953">
        <f t="shared" si="14"/>
        <v>0</v>
      </c>
      <c r="AZ100" s="16">
        <f t="shared" si="15"/>
        <v>0</v>
      </c>
      <c r="BA100" s="16">
        <f t="shared" si="16"/>
        <v>0</v>
      </c>
      <c r="BB100" s="16">
        <f t="shared" si="17"/>
        <v>0</v>
      </c>
      <c r="BC100" s="16">
        <f t="shared" si="18"/>
        <v>0</v>
      </c>
      <c r="BD100" s="16">
        <f t="shared" si="19"/>
        <v>0</v>
      </c>
      <c r="BE100" s="16">
        <f t="shared" si="20"/>
        <v>0</v>
      </c>
      <c r="BF100" s="16">
        <f t="shared" si="21"/>
        <v>0</v>
      </c>
      <c r="BG100" s="16">
        <f t="shared" si="22"/>
        <v>0</v>
      </c>
      <c r="BH100" s="16">
        <f t="shared" si="23"/>
        <v>0</v>
      </c>
      <c r="BI100" s="16">
        <f t="shared" si="24"/>
        <v>0</v>
      </c>
      <c r="BJ100" s="16">
        <f t="shared" si="25"/>
        <v>0</v>
      </c>
      <c r="BK100" s="16">
        <f t="shared" si="26"/>
        <v>0</v>
      </c>
      <c r="BL100" s="16">
        <f t="shared" si="27"/>
        <v>0</v>
      </c>
      <c r="BM100" s="16">
        <f t="shared" si="28"/>
        <v>0</v>
      </c>
      <c r="BN100" s="16">
        <f t="shared" si="29"/>
        <v>0</v>
      </c>
      <c r="BO100" s="16">
        <f t="shared" si="30"/>
        <v>0</v>
      </c>
      <c r="BP100" s="16">
        <f t="shared" si="31"/>
        <v>0</v>
      </c>
      <c r="BQ100" s="16">
        <f t="shared" si="32"/>
        <v>0</v>
      </c>
      <c r="BR100" s="16">
        <f t="shared" si="33"/>
        <v>0</v>
      </c>
      <c r="BS100" s="16">
        <f t="shared" si="34"/>
        <v>0</v>
      </c>
      <c r="BT100" s="22">
        <f t="shared" si="35"/>
        <v>0</v>
      </c>
    </row>
    <row r="101" spans="1:72" s="2167" customFormat="1" ht="12.75">
      <c r="A101" s="1274"/>
      <c r="B101" s="1274"/>
      <c r="C101" s="2153"/>
      <c r="D101" s="2954" t="s">
        <v>3374</v>
      </c>
      <c r="E101" s="16">
        <f t="shared" si="7"/>
        <v>0</v>
      </c>
      <c r="F101" s="32"/>
      <c r="G101" s="33">
        <f t="shared" si="8"/>
        <v>0</v>
      </c>
      <c r="H101" s="20">
        <f t="shared" si="9"/>
        <v>0</v>
      </c>
      <c r="I101" s="2213"/>
      <c r="J101" s="2213"/>
      <c r="K101" s="2213"/>
      <c r="L101" s="2213"/>
      <c r="M101" s="2213"/>
      <c r="N101" s="2213"/>
      <c r="O101" s="2213"/>
      <c r="P101" s="2213"/>
      <c r="Q101" s="2213"/>
      <c r="R101" s="2213"/>
      <c r="S101" s="2213"/>
      <c r="T101" s="2213"/>
      <c r="U101" s="2213"/>
      <c r="V101" s="2213"/>
      <c r="W101" s="2213"/>
      <c r="X101" s="2213"/>
      <c r="Y101" s="2213"/>
      <c r="Z101" s="2213"/>
      <c r="AA101" s="2213"/>
      <c r="AB101" s="2213"/>
      <c r="AC101" s="16">
        <f t="shared" si="10"/>
        <v>0</v>
      </c>
      <c r="AD101" s="2214"/>
      <c r="AE101" s="2214"/>
      <c r="AF101" s="2214"/>
      <c r="AG101" s="2214"/>
      <c r="AH101" s="2214"/>
      <c r="AI101" s="2214"/>
      <c r="AJ101" s="2214"/>
      <c r="AK101" s="2214"/>
      <c r="AL101" s="2214"/>
      <c r="AM101" s="2214"/>
      <c r="AN101" s="2214"/>
      <c r="AO101" s="2214"/>
      <c r="AP101" s="2214"/>
      <c r="AQ101" s="2214"/>
      <c r="AR101" s="2214"/>
      <c r="AS101" s="2214"/>
      <c r="AT101" s="2215"/>
      <c r="AU101" s="2216"/>
      <c r="AV101" s="11">
        <f t="shared" si="11"/>
        <v>0</v>
      </c>
      <c r="AW101" s="11">
        <f t="shared" si="12"/>
        <v>0</v>
      </c>
      <c r="AX101" s="11">
        <f t="shared" si="13"/>
        <v>0</v>
      </c>
      <c r="AY101" s="2953">
        <f t="shared" si="14"/>
        <v>0</v>
      </c>
      <c r="AZ101" s="16">
        <f t="shared" si="15"/>
        <v>0</v>
      </c>
      <c r="BA101" s="16">
        <f t="shared" si="16"/>
        <v>0</v>
      </c>
      <c r="BB101" s="16">
        <f t="shared" si="17"/>
        <v>0</v>
      </c>
      <c r="BC101" s="16">
        <f t="shared" si="18"/>
        <v>0</v>
      </c>
      <c r="BD101" s="16">
        <f t="shared" si="19"/>
        <v>0</v>
      </c>
      <c r="BE101" s="16">
        <f t="shared" si="20"/>
        <v>0</v>
      </c>
      <c r="BF101" s="16">
        <f t="shared" si="21"/>
        <v>0</v>
      </c>
      <c r="BG101" s="16">
        <f t="shared" si="22"/>
        <v>0</v>
      </c>
      <c r="BH101" s="16">
        <f t="shared" si="23"/>
        <v>0</v>
      </c>
      <c r="BI101" s="16">
        <f t="shared" si="24"/>
        <v>0</v>
      </c>
      <c r="BJ101" s="16">
        <f t="shared" si="25"/>
        <v>0</v>
      </c>
      <c r="BK101" s="16">
        <f t="shared" si="26"/>
        <v>0</v>
      </c>
      <c r="BL101" s="16">
        <f t="shared" si="27"/>
        <v>0</v>
      </c>
      <c r="BM101" s="16">
        <f t="shared" si="28"/>
        <v>0</v>
      </c>
      <c r="BN101" s="16">
        <f t="shared" si="29"/>
        <v>0</v>
      </c>
      <c r="BO101" s="16">
        <f t="shared" si="30"/>
        <v>0</v>
      </c>
      <c r="BP101" s="16">
        <f t="shared" si="31"/>
        <v>0</v>
      </c>
      <c r="BQ101" s="16">
        <f t="shared" si="32"/>
        <v>0</v>
      </c>
      <c r="BR101" s="16">
        <f t="shared" si="33"/>
        <v>0</v>
      </c>
      <c r="BS101" s="16">
        <f t="shared" si="34"/>
        <v>0</v>
      </c>
      <c r="BT101" s="22">
        <f t="shared" si="35"/>
        <v>0</v>
      </c>
    </row>
    <row r="102" spans="1:72" s="2167" customFormat="1" ht="12.75">
      <c r="A102" s="1274"/>
      <c r="B102" s="1274"/>
      <c r="C102" s="2153"/>
      <c r="D102" s="2954" t="s">
        <v>3374</v>
      </c>
      <c r="E102" s="16">
        <f t="shared" si="7"/>
        <v>0</v>
      </c>
      <c r="F102" s="32"/>
      <c r="G102" s="33">
        <f t="shared" si="8"/>
        <v>0</v>
      </c>
      <c r="H102" s="20">
        <f t="shared" si="9"/>
        <v>0</v>
      </c>
      <c r="I102" s="2213"/>
      <c r="J102" s="2213"/>
      <c r="K102" s="2213"/>
      <c r="L102" s="2213"/>
      <c r="M102" s="2213"/>
      <c r="N102" s="2213"/>
      <c r="O102" s="2213"/>
      <c r="P102" s="2213"/>
      <c r="Q102" s="2213"/>
      <c r="R102" s="2213"/>
      <c r="S102" s="2213"/>
      <c r="T102" s="2213"/>
      <c r="U102" s="2213"/>
      <c r="V102" s="2213"/>
      <c r="W102" s="2213"/>
      <c r="X102" s="2213"/>
      <c r="Y102" s="2213"/>
      <c r="Z102" s="2213"/>
      <c r="AA102" s="2213"/>
      <c r="AB102" s="2213"/>
      <c r="AC102" s="16">
        <f t="shared" si="10"/>
        <v>0</v>
      </c>
      <c r="AD102" s="2214"/>
      <c r="AE102" s="2214"/>
      <c r="AF102" s="2214"/>
      <c r="AG102" s="2214"/>
      <c r="AH102" s="2214"/>
      <c r="AI102" s="2214"/>
      <c r="AJ102" s="2214"/>
      <c r="AK102" s="2214"/>
      <c r="AL102" s="2214"/>
      <c r="AM102" s="2214"/>
      <c r="AN102" s="2214"/>
      <c r="AO102" s="2214"/>
      <c r="AP102" s="2214"/>
      <c r="AQ102" s="2214"/>
      <c r="AR102" s="2214"/>
      <c r="AS102" s="2214"/>
      <c r="AT102" s="2215"/>
      <c r="AU102" s="2216"/>
      <c r="AV102" s="11">
        <f t="shared" si="11"/>
        <v>0</v>
      </c>
      <c r="AW102" s="11">
        <f t="shared" si="12"/>
        <v>0</v>
      </c>
      <c r="AX102" s="11">
        <f t="shared" si="13"/>
        <v>0</v>
      </c>
      <c r="AY102" s="2953">
        <f t="shared" si="14"/>
        <v>0</v>
      </c>
      <c r="AZ102" s="16">
        <f t="shared" si="15"/>
        <v>0</v>
      </c>
      <c r="BA102" s="16">
        <f t="shared" si="16"/>
        <v>0</v>
      </c>
      <c r="BB102" s="16">
        <f t="shared" si="17"/>
        <v>0</v>
      </c>
      <c r="BC102" s="16">
        <f t="shared" si="18"/>
        <v>0</v>
      </c>
      <c r="BD102" s="16">
        <f t="shared" si="19"/>
        <v>0</v>
      </c>
      <c r="BE102" s="16">
        <f t="shared" si="20"/>
        <v>0</v>
      </c>
      <c r="BF102" s="16">
        <f t="shared" si="21"/>
        <v>0</v>
      </c>
      <c r="BG102" s="16">
        <f t="shared" si="22"/>
        <v>0</v>
      </c>
      <c r="BH102" s="16">
        <f t="shared" si="23"/>
        <v>0</v>
      </c>
      <c r="BI102" s="16">
        <f t="shared" si="24"/>
        <v>0</v>
      </c>
      <c r="BJ102" s="16">
        <f t="shared" si="25"/>
        <v>0</v>
      </c>
      <c r="BK102" s="16">
        <f t="shared" si="26"/>
        <v>0</v>
      </c>
      <c r="BL102" s="16">
        <f t="shared" si="27"/>
        <v>0</v>
      </c>
      <c r="BM102" s="16">
        <f t="shared" si="28"/>
        <v>0</v>
      </c>
      <c r="BN102" s="16">
        <f t="shared" si="29"/>
        <v>0</v>
      </c>
      <c r="BO102" s="16">
        <f t="shared" si="30"/>
        <v>0</v>
      </c>
      <c r="BP102" s="16">
        <f t="shared" si="31"/>
        <v>0</v>
      </c>
      <c r="BQ102" s="16">
        <f t="shared" si="32"/>
        <v>0</v>
      </c>
      <c r="BR102" s="16">
        <f t="shared" si="33"/>
        <v>0</v>
      </c>
      <c r="BS102" s="16">
        <f t="shared" si="34"/>
        <v>0</v>
      </c>
      <c r="BT102" s="22">
        <f t="shared" si="35"/>
        <v>0</v>
      </c>
    </row>
    <row r="103" spans="1:72" s="2167" customFormat="1" ht="12.75">
      <c r="A103" s="1274"/>
      <c r="B103" s="1274"/>
      <c r="C103" s="2153"/>
      <c r="D103" s="2954" t="s">
        <v>3374</v>
      </c>
      <c r="E103" s="16">
        <f t="shared" si="7"/>
        <v>0</v>
      </c>
      <c r="F103" s="32"/>
      <c r="G103" s="33">
        <f t="shared" si="8"/>
        <v>0</v>
      </c>
      <c r="H103" s="20">
        <f t="shared" si="9"/>
        <v>0</v>
      </c>
      <c r="I103" s="2213"/>
      <c r="J103" s="2213"/>
      <c r="K103" s="2213"/>
      <c r="L103" s="2213"/>
      <c r="M103" s="2213"/>
      <c r="N103" s="2213"/>
      <c r="O103" s="2213"/>
      <c r="P103" s="2213"/>
      <c r="Q103" s="2213"/>
      <c r="R103" s="2213"/>
      <c r="S103" s="2213"/>
      <c r="T103" s="2213"/>
      <c r="U103" s="2213"/>
      <c r="V103" s="2213"/>
      <c r="W103" s="2213"/>
      <c r="X103" s="2213"/>
      <c r="Y103" s="2213"/>
      <c r="Z103" s="2213"/>
      <c r="AA103" s="2213"/>
      <c r="AB103" s="2213"/>
      <c r="AC103" s="16">
        <f t="shared" si="10"/>
        <v>0</v>
      </c>
      <c r="AD103" s="2214"/>
      <c r="AE103" s="2214"/>
      <c r="AF103" s="2214"/>
      <c r="AG103" s="2214"/>
      <c r="AH103" s="2214"/>
      <c r="AI103" s="2214"/>
      <c r="AJ103" s="2214"/>
      <c r="AK103" s="2214"/>
      <c r="AL103" s="2214"/>
      <c r="AM103" s="2214"/>
      <c r="AN103" s="2214"/>
      <c r="AO103" s="2214"/>
      <c r="AP103" s="2214"/>
      <c r="AQ103" s="2214"/>
      <c r="AR103" s="2214"/>
      <c r="AS103" s="2214"/>
      <c r="AT103" s="2215"/>
      <c r="AU103" s="2216"/>
      <c r="AV103" s="11">
        <f t="shared" si="11"/>
        <v>0</v>
      </c>
      <c r="AW103" s="11">
        <f t="shared" si="12"/>
        <v>0</v>
      </c>
      <c r="AX103" s="11">
        <f t="shared" si="13"/>
        <v>0</v>
      </c>
      <c r="AY103" s="2953">
        <f t="shared" si="14"/>
        <v>0</v>
      </c>
      <c r="AZ103" s="16">
        <f t="shared" si="15"/>
        <v>0</v>
      </c>
      <c r="BA103" s="16">
        <f t="shared" si="16"/>
        <v>0</v>
      </c>
      <c r="BB103" s="16">
        <f t="shared" si="17"/>
        <v>0</v>
      </c>
      <c r="BC103" s="16">
        <f t="shared" si="18"/>
        <v>0</v>
      </c>
      <c r="BD103" s="16">
        <f t="shared" si="19"/>
        <v>0</v>
      </c>
      <c r="BE103" s="16">
        <f t="shared" si="20"/>
        <v>0</v>
      </c>
      <c r="BF103" s="16">
        <f t="shared" si="21"/>
        <v>0</v>
      </c>
      <c r="BG103" s="16">
        <f t="shared" si="22"/>
        <v>0</v>
      </c>
      <c r="BH103" s="16">
        <f t="shared" si="23"/>
        <v>0</v>
      </c>
      <c r="BI103" s="16">
        <f t="shared" si="24"/>
        <v>0</v>
      </c>
      <c r="BJ103" s="16">
        <f t="shared" si="25"/>
        <v>0</v>
      </c>
      <c r="BK103" s="16">
        <f t="shared" si="26"/>
        <v>0</v>
      </c>
      <c r="BL103" s="16">
        <f t="shared" si="27"/>
        <v>0</v>
      </c>
      <c r="BM103" s="16">
        <f t="shared" si="28"/>
        <v>0</v>
      </c>
      <c r="BN103" s="16">
        <f t="shared" si="29"/>
        <v>0</v>
      </c>
      <c r="BO103" s="16">
        <f t="shared" si="30"/>
        <v>0</v>
      </c>
      <c r="BP103" s="16">
        <f t="shared" si="31"/>
        <v>0</v>
      </c>
      <c r="BQ103" s="16">
        <f t="shared" si="32"/>
        <v>0</v>
      </c>
      <c r="BR103" s="16">
        <f t="shared" si="33"/>
        <v>0</v>
      </c>
      <c r="BS103" s="16">
        <f t="shared" si="34"/>
        <v>0</v>
      </c>
      <c r="BT103" s="22">
        <f t="shared" si="35"/>
        <v>0</v>
      </c>
    </row>
    <row r="104" spans="1:72" s="2167" customFormat="1" ht="12.75">
      <c r="A104" s="1274"/>
      <c r="B104" s="1274"/>
      <c r="C104" s="2153"/>
      <c r="D104" s="2954" t="s">
        <v>3374</v>
      </c>
      <c r="E104" s="16">
        <f t="shared" si="7"/>
        <v>0</v>
      </c>
      <c r="F104" s="32"/>
      <c r="G104" s="33">
        <f t="shared" si="8"/>
        <v>0</v>
      </c>
      <c r="H104" s="20">
        <f t="shared" si="9"/>
        <v>0</v>
      </c>
      <c r="I104" s="2213"/>
      <c r="J104" s="2213"/>
      <c r="K104" s="2213"/>
      <c r="L104" s="2213"/>
      <c r="M104" s="2213"/>
      <c r="N104" s="2213"/>
      <c r="O104" s="2213"/>
      <c r="P104" s="2213"/>
      <c r="Q104" s="2213"/>
      <c r="R104" s="2213"/>
      <c r="S104" s="2213"/>
      <c r="T104" s="2213"/>
      <c r="U104" s="2213"/>
      <c r="V104" s="2213"/>
      <c r="W104" s="2213"/>
      <c r="X104" s="2213"/>
      <c r="Y104" s="2213"/>
      <c r="Z104" s="2213"/>
      <c r="AA104" s="2213"/>
      <c r="AB104" s="2213"/>
      <c r="AC104" s="16">
        <f t="shared" si="10"/>
        <v>0</v>
      </c>
      <c r="AD104" s="2214"/>
      <c r="AE104" s="2214"/>
      <c r="AF104" s="2214"/>
      <c r="AG104" s="2214"/>
      <c r="AH104" s="2214"/>
      <c r="AI104" s="2214"/>
      <c r="AJ104" s="2214"/>
      <c r="AK104" s="2214"/>
      <c r="AL104" s="2214"/>
      <c r="AM104" s="2214"/>
      <c r="AN104" s="2214"/>
      <c r="AO104" s="2214"/>
      <c r="AP104" s="2214"/>
      <c r="AQ104" s="2214"/>
      <c r="AR104" s="2214"/>
      <c r="AS104" s="2214"/>
      <c r="AT104" s="2215"/>
      <c r="AU104" s="2216"/>
      <c r="AV104" s="11">
        <f t="shared" si="11"/>
        <v>0</v>
      </c>
      <c r="AW104" s="11">
        <f t="shared" si="12"/>
        <v>0</v>
      </c>
      <c r="AX104" s="11">
        <f t="shared" si="13"/>
        <v>0</v>
      </c>
      <c r="AY104" s="2953">
        <f t="shared" si="14"/>
        <v>0</v>
      </c>
      <c r="AZ104" s="16">
        <f t="shared" si="15"/>
        <v>0</v>
      </c>
      <c r="BA104" s="16">
        <f t="shared" si="16"/>
        <v>0</v>
      </c>
      <c r="BB104" s="16">
        <f t="shared" si="17"/>
        <v>0</v>
      </c>
      <c r="BC104" s="16">
        <f t="shared" si="18"/>
        <v>0</v>
      </c>
      <c r="BD104" s="16">
        <f t="shared" si="19"/>
        <v>0</v>
      </c>
      <c r="BE104" s="16">
        <f t="shared" si="20"/>
        <v>0</v>
      </c>
      <c r="BF104" s="16">
        <f t="shared" si="21"/>
        <v>0</v>
      </c>
      <c r="BG104" s="16">
        <f t="shared" si="22"/>
        <v>0</v>
      </c>
      <c r="BH104" s="16">
        <f t="shared" si="23"/>
        <v>0</v>
      </c>
      <c r="BI104" s="16">
        <f t="shared" si="24"/>
        <v>0</v>
      </c>
      <c r="BJ104" s="16">
        <f t="shared" si="25"/>
        <v>0</v>
      </c>
      <c r="BK104" s="16">
        <f t="shared" si="26"/>
        <v>0</v>
      </c>
      <c r="BL104" s="16">
        <f t="shared" si="27"/>
        <v>0</v>
      </c>
      <c r="BM104" s="16">
        <f t="shared" si="28"/>
        <v>0</v>
      </c>
      <c r="BN104" s="16">
        <f t="shared" si="29"/>
        <v>0</v>
      </c>
      <c r="BO104" s="16">
        <f t="shared" si="30"/>
        <v>0</v>
      </c>
      <c r="BP104" s="16">
        <f t="shared" si="31"/>
        <v>0</v>
      </c>
      <c r="BQ104" s="16">
        <f t="shared" si="32"/>
        <v>0</v>
      </c>
      <c r="BR104" s="16">
        <f t="shared" si="33"/>
        <v>0</v>
      </c>
      <c r="BS104" s="16">
        <f t="shared" si="34"/>
        <v>0</v>
      </c>
      <c r="BT104" s="22">
        <f t="shared" si="35"/>
        <v>0</v>
      </c>
    </row>
    <row r="105" spans="1:72" s="2167" customFormat="1" ht="12.75">
      <c r="A105" s="1274"/>
      <c r="B105" s="1274"/>
      <c r="C105" s="2153"/>
      <c r="D105" s="2954" t="s">
        <v>3374</v>
      </c>
      <c r="E105" s="16">
        <f t="shared" si="7"/>
        <v>0</v>
      </c>
      <c r="F105" s="32"/>
      <c r="G105" s="33">
        <f t="shared" si="8"/>
        <v>0</v>
      </c>
      <c r="H105" s="20">
        <f t="shared" si="9"/>
        <v>0</v>
      </c>
      <c r="I105" s="2213"/>
      <c r="J105" s="2213"/>
      <c r="K105" s="2213"/>
      <c r="L105" s="2213"/>
      <c r="M105" s="2213"/>
      <c r="N105" s="2213"/>
      <c r="O105" s="2213"/>
      <c r="P105" s="2213"/>
      <c r="Q105" s="2213"/>
      <c r="R105" s="2213"/>
      <c r="S105" s="2213"/>
      <c r="T105" s="2213"/>
      <c r="U105" s="2213"/>
      <c r="V105" s="2213"/>
      <c r="W105" s="2213"/>
      <c r="X105" s="2213"/>
      <c r="Y105" s="2213"/>
      <c r="Z105" s="2213"/>
      <c r="AA105" s="2213"/>
      <c r="AB105" s="2213"/>
      <c r="AC105" s="16">
        <f t="shared" si="10"/>
        <v>0</v>
      </c>
      <c r="AD105" s="2214"/>
      <c r="AE105" s="2214"/>
      <c r="AF105" s="2214"/>
      <c r="AG105" s="2214"/>
      <c r="AH105" s="2214"/>
      <c r="AI105" s="2214"/>
      <c r="AJ105" s="2214"/>
      <c r="AK105" s="2214"/>
      <c r="AL105" s="2214"/>
      <c r="AM105" s="2214"/>
      <c r="AN105" s="2214"/>
      <c r="AO105" s="2214"/>
      <c r="AP105" s="2214"/>
      <c r="AQ105" s="2214"/>
      <c r="AR105" s="2214"/>
      <c r="AS105" s="2214"/>
      <c r="AT105" s="2215"/>
      <c r="AU105" s="2216"/>
      <c r="AV105" s="11">
        <f t="shared" si="11"/>
        <v>0</v>
      </c>
      <c r="AW105" s="11">
        <f t="shared" si="12"/>
        <v>0</v>
      </c>
      <c r="AX105" s="11">
        <f t="shared" si="13"/>
        <v>0</v>
      </c>
      <c r="AY105" s="2953">
        <f t="shared" si="14"/>
        <v>0</v>
      </c>
      <c r="AZ105" s="16">
        <f t="shared" si="15"/>
        <v>0</v>
      </c>
      <c r="BA105" s="16">
        <f t="shared" si="16"/>
        <v>0</v>
      </c>
      <c r="BB105" s="16">
        <f t="shared" si="17"/>
        <v>0</v>
      </c>
      <c r="BC105" s="16">
        <f t="shared" si="18"/>
        <v>0</v>
      </c>
      <c r="BD105" s="16">
        <f t="shared" si="19"/>
        <v>0</v>
      </c>
      <c r="BE105" s="16">
        <f t="shared" si="20"/>
        <v>0</v>
      </c>
      <c r="BF105" s="16">
        <f t="shared" si="21"/>
        <v>0</v>
      </c>
      <c r="BG105" s="16">
        <f t="shared" si="22"/>
        <v>0</v>
      </c>
      <c r="BH105" s="16">
        <f t="shared" si="23"/>
        <v>0</v>
      </c>
      <c r="BI105" s="16">
        <f t="shared" si="24"/>
        <v>0</v>
      </c>
      <c r="BJ105" s="16">
        <f t="shared" si="25"/>
        <v>0</v>
      </c>
      <c r="BK105" s="16">
        <f t="shared" si="26"/>
        <v>0</v>
      </c>
      <c r="BL105" s="16">
        <f t="shared" si="27"/>
        <v>0</v>
      </c>
      <c r="BM105" s="16">
        <f t="shared" si="28"/>
        <v>0</v>
      </c>
      <c r="BN105" s="16">
        <f t="shared" si="29"/>
        <v>0</v>
      </c>
      <c r="BO105" s="16">
        <f t="shared" si="30"/>
        <v>0</v>
      </c>
      <c r="BP105" s="16">
        <f t="shared" si="31"/>
        <v>0</v>
      </c>
      <c r="BQ105" s="16">
        <f t="shared" si="32"/>
        <v>0</v>
      </c>
      <c r="BR105" s="16">
        <f t="shared" si="33"/>
        <v>0</v>
      </c>
      <c r="BS105" s="16">
        <f t="shared" si="34"/>
        <v>0</v>
      </c>
      <c r="BT105" s="22">
        <f t="shared" si="35"/>
        <v>0</v>
      </c>
    </row>
    <row r="106" spans="1:72" s="2167" customFormat="1" ht="12.75">
      <c r="A106" s="1274"/>
      <c r="B106" s="1274"/>
      <c r="C106" s="2153"/>
      <c r="D106" s="2954" t="s">
        <v>3374</v>
      </c>
      <c r="E106" s="16">
        <f t="shared" si="7"/>
        <v>0</v>
      </c>
      <c r="F106" s="32"/>
      <c r="G106" s="33">
        <f t="shared" si="8"/>
        <v>0</v>
      </c>
      <c r="H106" s="20">
        <f t="shared" si="9"/>
        <v>0</v>
      </c>
      <c r="I106" s="2213"/>
      <c r="J106" s="2213"/>
      <c r="K106" s="2213"/>
      <c r="L106" s="2213"/>
      <c r="M106" s="2213"/>
      <c r="N106" s="2213"/>
      <c r="O106" s="2213"/>
      <c r="P106" s="2213"/>
      <c r="Q106" s="2213"/>
      <c r="R106" s="2213"/>
      <c r="S106" s="2213"/>
      <c r="T106" s="2213"/>
      <c r="U106" s="2213"/>
      <c r="V106" s="2213"/>
      <c r="W106" s="2213"/>
      <c r="X106" s="2213"/>
      <c r="Y106" s="2213"/>
      <c r="Z106" s="2213"/>
      <c r="AA106" s="2213"/>
      <c r="AB106" s="2213"/>
      <c r="AC106" s="16">
        <f t="shared" si="10"/>
        <v>0</v>
      </c>
      <c r="AD106" s="2214"/>
      <c r="AE106" s="2214"/>
      <c r="AF106" s="2214"/>
      <c r="AG106" s="2214"/>
      <c r="AH106" s="2214"/>
      <c r="AI106" s="2214"/>
      <c r="AJ106" s="2214"/>
      <c r="AK106" s="2214"/>
      <c r="AL106" s="2214"/>
      <c r="AM106" s="2214"/>
      <c r="AN106" s="2214"/>
      <c r="AO106" s="2214"/>
      <c r="AP106" s="2214"/>
      <c r="AQ106" s="2214"/>
      <c r="AR106" s="2214"/>
      <c r="AS106" s="2214"/>
      <c r="AT106" s="2215"/>
      <c r="AU106" s="2216"/>
      <c r="AV106" s="11">
        <f t="shared" si="11"/>
        <v>0</v>
      </c>
      <c r="AW106" s="11">
        <f t="shared" si="12"/>
        <v>0</v>
      </c>
      <c r="AX106" s="11">
        <f t="shared" si="13"/>
        <v>0</v>
      </c>
      <c r="AY106" s="2953">
        <f t="shared" si="14"/>
        <v>0</v>
      </c>
      <c r="AZ106" s="16">
        <f t="shared" si="15"/>
        <v>0</v>
      </c>
      <c r="BA106" s="16">
        <f t="shared" si="16"/>
        <v>0</v>
      </c>
      <c r="BB106" s="16">
        <f t="shared" si="17"/>
        <v>0</v>
      </c>
      <c r="BC106" s="16">
        <f t="shared" si="18"/>
        <v>0</v>
      </c>
      <c r="BD106" s="16">
        <f t="shared" si="19"/>
        <v>0</v>
      </c>
      <c r="BE106" s="16">
        <f t="shared" si="20"/>
        <v>0</v>
      </c>
      <c r="BF106" s="16">
        <f t="shared" si="21"/>
        <v>0</v>
      </c>
      <c r="BG106" s="16">
        <f t="shared" si="22"/>
        <v>0</v>
      </c>
      <c r="BH106" s="16">
        <f t="shared" si="23"/>
        <v>0</v>
      </c>
      <c r="BI106" s="16">
        <f t="shared" si="24"/>
        <v>0</v>
      </c>
      <c r="BJ106" s="16">
        <f t="shared" si="25"/>
        <v>0</v>
      </c>
      <c r="BK106" s="16">
        <f t="shared" si="26"/>
        <v>0</v>
      </c>
      <c r="BL106" s="16">
        <f t="shared" si="27"/>
        <v>0</v>
      </c>
      <c r="BM106" s="16">
        <f t="shared" si="28"/>
        <v>0</v>
      </c>
      <c r="BN106" s="16">
        <f t="shared" si="29"/>
        <v>0</v>
      </c>
      <c r="BO106" s="16">
        <f t="shared" si="30"/>
        <v>0</v>
      </c>
      <c r="BP106" s="16">
        <f t="shared" si="31"/>
        <v>0</v>
      </c>
      <c r="BQ106" s="16">
        <f t="shared" si="32"/>
        <v>0</v>
      </c>
      <c r="BR106" s="16">
        <f t="shared" si="33"/>
        <v>0</v>
      </c>
      <c r="BS106" s="16">
        <f t="shared" si="34"/>
        <v>0</v>
      </c>
      <c r="BT106" s="22">
        <f t="shared" si="35"/>
        <v>0</v>
      </c>
    </row>
    <row r="107" spans="1:72" s="2167" customFormat="1" ht="12.75">
      <c r="A107" s="1274"/>
      <c r="B107" s="1274"/>
      <c r="C107" s="2153"/>
      <c r="D107" s="2954" t="s">
        <v>3374</v>
      </c>
      <c r="E107" s="16">
        <f t="shared" si="7"/>
        <v>0</v>
      </c>
      <c r="F107" s="32"/>
      <c r="G107" s="33">
        <f t="shared" si="8"/>
        <v>0</v>
      </c>
      <c r="H107" s="20">
        <f t="shared" si="9"/>
        <v>0</v>
      </c>
      <c r="I107" s="2213"/>
      <c r="J107" s="2213"/>
      <c r="K107" s="2213"/>
      <c r="L107" s="2213"/>
      <c r="M107" s="2213"/>
      <c r="N107" s="2213"/>
      <c r="O107" s="2213"/>
      <c r="P107" s="2213"/>
      <c r="Q107" s="2213"/>
      <c r="R107" s="2213"/>
      <c r="S107" s="2213"/>
      <c r="T107" s="2213"/>
      <c r="U107" s="2213"/>
      <c r="V107" s="2213"/>
      <c r="W107" s="2213"/>
      <c r="X107" s="2213"/>
      <c r="Y107" s="2213"/>
      <c r="Z107" s="2213"/>
      <c r="AA107" s="2213"/>
      <c r="AB107" s="2213"/>
      <c r="AC107" s="16">
        <f t="shared" si="10"/>
        <v>0</v>
      </c>
      <c r="AD107" s="2214"/>
      <c r="AE107" s="2214"/>
      <c r="AF107" s="2214"/>
      <c r="AG107" s="2214"/>
      <c r="AH107" s="2214"/>
      <c r="AI107" s="2214"/>
      <c r="AJ107" s="2214"/>
      <c r="AK107" s="2214"/>
      <c r="AL107" s="2214"/>
      <c r="AM107" s="2214"/>
      <c r="AN107" s="2214"/>
      <c r="AO107" s="2214"/>
      <c r="AP107" s="2214"/>
      <c r="AQ107" s="2214"/>
      <c r="AR107" s="2214"/>
      <c r="AS107" s="2214"/>
      <c r="AT107" s="2215"/>
      <c r="AU107" s="2216"/>
      <c r="AV107" s="11">
        <f t="shared" si="11"/>
        <v>0</v>
      </c>
      <c r="AW107" s="11">
        <f t="shared" si="12"/>
        <v>0</v>
      </c>
      <c r="AX107" s="11">
        <f t="shared" si="13"/>
        <v>0</v>
      </c>
      <c r="AY107" s="2953">
        <f t="shared" si="14"/>
        <v>0</v>
      </c>
      <c r="AZ107" s="16">
        <f t="shared" si="15"/>
        <v>0</v>
      </c>
      <c r="BA107" s="16">
        <f t="shared" si="16"/>
        <v>0</v>
      </c>
      <c r="BB107" s="16">
        <f t="shared" si="17"/>
        <v>0</v>
      </c>
      <c r="BC107" s="16">
        <f t="shared" si="18"/>
        <v>0</v>
      </c>
      <c r="BD107" s="16">
        <f t="shared" si="19"/>
        <v>0</v>
      </c>
      <c r="BE107" s="16">
        <f t="shared" si="20"/>
        <v>0</v>
      </c>
      <c r="BF107" s="16">
        <f t="shared" si="21"/>
        <v>0</v>
      </c>
      <c r="BG107" s="16">
        <f t="shared" si="22"/>
        <v>0</v>
      </c>
      <c r="BH107" s="16">
        <f t="shared" si="23"/>
        <v>0</v>
      </c>
      <c r="BI107" s="16">
        <f t="shared" si="24"/>
        <v>0</v>
      </c>
      <c r="BJ107" s="16">
        <f t="shared" si="25"/>
        <v>0</v>
      </c>
      <c r="BK107" s="16">
        <f t="shared" si="26"/>
        <v>0</v>
      </c>
      <c r="BL107" s="16">
        <f t="shared" si="27"/>
        <v>0</v>
      </c>
      <c r="BM107" s="16">
        <f t="shared" si="28"/>
        <v>0</v>
      </c>
      <c r="BN107" s="16">
        <f t="shared" si="29"/>
        <v>0</v>
      </c>
      <c r="BO107" s="16">
        <f t="shared" si="30"/>
        <v>0</v>
      </c>
      <c r="BP107" s="16">
        <f t="shared" si="31"/>
        <v>0</v>
      </c>
      <c r="BQ107" s="16">
        <f t="shared" si="32"/>
        <v>0</v>
      </c>
      <c r="BR107" s="16">
        <f t="shared" si="33"/>
        <v>0</v>
      </c>
      <c r="BS107" s="16">
        <f t="shared" si="34"/>
        <v>0</v>
      </c>
      <c r="BT107" s="22">
        <f t="shared" si="35"/>
        <v>0</v>
      </c>
    </row>
    <row r="108" spans="1:72" s="2167" customFormat="1" ht="12.75">
      <c r="A108" s="1274"/>
      <c r="B108" s="1274"/>
      <c r="C108" s="2153"/>
      <c r="D108" s="2954" t="s">
        <v>3054</v>
      </c>
      <c r="E108" s="16">
        <f t="shared" si="7"/>
        <v>0</v>
      </c>
      <c r="F108" s="32"/>
      <c r="G108" s="33">
        <f t="shared" si="8"/>
        <v>0</v>
      </c>
      <c r="H108" s="20">
        <f t="shared" si="9"/>
        <v>0</v>
      </c>
      <c r="I108" s="2213"/>
      <c r="J108" s="2213"/>
      <c r="K108" s="2213"/>
      <c r="L108" s="2213"/>
      <c r="M108" s="2213"/>
      <c r="N108" s="2213"/>
      <c r="O108" s="2213"/>
      <c r="P108" s="2213"/>
      <c r="Q108" s="2213"/>
      <c r="R108" s="2213"/>
      <c r="S108" s="2213"/>
      <c r="T108" s="2213"/>
      <c r="U108" s="2213"/>
      <c r="V108" s="2213"/>
      <c r="W108" s="2213"/>
      <c r="X108" s="2213"/>
      <c r="Y108" s="2213"/>
      <c r="Z108" s="2213"/>
      <c r="AA108" s="2213"/>
      <c r="AB108" s="2213"/>
      <c r="AC108" s="16">
        <f t="shared" si="10"/>
        <v>0</v>
      </c>
      <c r="AD108" s="2214"/>
      <c r="AE108" s="2214"/>
      <c r="AF108" s="2214"/>
      <c r="AG108" s="2214"/>
      <c r="AH108" s="2214"/>
      <c r="AI108" s="2214"/>
      <c r="AJ108" s="2214"/>
      <c r="AK108" s="2214"/>
      <c r="AL108" s="2214"/>
      <c r="AM108" s="2214"/>
      <c r="AN108" s="2214"/>
      <c r="AO108" s="2214"/>
      <c r="AP108" s="2214"/>
      <c r="AQ108" s="2214"/>
      <c r="AR108" s="2214"/>
      <c r="AS108" s="2214"/>
      <c r="AT108" s="2215"/>
      <c r="AU108" s="2216"/>
      <c r="AV108" s="11">
        <f t="shared" si="11"/>
        <v>0</v>
      </c>
      <c r="AW108" s="11">
        <f t="shared" si="12"/>
        <v>0</v>
      </c>
      <c r="AX108" s="11">
        <f t="shared" si="13"/>
        <v>0</v>
      </c>
      <c r="AY108" s="2953">
        <f t="shared" si="14"/>
        <v>0</v>
      </c>
      <c r="AZ108" s="16">
        <f t="shared" si="15"/>
        <v>0</v>
      </c>
      <c r="BA108" s="16">
        <f t="shared" si="16"/>
        <v>0</v>
      </c>
      <c r="BB108" s="16">
        <f t="shared" si="17"/>
        <v>0</v>
      </c>
      <c r="BC108" s="16">
        <f t="shared" si="18"/>
        <v>0</v>
      </c>
      <c r="BD108" s="16">
        <f t="shared" si="19"/>
        <v>0</v>
      </c>
      <c r="BE108" s="16">
        <f t="shared" si="20"/>
        <v>0</v>
      </c>
      <c r="BF108" s="16">
        <f t="shared" si="21"/>
        <v>0</v>
      </c>
      <c r="BG108" s="16">
        <f t="shared" si="22"/>
        <v>0</v>
      </c>
      <c r="BH108" s="16">
        <f t="shared" si="23"/>
        <v>0</v>
      </c>
      <c r="BI108" s="16">
        <f t="shared" si="24"/>
        <v>0</v>
      </c>
      <c r="BJ108" s="16">
        <f t="shared" si="25"/>
        <v>0</v>
      </c>
      <c r="BK108" s="16">
        <f t="shared" si="26"/>
        <v>0</v>
      </c>
      <c r="BL108" s="16">
        <f t="shared" si="27"/>
        <v>0</v>
      </c>
      <c r="BM108" s="16">
        <f t="shared" si="28"/>
        <v>0</v>
      </c>
      <c r="BN108" s="16">
        <f t="shared" si="29"/>
        <v>0</v>
      </c>
      <c r="BO108" s="16">
        <f t="shared" si="30"/>
        <v>0</v>
      </c>
      <c r="BP108" s="16">
        <f t="shared" si="31"/>
        <v>0</v>
      </c>
      <c r="BQ108" s="16">
        <f t="shared" si="32"/>
        <v>0</v>
      </c>
      <c r="BR108" s="16">
        <f t="shared" si="33"/>
        <v>0</v>
      </c>
      <c r="BS108" s="16">
        <f t="shared" si="34"/>
        <v>0</v>
      </c>
      <c r="BT108" s="22">
        <f t="shared" si="35"/>
        <v>0</v>
      </c>
    </row>
    <row r="109" spans="1:72" s="2167" customFormat="1" ht="12.75">
      <c r="A109" s="1274"/>
      <c r="B109" s="1274"/>
      <c r="C109" s="2153"/>
      <c r="D109" s="2954" t="s">
        <v>3054</v>
      </c>
      <c r="E109" s="16">
        <f t="shared" si="7"/>
        <v>0</v>
      </c>
      <c r="F109" s="32"/>
      <c r="G109" s="33">
        <f t="shared" si="8"/>
        <v>0</v>
      </c>
      <c r="H109" s="20">
        <f t="shared" si="9"/>
        <v>0</v>
      </c>
      <c r="I109" s="2213"/>
      <c r="J109" s="2213"/>
      <c r="K109" s="2213"/>
      <c r="L109" s="2213"/>
      <c r="M109" s="2213"/>
      <c r="N109" s="2213"/>
      <c r="O109" s="2213"/>
      <c r="P109" s="2213"/>
      <c r="Q109" s="2213"/>
      <c r="R109" s="2213"/>
      <c r="S109" s="2213"/>
      <c r="T109" s="2213"/>
      <c r="U109" s="2213"/>
      <c r="V109" s="2213"/>
      <c r="W109" s="2213"/>
      <c r="X109" s="2213"/>
      <c r="Y109" s="2213"/>
      <c r="Z109" s="2213"/>
      <c r="AA109" s="2213"/>
      <c r="AB109" s="2213"/>
      <c r="AC109" s="16">
        <f t="shared" si="10"/>
        <v>0</v>
      </c>
      <c r="AD109" s="2214"/>
      <c r="AE109" s="2214"/>
      <c r="AF109" s="2214"/>
      <c r="AG109" s="2214"/>
      <c r="AH109" s="2214"/>
      <c r="AI109" s="2214"/>
      <c r="AJ109" s="2214"/>
      <c r="AK109" s="2214"/>
      <c r="AL109" s="2214"/>
      <c r="AM109" s="2214"/>
      <c r="AN109" s="2214"/>
      <c r="AO109" s="2214"/>
      <c r="AP109" s="2214"/>
      <c r="AQ109" s="2214"/>
      <c r="AR109" s="2214"/>
      <c r="AS109" s="2214"/>
      <c r="AT109" s="2215"/>
      <c r="AU109" s="2216"/>
      <c r="AV109" s="11">
        <f t="shared" si="11"/>
        <v>0</v>
      </c>
      <c r="AW109" s="11">
        <f t="shared" si="12"/>
        <v>0</v>
      </c>
      <c r="AX109" s="11">
        <f t="shared" si="13"/>
        <v>0</v>
      </c>
      <c r="AY109" s="2953">
        <f t="shared" si="14"/>
        <v>0</v>
      </c>
      <c r="AZ109" s="16">
        <f t="shared" si="15"/>
        <v>0</v>
      </c>
      <c r="BA109" s="16">
        <f t="shared" si="16"/>
        <v>0</v>
      </c>
      <c r="BB109" s="16">
        <f t="shared" si="17"/>
        <v>0</v>
      </c>
      <c r="BC109" s="16">
        <f t="shared" si="18"/>
        <v>0</v>
      </c>
      <c r="BD109" s="16">
        <f t="shared" si="19"/>
        <v>0</v>
      </c>
      <c r="BE109" s="16">
        <f t="shared" si="20"/>
        <v>0</v>
      </c>
      <c r="BF109" s="16">
        <f t="shared" si="21"/>
        <v>0</v>
      </c>
      <c r="BG109" s="16">
        <f t="shared" si="22"/>
        <v>0</v>
      </c>
      <c r="BH109" s="16">
        <f t="shared" si="23"/>
        <v>0</v>
      </c>
      <c r="BI109" s="16">
        <f t="shared" si="24"/>
        <v>0</v>
      </c>
      <c r="BJ109" s="16">
        <f t="shared" si="25"/>
        <v>0</v>
      </c>
      <c r="BK109" s="16">
        <f t="shared" si="26"/>
        <v>0</v>
      </c>
      <c r="BL109" s="16">
        <f t="shared" si="27"/>
        <v>0</v>
      </c>
      <c r="BM109" s="16">
        <f t="shared" si="28"/>
        <v>0</v>
      </c>
      <c r="BN109" s="16">
        <f t="shared" si="29"/>
        <v>0</v>
      </c>
      <c r="BO109" s="16">
        <f t="shared" si="30"/>
        <v>0</v>
      </c>
      <c r="BP109" s="16">
        <f t="shared" si="31"/>
        <v>0</v>
      </c>
      <c r="BQ109" s="16">
        <f t="shared" si="32"/>
        <v>0</v>
      </c>
      <c r="BR109" s="16">
        <f t="shared" si="33"/>
        <v>0</v>
      </c>
      <c r="BS109" s="16">
        <f t="shared" si="34"/>
        <v>0</v>
      </c>
      <c r="BT109" s="22">
        <f t="shared" si="35"/>
        <v>0</v>
      </c>
    </row>
    <row r="110" spans="1:72" s="2167" customFormat="1" ht="12.75">
      <c r="A110" s="1274"/>
      <c r="B110" s="1274"/>
      <c r="C110" s="2153"/>
      <c r="D110" s="2954" t="s">
        <v>3054</v>
      </c>
      <c r="E110" s="16">
        <f t="shared" si="7"/>
        <v>0</v>
      </c>
      <c r="F110" s="32"/>
      <c r="G110" s="33">
        <f t="shared" ref="G110:G141" si="36">H110+AC110+AT110</f>
        <v>0</v>
      </c>
      <c r="H110" s="20">
        <f t="shared" ref="H110:H141" si="37">SUMIF(I$12:AB$12,"总值",I110:AB110)</f>
        <v>0</v>
      </c>
      <c r="I110" s="2213"/>
      <c r="J110" s="2213"/>
      <c r="K110" s="2213"/>
      <c r="L110" s="2213"/>
      <c r="M110" s="2213"/>
      <c r="N110" s="2213"/>
      <c r="O110" s="2213"/>
      <c r="P110" s="2213"/>
      <c r="Q110" s="2213"/>
      <c r="R110" s="2213"/>
      <c r="S110" s="2213"/>
      <c r="T110" s="2213"/>
      <c r="U110" s="2213"/>
      <c r="V110" s="2213"/>
      <c r="W110" s="2213"/>
      <c r="X110" s="2213"/>
      <c r="Y110" s="2213"/>
      <c r="Z110" s="2213"/>
      <c r="AA110" s="2213"/>
      <c r="AB110" s="2213"/>
      <c r="AC110" s="16">
        <f t="shared" ref="AC110:AC141" si="38">SUMIF(AD$12:AS$12,"总值",AD110:AS110)</f>
        <v>0</v>
      </c>
      <c r="AD110" s="2214"/>
      <c r="AE110" s="2214"/>
      <c r="AF110" s="2214"/>
      <c r="AG110" s="2214"/>
      <c r="AH110" s="2214"/>
      <c r="AI110" s="2214"/>
      <c r="AJ110" s="2214"/>
      <c r="AK110" s="2214"/>
      <c r="AL110" s="2214"/>
      <c r="AM110" s="2214"/>
      <c r="AN110" s="2214"/>
      <c r="AO110" s="2214"/>
      <c r="AP110" s="2214"/>
      <c r="AQ110" s="2214"/>
      <c r="AR110" s="2214"/>
      <c r="AS110" s="2214"/>
      <c r="AT110" s="2215"/>
      <c r="AU110" s="2216"/>
      <c r="AV110" s="11">
        <f t="shared" si="11"/>
        <v>0</v>
      </c>
      <c r="AW110" s="11">
        <f t="shared" si="12"/>
        <v>0</v>
      </c>
      <c r="AX110" s="11">
        <f t="shared" si="13"/>
        <v>0</v>
      </c>
      <c r="AY110" s="2953">
        <f t="shared" ref="AY110:AY141" si="39">ROUND($AY$6*AZ110/$AZ$5,2)</f>
        <v>0</v>
      </c>
      <c r="AZ110" s="16">
        <f t="shared" ref="AZ110:AZ141" si="40">BA110+BL110</f>
        <v>0</v>
      </c>
      <c r="BA110" s="16">
        <f t="shared" ref="BA110:BA141" si="41">SUM(BB110:BK110)</f>
        <v>0</v>
      </c>
      <c r="BB110" s="16">
        <f t="shared" ref="BB110:BB141" si="42">IF($D110="是",I110-J110,0)</f>
        <v>0</v>
      </c>
      <c r="BC110" s="16">
        <f t="shared" ref="BC110:BC141" si="43">IF($D110="是",K110-L110,0)</f>
        <v>0</v>
      </c>
      <c r="BD110" s="16">
        <f t="shared" ref="BD110:BD141" si="44">IF($D110="是",M110-N110,0)</f>
        <v>0</v>
      </c>
      <c r="BE110" s="16">
        <f t="shared" ref="BE110:BE141" si="45">IF($D110="是",O110-P110,0)</f>
        <v>0</v>
      </c>
      <c r="BF110" s="16">
        <f t="shared" ref="BF110:BF141" si="46">IF($D110="是",Q110-R110,0)</f>
        <v>0</v>
      </c>
      <c r="BG110" s="16">
        <f t="shared" ref="BG110:BG141" si="47">IF($D110="是",S110-T110,0)</f>
        <v>0</v>
      </c>
      <c r="BH110" s="16">
        <f t="shared" ref="BH110:BH141" si="48">IF($D110="是",U110-V110,0)</f>
        <v>0</v>
      </c>
      <c r="BI110" s="16">
        <f t="shared" ref="BI110:BI141" si="49">IF($D110="是",W110-X110,0)</f>
        <v>0</v>
      </c>
      <c r="BJ110" s="16">
        <f t="shared" ref="BJ110:BJ141" si="50">IF($D110="是",Y110-Z110,0)</f>
        <v>0</v>
      </c>
      <c r="BK110" s="16">
        <f t="shared" ref="BK110:BK141" si="51">IF($D110="是",AA110-AB110,0)</f>
        <v>0</v>
      </c>
      <c r="BL110" s="16">
        <f t="shared" ref="BL110:BL141" si="52">SUM(BM110:BT110)</f>
        <v>0</v>
      </c>
      <c r="BM110" s="16">
        <f t="shared" ref="BM110:BM141" si="53">IF($D110="是",AD110-AE110,0)</f>
        <v>0</v>
      </c>
      <c r="BN110" s="16">
        <f t="shared" ref="BN110:BN141" si="54">IF($D110="是",AF110-AG110,0)</f>
        <v>0</v>
      </c>
      <c r="BO110" s="16">
        <f t="shared" ref="BO110:BO141" si="55">IF($D110="是",AH110-AI110,0)</f>
        <v>0</v>
      </c>
      <c r="BP110" s="16">
        <f t="shared" ref="BP110:BP141" si="56">IF($D110="是",AJ110-AK110,0)</f>
        <v>0</v>
      </c>
      <c r="BQ110" s="16">
        <f t="shared" ref="BQ110:BQ141" si="57">IF($D110="是",AL110-AM110,0)</f>
        <v>0</v>
      </c>
      <c r="BR110" s="16">
        <f t="shared" ref="BR110:BR141" si="58">IF($D110="是",AN110-AO110,0)</f>
        <v>0</v>
      </c>
      <c r="BS110" s="16">
        <f t="shared" ref="BS110:BS141" si="59">IF($D110="是",AP110-AQ110,0)</f>
        <v>0</v>
      </c>
      <c r="BT110" s="22">
        <f t="shared" ref="BT110:BT141" si="60">IF($D110="是",AR110-AS110,0)</f>
        <v>0</v>
      </c>
    </row>
    <row r="111" spans="1:72" s="2167" customFormat="1" ht="12.75">
      <c r="A111" s="1274"/>
      <c r="B111" s="1274"/>
      <c r="C111" s="2153"/>
      <c r="D111" s="2954" t="s">
        <v>3054</v>
      </c>
      <c r="E111" s="16">
        <f t="shared" si="7"/>
        <v>0</v>
      </c>
      <c r="F111" s="32"/>
      <c r="G111" s="33">
        <f t="shared" si="36"/>
        <v>0</v>
      </c>
      <c r="H111" s="20">
        <f t="shared" si="37"/>
        <v>0</v>
      </c>
      <c r="I111" s="2213"/>
      <c r="J111" s="2213"/>
      <c r="K111" s="2213"/>
      <c r="L111" s="2213"/>
      <c r="M111" s="2213"/>
      <c r="N111" s="2213"/>
      <c r="O111" s="2213"/>
      <c r="P111" s="2213"/>
      <c r="Q111" s="2213"/>
      <c r="R111" s="2213"/>
      <c r="S111" s="2213"/>
      <c r="T111" s="2213"/>
      <c r="U111" s="2213"/>
      <c r="V111" s="2213"/>
      <c r="W111" s="2213"/>
      <c r="X111" s="2213"/>
      <c r="Y111" s="2213"/>
      <c r="Z111" s="2213"/>
      <c r="AA111" s="2213"/>
      <c r="AB111" s="2213"/>
      <c r="AC111" s="16">
        <f t="shared" si="38"/>
        <v>0</v>
      </c>
      <c r="AD111" s="2214"/>
      <c r="AE111" s="2214"/>
      <c r="AF111" s="2214"/>
      <c r="AG111" s="2214"/>
      <c r="AH111" s="2214"/>
      <c r="AI111" s="2214"/>
      <c r="AJ111" s="2214"/>
      <c r="AK111" s="2214"/>
      <c r="AL111" s="2214"/>
      <c r="AM111" s="2214"/>
      <c r="AN111" s="2214"/>
      <c r="AO111" s="2214"/>
      <c r="AP111" s="2214"/>
      <c r="AQ111" s="2214"/>
      <c r="AR111" s="2214"/>
      <c r="AS111" s="2214"/>
      <c r="AT111" s="2215"/>
      <c r="AU111" s="2216"/>
      <c r="AV111" s="11">
        <f t="shared" si="11"/>
        <v>0</v>
      </c>
      <c r="AW111" s="11">
        <f t="shared" si="12"/>
        <v>0</v>
      </c>
      <c r="AX111" s="11">
        <f t="shared" si="13"/>
        <v>0</v>
      </c>
      <c r="AY111" s="2953">
        <f t="shared" si="39"/>
        <v>0</v>
      </c>
      <c r="AZ111" s="16">
        <f t="shared" si="40"/>
        <v>0</v>
      </c>
      <c r="BA111" s="16">
        <f t="shared" si="41"/>
        <v>0</v>
      </c>
      <c r="BB111" s="16">
        <f t="shared" si="42"/>
        <v>0</v>
      </c>
      <c r="BC111" s="16">
        <f t="shared" si="43"/>
        <v>0</v>
      </c>
      <c r="BD111" s="16">
        <f t="shared" si="44"/>
        <v>0</v>
      </c>
      <c r="BE111" s="16">
        <f t="shared" si="45"/>
        <v>0</v>
      </c>
      <c r="BF111" s="16">
        <f t="shared" si="46"/>
        <v>0</v>
      </c>
      <c r="BG111" s="16">
        <f t="shared" si="47"/>
        <v>0</v>
      </c>
      <c r="BH111" s="16">
        <f t="shared" si="48"/>
        <v>0</v>
      </c>
      <c r="BI111" s="16">
        <f t="shared" si="49"/>
        <v>0</v>
      </c>
      <c r="BJ111" s="16">
        <f t="shared" si="50"/>
        <v>0</v>
      </c>
      <c r="BK111" s="16">
        <f t="shared" si="51"/>
        <v>0</v>
      </c>
      <c r="BL111" s="16">
        <f t="shared" si="52"/>
        <v>0</v>
      </c>
      <c r="BM111" s="16">
        <f t="shared" si="53"/>
        <v>0</v>
      </c>
      <c r="BN111" s="16">
        <f t="shared" si="54"/>
        <v>0</v>
      </c>
      <c r="BO111" s="16">
        <f t="shared" si="55"/>
        <v>0</v>
      </c>
      <c r="BP111" s="16">
        <f t="shared" si="56"/>
        <v>0</v>
      </c>
      <c r="BQ111" s="16">
        <f t="shared" si="57"/>
        <v>0</v>
      </c>
      <c r="BR111" s="16">
        <f t="shared" si="58"/>
        <v>0</v>
      </c>
      <c r="BS111" s="16">
        <f t="shared" si="59"/>
        <v>0</v>
      </c>
      <c r="BT111" s="22">
        <f t="shared" si="60"/>
        <v>0</v>
      </c>
    </row>
    <row r="112" spans="1:72" s="2167" customFormat="1" ht="12.75">
      <c r="A112" s="1274"/>
      <c r="B112" s="1274"/>
      <c r="C112" s="2153"/>
      <c r="D112" s="2954" t="s">
        <v>3054</v>
      </c>
      <c r="E112" s="16">
        <f t="shared" si="7"/>
        <v>0</v>
      </c>
      <c r="F112" s="32"/>
      <c r="G112" s="33">
        <f t="shared" si="36"/>
        <v>0</v>
      </c>
      <c r="H112" s="20">
        <f t="shared" si="37"/>
        <v>0</v>
      </c>
      <c r="I112" s="2213"/>
      <c r="J112" s="2213"/>
      <c r="K112" s="2213"/>
      <c r="L112" s="2213"/>
      <c r="M112" s="2213"/>
      <c r="N112" s="2213"/>
      <c r="O112" s="2213"/>
      <c r="P112" s="2213"/>
      <c r="Q112" s="2213"/>
      <c r="R112" s="2213"/>
      <c r="S112" s="2213"/>
      <c r="T112" s="2213"/>
      <c r="U112" s="2213"/>
      <c r="V112" s="2213"/>
      <c r="W112" s="2213"/>
      <c r="X112" s="2213"/>
      <c r="Y112" s="2213"/>
      <c r="Z112" s="2213"/>
      <c r="AA112" s="2213"/>
      <c r="AB112" s="2213"/>
      <c r="AC112" s="16">
        <f t="shared" si="38"/>
        <v>0</v>
      </c>
      <c r="AD112" s="2214"/>
      <c r="AE112" s="2214"/>
      <c r="AF112" s="2214"/>
      <c r="AG112" s="2214"/>
      <c r="AH112" s="2214"/>
      <c r="AI112" s="2214"/>
      <c r="AJ112" s="2214"/>
      <c r="AK112" s="2214"/>
      <c r="AL112" s="2214"/>
      <c r="AM112" s="2214"/>
      <c r="AN112" s="2214"/>
      <c r="AO112" s="2214"/>
      <c r="AP112" s="2214"/>
      <c r="AQ112" s="2214"/>
      <c r="AR112" s="2214"/>
      <c r="AS112" s="2214"/>
      <c r="AT112" s="2215"/>
      <c r="AU112" s="2216"/>
      <c r="AV112" s="11">
        <f t="shared" si="11"/>
        <v>0</v>
      </c>
      <c r="AW112" s="11">
        <f t="shared" si="12"/>
        <v>0</v>
      </c>
      <c r="AX112" s="11">
        <f t="shared" si="13"/>
        <v>0</v>
      </c>
      <c r="AY112" s="2953">
        <f t="shared" si="39"/>
        <v>0</v>
      </c>
      <c r="AZ112" s="16">
        <f t="shared" si="40"/>
        <v>0</v>
      </c>
      <c r="BA112" s="16">
        <f t="shared" si="41"/>
        <v>0</v>
      </c>
      <c r="BB112" s="16">
        <f t="shared" si="42"/>
        <v>0</v>
      </c>
      <c r="BC112" s="16">
        <f t="shared" si="43"/>
        <v>0</v>
      </c>
      <c r="BD112" s="16">
        <f t="shared" si="44"/>
        <v>0</v>
      </c>
      <c r="BE112" s="16">
        <f t="shared" si="45"/>
        <v>0</v>
      </c>
      <c r="BF112" s="16">
        <f t="shared" si="46"/>
        <v>0</v>
      </c>
      <c r="BG112" s="16">
        <f t="shared" si="47"/>
        <v>0</v>
      </c>
      <c r="BH112" s="16">
        <f t="shared" si="48"/>
        <v>0</v>
      </c>
      <c r="BI112" s="16">
        <f t="shared" si="49"/>
        <v>0</v>
      </c>
      <c r="BJ112" s="16">
        <f t="shared" si="50"/>
        <v>0</v>
      </c>
      <c r="BK112" s="16">
        <f t="shared" si="51"/>
        <v>0</v>
      </c>
      <c r="BL112" s="16">
        <f t="shared" si="52"/>
        <v>0</v>
      </c>
      <c r="BM112" s="16">
        <f t="shared" si="53"/>
        <v>0</v>
      </c>
      <c r="BN112" s="16">
        <f t="shared" si="54"/>
        <v>0</v>
      </c>
      <c r="BO112" s="16">
        <f t="shared" si="55"/>
        <v>0</v>
      </c>
      <c r="BP112" s="16">
        <f t="shared" si="56"/>
        <v>0</v>
      </c>
      <c r="BQ112" s="16">
        <f t="shared" si="57"/>
        <v>0</v>
      </c>
      <c r="BR112" s="16">
        <f t="shared" si="58"/>
        <v>0</v>
      </c>
      <c r="BS112" s="16">
        <f t="shared" si="59"/>
        <v>0</v>
      </c>
      <c r="BT112" s="22">
        <f t="shared" si="60"/>
        <v>0</v>
      </c>
    </row>
    <row r="113" spans="1:72" s="2167" customFormat="1" ht="12.75">
      <c r="A113" s="1274"/>
      <c r="B113" s="1274"/>
      <c r="C113" s="2153"/>
      <c r="D113" s="2954" t="s">
        <v>3054</v>
      </c>
      <c r="E113" s="16">
        <f t="shared" ref="E113:E144" si="61">IF($C$3="是",ROUND($A$3*G113/$B$3,2),ROUND($A$3*(G113-AT113)/$B$3,2))</f>
        <v>0</v>
      </c>
      <c r="F113" s="32"/>
      <c r="G113" s="33">
        <f t="shared" si="36"/>
        <v>0</v>
      </c>
      <c r="H113" s="20">
        <f t="shared" si="37"/>
        <v>0</v>
      </c>
      <c r="I113" s="2213"/>
      <c r="J113" s="2213"/>
      <c r="K113" s="2213"/>
      <c r="L113" s="2213"/>
      <c r="M113" s="2213"/>
      <c r="N113" s="2213"/>
      <c r="O113" s="2213"/>
      <c r="P113" s="2213"/>
      <c r="Q113" s="2213"/>
      <c r="R113" s="2213"/>
      <c r="S113" s="2213"/>
      <c r="T113" s="2213"/>
      <c r="U113" s="2213"/>
      <c r="V113" s="2213"/>
      <c r="W113" s="2213"/>
      <c r="X113" s="2213"/>
      <c r="Y113" s="2213"/>
      <c r="Z113" s="2213"/>
      <c r="AA113" s="2213"/>
      <c r="AB113" s="2213"/>
      <c r="AC113" s="16">
        <f t="shared" si="38"/>
        <v>0</v>
      </c>
      <c r="AD113" s="2214"/>
      <c r="AE113" s="2214"/>
      <c r="AF113" s="2214"/>
      <c r="AG113" s="2214"/>
      <c r="AH113" s="2214"/>
      <c r="AI113" s="2214"/>
      <c r="AJ113" s="2214"/>
      <c r="AK113" s="2214"/>
      <c r="AL113" s="2214"/>
      <c r="AM113" s="2214"/>
      <c r="AN113" s="2214"/>
      <c r="AO113" s="2214"/>
      <c r="AP113" s="2214"/>
      <c r="AQ113" s="2214"/>
      <c r="AR113" s="2214"/>
      <c r="AS113" s="2214"/>
      <c r="AT113" s="2215"/>
      <c r="AU113" s="2216"/>
      <c r="AV113" s="11">
        <f t="shared" ref="AV113:AV144" si="62">A113</f>
        <v>0</v>
      </c>
      <c r="AW113" s="11">
        <f t="shared" ref="AW113:AW144" si="63">B113</f>
        <v>0</v>
      </c>
      <c r="AX113" s="11">
        <f t="shared" ref="AX113:AX144" si="64">C113</f>
        <v>0</v>
      </c>
      <c r="AY113" s="2953">
        <f t="shared" si="39"/>
        <v>0</v>
      </c>
      <c r="AZ113" s="16">
        <f t="shared" si="40"/>
        <v>0</v>
      </c>
      <c r="BA113" s="16">
        <f t="shared" si="41"/>
        <v>0</v>
      </c>
      <c r="BB113" s="16">
        <f t="shared" si="42"/>
        <v>0</v>
      </c>
      <c r="BC113" s="16">
        <f t="shared" si="43"/>
        <v>0</v>
      </c>
      <c r="BD113" s="16">
        <f t="shared" si="44"/>
        <v>0</v>
      </c>
      <c r="BE113" s="16">
        <f t="shared" si="45"/>
        <v>0</v>
      </c>
      <c r="BF113" s="16">
        <f t="shared" si="46"/>
        <v>0</v>
      </c>
      <c r="BG113" s="16">
        <f t="shared" si="47"/>
        <v>0</v>
      </c>
      <c r="BH113" s="16">
        <f t="shared" si="48"/>
        <v>0</v>
      </c>
      <c r="BI113" s="16">
        <f t="shared" si="49"/>
        <v>0</v>
      </c>
      <c r="BJ113" s="16">
        <f t="shared" si="50"/>
        <v>0</v>
      </c>
      <c r="BK113" s="16">
        <f t="shared" si="51"/>
        <v>0</v>
      </c>
      <c r="BL113" s="16">
        <f t="shared" si="52"/>
        <v>0</v>
      </c>
      <c r="BM113" s="16">
        <f t="shared" si="53"/>
        <v>0</v>
      </c>
      <c r="BN113" s="16">
        <f t="shared" si="54"/>
        <v>0</v>
      </c>
      <c r="BO113" s="16">
        <f t="shared" si="55"/>
        <v>0</v>
      </c>
      <c r="BP113" s="16">
        <f t="shared" si="56"/>
        <v>0</v>
      </c>
      <c r="BQ113" s="16">
        <f t="shared" si="57"/>
        <v>0</v>
      </c>
      <c r="BR113" s="16">
        <f t="shared" si="58"/>
        <v>0</v>
      </c>
      <c r="BS113" s="16">
        <f t="shared" si="59"/>
        <v>0</v>
      </c>
      <c r="BT113" s="22">
        <f t="shared" si="60"/>
        <v>0</v>
      </c>
    </row>
    <row r="114" spans="1:72" s="2167" customFormat="1" ht="12.75">
      <c r="A114" s="1274"/>
      <c r="B114" s="1274"/>
      <c r="C114" s="2153"/>
      <c r="D114" s="2954" t="s">
        <v>3054</v>
      </c>
      <c r="E114" s="16">
        <f t="shared" si="61"/>
        <v>0</v>
      </c>
      <c r="F114" s="32"/>
      <c r="G114" s="33">
        <f t="shared" si="36"/>
        <v>0</v>
      </c>
      <c r="H114" s="20">
        <f t="shared" si="37"/>
        <v>0</v>
      </c>
      <c r="I114" s="2213"/>
      <c r="J114" s="2213"/>
      <c r="K114" s="2213"/>
      <c r="L114" s="2213"/>
      <c r="M114" s="2213"/>
      <c r="N114" s="2213"/>
      <c r="O114" s="2213"/>
      <c r="P114" s="2213"/>
      <c r="Q114" s="2213"/>
      <c r="R114" s="2213"/>
      <c r="S114" s="2213"/>
      <c r="T114" s="2213"/>
      <c r="U114" s="2213"/>
      <c r="V114" s="2213"/>
      <c r="W114" s="2213"/>
      <c r="X114" s="2213"/>
      <c r="Y114" s="2213"/>
      <c r="Z114" s="2213"/>
      <c r="AA114" s="2213"/>
      <c r="AB114" s="2213"/>
      <c r="AC114" s="16">
        <f t="shared" si="38"/>
        <v>0</v>
      </c>
      <c r="AD114" s="2214"/>
      <c r="AE114" s="2214"/>
      <c r="AF114" s="2214"/>
      <c r="AG114" s="2214"/>
      <c r="AH114" s="2214"/>
      <c r="AI114" s="2214"/>
      <c r="AJ114" s="2214"/>
      <c r="AK114" s="2214"/>
      <c r="AL114" s="2214"/>
      <c r="AM114" s="2214"/>
      <c r="AN114" s="2214"/>
      <c r="AO114" s="2214"/>
      <c r="AP114" s="2214"/>
      <c r="AQ114" s="2214"/>
      <c r="AR114" s="2214"/>
      <c r="AS114" s="2214"/>
      <c r="AT114" s="2215"/>
      <c r="AU114" s="2216"/>
      <c r="AV114" s="11">
        <f t="shared" si="62"/>
        <v>0</v>
      </c>
      <c r="AW114" s="11">
        <f t="shared" si="63"/>
        <v>0</v>
      </c>
      <c r="AX114" s="11">
        <f t="shared" si="64"/>
        <v>0</v>
      </c>
      <c r="AY114" s="2953">
        <f t="shared" si="39"/>
        <v>0</v>
      </c>
      <c r="AZ114" s="16">
        <f t="shared" si="40"/>
        <v>0</v>
      </c>
      <c r="BA114" s="16">
        <f t="shared" si="41"/>
        <v>0</v>
      </c>
      <c r="BB114" s="16">
        <f t="shared" si="42"/>
        <v>0</v>
      </c>
      <c r="BC114" s="16">
        <f t="shared" si="43"/>
        <v>0</v>
      </c>
      <c r="BD114" s="16">
        <f t="shared" si="44"/>
        <v>0</v>
      </c>
      <c r="BE114" s="16">
        <f t="shared" si="45"/>
        <v>0</v>
      </c>
      <c r="BF114" s="16">
        <f t="shared" si="46"/>
        <v>0</v>
      </c>
      <c r="BG114" s="16">
        <f t="shared" si="47"/>
        <v>0</v>
      </c>
      <c r="BH114" s="16">
        <f t="shared" si="48"/>
        <v>0</v>
      </c>
      <c r="BI114" s="16">
        <f t="shared" si="49"/>
        <v>0</v>
      </c>
      <c r="BJ114" s="16">
        <f t="shared" si="50"/>
        <v>0</v>
      </c>
      <c r="BK114" s="16">
        <f t="shared" si="51"/>
        <v>0</v>
      </c>
      <c r="BL114" s="16">
        <f t="shared" si="52"/>
        <v>0</v>
      </c>
      <c r="BM114" s="16">
        <f t="shared" si="53"/>
        <v>0</v>
      </c>
      <c r="BN114" s="16">
        <f t="shared" si="54"/>
        <v>0</v>
      </c>
      <c r="BO114" s="16">
        <f t="shared" si="55"/>
        <v>0</v>
      </c>
      <c r="BP114" s="16">
        <f t="shared" si="56"/>
        <v>0</v>
      </c>
      <c r="BQ114" s="16">
        <f t="shared" si="57"/>
        <v>0</v>
      </c>
      <c r="BR114" s="16">
        <f t="shared" si="58"/>
        <v>0</v>
      </c>
      <c r="BS114" s="16">
        <f t="shared" si="59"/>
        <v>0</v>
      </c>
      <c r="BT114" s="22">
        <f t="shared" si="60"/>
        <v>0</v>
      </c>
    </row>
    <row r="115" spans="1:72" s="2167" customFormat="1" ht="12.75">
      <c r="A115" s="1274"/>
      <c r="B115" s="1274"/>
      <c r="C115" s="2153"/>
      <c r="D115" s="2954" t="s">
        <v>3054</v>
      </c>
      <c r="E115" s="16">
        <f t="shared" si="61"/>
        <v>0</v>
      </c>
      <c r="F115" s="32"/>
      <c r="G115" s="33">
        <f t="shared" si="36"/>
        <v>0</v>
      </c>
      <c r="H115" s="20">
        <f t="shared" si="37"/>
        <v>0</v>
      </c>
      <c r="I115" s="2213"/>
      <c r="J115" s="2213"/>
      <c r="K115" s="2213"/>
      <c r="L115" s="2213"/>
      <c r="M115" s="2213"/>
      <c r="N115" s="2213"/>
      <c r="O115" s="2213"/>
      <c r="P115" s="2213"/>
      <c r="Q115" s="2213"/>
      <c r="R115" s="2213"/>
      <c r="S115" s="2213"/>
      <c r="T115" s="2213"/>
      <c r="U115" s="2213"/>
      <c r="V115" s="2213"/>
      <c r="W115" s="2213"/>
      <c r="X115" s="2213"/>
      <c r="Y115" s="2213"/>
      <c r="Z115" s="2213"/>
      <c r="AA115" s="2213"/>
      <c r="AB115" s="2213"/>
      <c r="AC115" s="16">
        <f t="shared" si="38"/>
        <v>0</v>
      </c>
      <c r="AD115" s="2214"/>
      <c r="AE115" s="2214"/>
      <c r="AF115" s="2214"/>
      <c r="AG115" s="2214"/>
      <c r="AH115" s="2214"/>
      <c r="AI115" s="2214"/>
      <c r="AJ115" s="2214"/>
      <c r="AK115" s="2214"/>
      <c r="AL115" s="2214"/>
      <c r="AM115" s="2214"/>
      <c r="AN115" s="2214"/>
      <c r="AO115" s="2214"/>
      <c r="AP115" s="2214"/>
      <c r="AQ115" s="2214"/>
      <c r="AR115" s="2214"/>
      <c r="AS115" s="2214"/>
      <c r="AT115" s="2215"/>
      <c r="AU115" s="2216"/>
      <c r="AV115" s="11">
        <f t="shared" si="62"/>
        <v>0</v>
      </c>
      <c r="AW115" s="11">
        <f t="shared" si="63"/>
        <v>0</v>
      </c>
      <c r="AX115" s="11">
        <f t="shared" si="64"/>
        <v>0</v>
      </c>
      <c r="AY115" s="2953">
        <f t="shared" si="39"/>
        <v>0</v>
      </c>
      <c r="AZ115" s="16">
        <f t="shared" si="40"/>
        <v>0</v>
      </c>
      <c r="BA115" s="16">
        <f t="shared" si="41"/>
        <v>0</v>
      </c>
      <c r="BB115" s="16">
        <f t="shared" si="42"/>
        <v>0</v>
      </c>
      <c r="BC115" s="16">
        <f t="shared" si="43"/>
        <v>0</v>
      </c>
      <c r="BD115" s="16">
        <f t="shared" si="44"/>
        <v>0</v>
      </c>
      <c r="BE115" s="16">
        <f t="shared" si="45"/>
        <v>0</v>
      </c>
      <c r="BF115" s="16">
        <f t="shared" si="46"/>
        <v>0</v>
      </c>
      <c r="BG115" s="16">
        <f t="shared" si="47"/>
        <v>0</v>
      </c>
      <c r="BH115" s="16">
        <f t="shared" si="48"/>
        <v>0</v>
      </c>
      <c r="BI115" s="16">
        <f t="shared" si="49"/>
        <v>0</v>
      </c>
      <c r="BJ115" s="16">
        <f t="shared" si="50"/>
        <v>0</v>
      </c>
      <c r="BK115" s="16">
        <f t="shared" si="51"/>
        <v>0</v>
      </c>
      <c r="BL115" s="16">
        <f t="shared" si="52"/>
        <v>0</v>
      </c>
      <c r="BM115" s="16">
        <f t="shared" si="53"/>
        <v>0</v>
      </c>
      <c r="BN115" s="16">
        <f t="shared" si="54"/>
        <v>0</v>
      </c>
      <c r="BO115" s="16">
        <f t="shared" si="55"/>
        <v>0</v>
      </c>
      <c r="BP115" s="16">
        <f t="shared" si="56"/>
        <v>0</v>
      </c>
      <c r="BQ115" s="16">
        <f t="shared" si="57"/>
        <v>0</v>
      </c>
      <c r="BR115" s="16">
        <f t="shared" si="58"/>
        <v>0</v>
      </c>
      <c r="BS115" s="16">
        <f t="shared" si="59"/>
        <v>0</v>
      </c>
      <c r="BT115" s="22">
        <f t="shared" si="60"/>
        <v>0</v>
      </c>
    </row>
    <row r="116" spans="1:72" s="2167" customFormat="1" ht="12.75">
      <c r="A116" s="1274"/>
      <c r="B116" s="1274"/>
      <c r="C116" s="2153"/>
      <c r="D116" s="2954" t="s">
        <v>3054</v>
      </c>
      <c r="E116" s="16">
        <f t="shared" si="61"/>
        <v>0</v>
      </c>
      <c r="F116" s="32"/>
      <c r="G116" s="33">
        <f t="shared" si="36"/>
        <v>0</v>
      </c>
      <c r="H116" s="20">
        <f t="shared" si="37"/>
        <v>0</v>
      </c>
      <c r="I116" s="2213"/>
      <c r="J116" s="2213"/>
      <c r="K116" s="2213"/>
      <c r="L116" s="2213"/>
      <c r="M116" s="2213"/>
      <c r="N116" s="2213"/>
      <c r="O116" s="2213"/>
      <c r="P116" s="2213"/>
      <c r="Q116" s="2213"/>
      <c r="R116" s="2213"/>
      <c r="S116" s="2213"/>
      <c r="T116" s="2213"/>
      <c r="U116" s="2213"/>
      <c r="V116" s="2213"/>
      <c r="W116" s="2213"/>
      <c r="X116" s="2213"/>
      <c r="Y116" s="2213"/>
      <c r="Z116" s="2213"/>
      <c r="AA116" s="2213"/>
      <c r="AB116" s="2213"/>
      <c r="AC116" s="16">
        <f t="shared" si="38"/>
        <v>0</v>
      </c>
      <c r="AD116" s="2214"/>
      <c r="AE116" s="2214"/>
      <c r="AF116" s="2214"/>
      <c r="AG116" s="2214"/>
      <c r="AH116" s="2214"/>
      <c r="AI116" s="2214"/>
      <c r="AJ116" s="2214"/>
      <c r="AK116" s="2214"/>
      <c r="AL116" s="2214"/>
      <c r="AM116" s="2214"/>
      <c r="AN116" s="2214"/>
      <c r="AO116" s="2214"/>
      <c r="AP116" s="2214"/>
      <c r="AQ116" s="2214"/>
      <c r="AR116" s="2214"/>
      <c r="AS116" s="2214"/>
      <c r="AT116" s="2215"/>
      <c r="AU116" s="2216"/>
      <c r="AV116" s="11">
        <f t="shared" si="62"/>
        <v>0</v>
      </c>
      <c r="AW116" s="11">
        <f t="shared" si="63"/>
        <v>0</v>
      </c>
      <c r="AX116" s="11">
        <f t="shared" si="64"/>
        <v>0</v>
      </c>
      <c r="AY116" s="2953">
        <f t="shared" si="39"/>
        <v>0</v>
      </c>
      <c r="AZ116" s="16">
        <f t="shared" si="40"/>
        <v>0</v>
      </c>
      <c r="BA116" s="16">
        <f t="shared" si="41"/>
        <v>0</v>
      </c>
      <c r="BB116" s="16">
        <f t="shared" si="42"/>
        <v>0</v>
      </c>
      <c r="BC116" s="16">
        <f t="shared" si="43"/>
        <v>0</v>
      </c>
      <c r="BD116" s="16">
        <f t="shared" si="44"/>
        <v>0</v>
      </c>
      <c r="BE116" s="16">
        <f t="shared" si="45"/>
        <v>0</v>
      </c>
      <c r="BF116" s="16">
        <f t="shared" si="46"/>
        <v>0</v>
      </c>
      <c r="BG116" s="16">
        <f t="shared" si="47"/>
        <v>0</v>
      </c>
      <c r="BH116" s="16">
        <f t="shared" si="48"/>
        <v>0</v>
      </c>
      <c r="BI116" s="16">
        <f t="shared" si="49"/>
        <v>0</v>
      </c>
      <c r="BJ116" s="16">
        <f t="shared" si="50"/>
        <v>0</v>
      </c>
      <c r="BK116" s="16">
        <f t="shared" si="51"/>
        <v>0</v>
      </c>
      <c r="BL116" s="16">
        <f t="shared" si="52"/>
        <v>0</v>
      </c>
      <c r="BM116" s="16">
        <f t="shared" si="53"/>
        <v>0</v>
      </c>
      <c r="BN116" s="16">
        <f t="shared" si="54"/>
        <v>0</v>
      </c>
      <c r="BO116" s="16">
        <f t="shared" si="55"/>
        <v>0</v>
      </c>
      <c r="BP116" s="16">
        <f t="shared" si="56"/>
        <v>0</v>
      </c>
      <c r="BQ116" s="16">
        <f t="shared" si="57"/>
        <v>0</v>
      </c>
      <c r="BR116" s="16">
        <f t="shared" si="58"/>
        <v>0</v>
      </c>
      <c r="BS116" s="16">
        <f t="shared" si="59"/>
        <v>0</v>
      </c>
      <c r="BT116" s="22">
        <f t="shared" si="60"/>
        <v>0</v>
      </c>
    </row>
    <row r="117" spans="1:72" s="2167" customFormat="1" ht="12.75">
      <c r="A117" s="1274"/>
      <c r="B117" s="1274"/>
      <c r="C117" s="2153"/>
      <c r="D117" s="2954" t="s">
        <v>3054</v>
      </c>
      <c r="E117" s="16">
        <f t="shared" si="61"/>
        <v>0</v>
      </c>
      <c r="F117" s="32"/>
      <c r="G117" s="33">
        <f t="shared" si="36"/>
        <v>0</v>
      </c>
      <c r="H117" s="20">
        <f t="shared" si="37"/>
        <v>0</v>
      </c>
      <c r="I117" s="2213"/>
      <c r="J117" s="2213"/>
      <c r="K117" s="2213"/>
      <c r="L117" s="2213"/>
      <c r="M117" s="2213"/>
      <c r="N117" s="2213"/>
      <c r="O117" s="2213"/>
      <c r="P117" s="2213"/>
      <c r="Q117" s="2213"/>
      <c r="R117" s="2213"/>
      <c r="S117" s="2213"/>
      <c r="T117" s="2213"/>
      <c r="U117" s="2213"/>
      <c r="V117" s="2213"/>
      <c r="W117" s="2213"/>
      <c r="X117" s="2213"/>
      <c r="Y117" s="2213"/>
      <c r="Z117" s="2213"/>
      <c r="AA117" s="2213"/>
      <c r="AB117" s="2213"/>
      <c r="AC117" s="16">
        <f t="shared" si="38"/>
        <v>0</v>
      </c>
      <c r="AD117" s="2214"/>
      <c r="AE117" s="2214"/>
      <c r="AF117" s="2214"/>
      <c r="AG117" s="2214"/>
      <c r="AH117" s="2214"/>
      <c r="AI117" s="2214"/>
      <c r="AJ117" s="2214"/>
      <c r="AK117" s="2214"/>
      <c r="AL117" s="2214"/>
      <c r="AM117" s="2214"/>
      <c r="AN117" s="2214"/>
      <c r="AO117" s="2214"/>
      <c r="AP117" s="2214"/>
      <c r="AQ117" s="2214"/>
      <c r="AR117" s="2214"/>
      <c r="AS117" s="2214"/>
      <c r="AT117" s="2215"/>
      <c r="AU117" s="2216"/>
      <c r="AV117" s="11">
        <f t="shared" si="62"/>
        <v>0</v>
      </c>
      <c r="AW117" s="11">
        <f t="shared" si="63"/>
        <v>0</v>
      </c>
      <c r="AX117" s="11">
        <f t="shared" si="64"/>
        <v>0</v>
      </c>
      <c r="AY117" s="2953">
        <f t="shared" si="39"/>
        <v>0</v>
      </c>
      <c r="AZ117" s="16">
        <f t="shared" si="40"/>
        <v>0</v>
      </c>
      <c r="BA117" s="16">
        <f t="shared" si="41"/>
        <v>0</v>
      </c>
      <c r="BB117" s="16">
        <f t="shared" si="42"/>
        <v>0</v>
      </c>
      <c r="BC117" s="16">
        <f t="shared" si="43"/>
        <v>0</v>
      </c>
      <c r="BD117" s="16">
        <f t="shared" si="44"/>
        <v>0</v>
      </c>
      <c r="BE117" s="16">
        <f t="shared" si="45"/>
        <v>0</v>
      </c>
      <c r="BF117" s="16">
        <f t="shared" si="46"/>
        <v>0</v>
      </c>
      <c r="BG117" s="16">
        <f t="shared" si="47"/>
        <v>0</v>
      </c>
      <c r="BH117" s="16">
        <f t="shared" si="48"/>
        <v>0</v>
      </c>
      <c r="BI117" s="16">
        <f t="shared" si="49"/>
        <v>0</v>
      </c>
      <c r="BJ117" s="16">
        <f t="shared" si="50"/>
        <v>0</v>
      </c>
      <c r="BK117" s="16">
        <f t="shared" si="51"/>
        <v>0</v>
      </c>
      <c r="BL117" s="16">
        <f t="shared" si="52"/>
        <v>0</v>
      </c>
      <c r="BM117" s="16">
        <f t="shared" si="53"/>
        <v>0</v>
      </c>
      <c r="BN117" s="16">
        <f t="shared" si="54"/>
        <v>0</v>
      </c>
      <c r="BO117" s="16">
        <f t="shared" si="55"/>
        <v>0</v>
      </c>
      <c r="BP117" s="16">
        <f t="shared" si="56"/>
        <v>0</v>
      </c>
      <c r="BQ117" s="16">
        <f t="shared" si="57"/>
        <v>0</v>
      </c>
      <c r="BR117" s="16">
        <f t="shared" si="58"/>
        <v>0</v>
      </c>
      <c r="BS117" s="16">
        <f t="shared" si="59"/>
        <v>0</v>
      </c>
      <c r="BT117" s="22">
        <f t="shared" si="60"/>
        <v>0</v>
      </c>
    </row>
    <row r="118" spans="1:72" s="2167" customFormat="1" ht="12.75">
      <c r="A118" s="1274"/>
      <c r="B118" s="1274"/>
      <c r="C118" s="2153"/>
      <c r="D118" s="2954" t="s">
        <v>3374</v>
      </c>
      <c r="E118" s="16">
        <f t="shared" si="61"/>
        <v>0</v>
      </c>
      <c r="F118" s="32"/>
      <c r="G118" s="33">
        <f t="shared" si="36"/>
        <v>0</v>
      </c>
      <c r="H118" s="20">
        <f t="shared" si="37"/>
        <v>0</v>
      </c>
      <c r="I118" s="2213"/>
      <c r="J118" s="2213"/>
      <c r="K118" s="2213"/>
      <c r="L118" s="2213"/>
      <c r="M118" s="2213"/>
      <c r="N118" s="2213"/>
      <c r="O118" s="2213"/>
      <c r="P118" s="2213"/>
      <c r="Q118" s="2213"/>
      <c r="R118" s="2213"/>
      <c r="S118" s="2213"/>
      <c r="T118" s="2213"/>
      <c r="U118" s="2213"/>
      <c r="V118" s="2213"/>
      <c r="W118" s="2213"/>
      <c r="X118" s="2213"/>
      <c r="Y118" s="2213"/>
      <c r="Z118" s="2213"/>
      <c r="AA118" s="2213"/>
      <c r="AB118" s="2213"/>
      <c r="AC118" s="16">
        <f t="shared" si="38"/>
        <v>0</v>
      </c>
      <c r="AD118" s="2214"/>
      <c r="AE118" s="2214"/>
      <c r="AF118" s="2214"/>
      <c r="AG118" s="2214"/>
      <c r="AH118" s="2214"/>
      <c r="AI118" s="2214"/>
      <c r="AJ118" s="2214"/>
      <c r="AK118" s="2214"/>
      <c r="AL118" s="2214"/>
      <c r="AM118" s="2214"/>
      <c r="AN118" s="2214"/>
      <c r="AO118" s="2214"/>
      <c r="AP118" s="2214"/>
      <c r="AQ118" s="2214"/>
      <c r="AR118" s="2214"/>
      <c r="AS118" s="2214"/>
      <c r="AT118" s="2215"/>
      <c r="AU118" s="2216"/>
      <c r="AV118" s="11">
        <f t="shared" si="62"/>
        <v>0</v>
      </c>
      <c r="AW118" s="11">
        <f t="shared" si="63"/>
        <v>0</v>
      </c>
      <c r="AX118" s="11">
        <f t="shared" si="64"/>
        <v>0</v>
      </c>
      <c r="AY118" s="2953">
        <f t="shared" si="39"/>
        <v>0</v>
      </c>
      <c r="AZ118" s="16">
        <f t="shared" si="40"/>
        <v>0</v>
      </c>
      <c r="BA118" s="16">
        <f t="shared" si="41"/>
        <v>0</v>
      </c>
      <c r="BB118" s="16">
        <f t="shared" si="42"/>
        <v>0</v>
      </c>
      <c r="BC118" s="16">
        <f t="shared" si="43"/>
        <v>0</v>
      </c>
      <c r="BD118" s="16">
        <f t="shared" si="44"/>
        <v>0</v>
      </c>
      <c r="BE118" s="16">
        <f t="shared" si="45"/>
        <v>0</v>
      </c>
      <c r="BF118" s="16">
        <f t="shared" si="46"/>
        <v>0</v>
      </c>
      <c r="BG118" s="16">
        <f t="shared" si="47"/>
        <v>0</v>
      </c>
      <c r="BH118" s="16">
        <f t="shared" si="48"/>
        <v>0</v>
      </c>
      <c r="BI118" s="16">
        <f t="shared" si="49"/>
        <v>0</v>
      </c>
      <c r="BJ118" s="16">
        <f t="shared" si="50"/>
        <v>0</v>
      </c>
      <c r="BK118" s="16">
        <f t="shared" si="51"/>
        <v>0</v>
      </c>
      <c r="BL118" s="16">
        <f t="shared" si="52"/>
        <v>0</v>
      </c>
      <c r="BM118" s="16">
        <f t="shared" si="53"/>
        <v>0</v>
      </c>
      <c r="BN118" s="16">
        <f t="shared" si="54"/>
        <v>0</v>
      </c>
      <c r="BO118" s="16">
        <f t="shared" si="55"/>
        <v>0</v>
      </c>
      <c r="BP118" s="16">
        <f t="shared" si="56"/>
        <v>0</v>
      </c>
      <c r="BQ118" s="16">
        <f t="shared" si="57"/>
        <v>0</v>
      </c>
      <c r="BR118" s="16">
        <f t="shared" si="58"/>
        <v>0</v>
      </c>
      <c r="BS118" s="16">
        <f t="shared" si="59"/>
        <v>0</v>
      </c>
      <c r="BT118" s="22">
        <f t="shared" si="60"/>
        <v>0</v>
      </c>
    </row>
    <row r="119" spans="1:72" s="2167" customFormat="1" ht="12.75">
      <c r="A119" s="1274"/>
      <c r="B119" s="1274"/>
      <c r="C119" s="2153"/>
      <c r="D119" s="2954"/>
      <c r="E119" s="16">
        <f t="shared" si="61"/>
        <v>0</v>
      </c>
      <c r="F119" s="32"/>
      <c r="G119" s="33">
        <f t="shared" si="36"/>
        <v>0</v>
      </c>
      <c r="H119" s="20">
        <f t="shared" si="37"/>
        <v>0</v>
      </c>
      <c r="I119" s="2213"/>
      <c r="J119" s="2213"/>
      <c r="K119" s="2213"/>
      <c r="L119" s="2213"/>
      <c r="M119" s="2213"/>
      <c r="N119" s="2213"/>
      <c r="O119" s="2213"/>
      <c r="P119" s="2213"/>
      <c r="Q119" s="2213"/>
      <c r="R119" s="2213"/>
      <c r="S119" s="2213"/>
      <c r="T119" s="2213"/>
      <c r="U119" s="2213"/>
      <c r="V119" s="2213"/>
      <c r="W119" s="2213"/>
      <c r="X119" s="2213"/>
      <c r="Y119" s="2213"/>
      <c r="Z119" s="2213"/>
      <c r="AA119" s="2213"/>
      <c r="AB119" s="2213"/>
      <c r="AC119" s="16">
        <f t="shared" si="38"/>
        <v>0</v>
      </c>
      <c r="AD119" s="2214"/>
      <c r="AE119" s="2214"/>
      <c r="AF119" s="2214"/>
      <c r="AG119" s="2214"/>
      <c r="AH119" s="2214"/>
      <c r="AI119" s="2214"/>
      <c r="AJ119" s="2214"/>
      <c r="AK119" s="2214"/>
      <c r="AL119" s="2214"/>
      <c r="AM119" s="2214"/>
      <c r="AN119" s="2214"/>
      <c r="AO119" s="2214"/>
      <c r="AP119" s="2214"/>
      <c r="AQ119" s="2214"/>
      <c r="AR119" s="2214"/>
      <c r="AS119" s="2214"/>
      <c r="AT119" s="2215"/>
      <c r="AU119" s="2216"/>
      <c r="AV119" s="11">
        <f t="shared" si="62"/>
        <v>0</v>
      </c>
      <c r="AW119" s="11">
        <f t="shared" si="63"/>
        <v>0</v>
      </c>
      <c r="AX119" s="11">
        <f t="shared" si="64"/>
        <v>0</v>
      </c>
      <c r="AY119" s="2953">
        <f t="shared" si="39"/>
        <v>0</v>
      </c>
      <c r="AZ119" s="16">
        <f t="shared" si="40"/>
        <v>0</v>
      </c>
      <c r="BA119" s="16">
        <f t="shared" si="41"/>
        <v>0</v>
      </c>
      <c r="BB119" s="16">
        <f t="shared" si="42"/>
        <v>0</v>
      </c>
      <c r="BC119" s="16">
        <f t="shared" si="43"/>
        <v>0</v>
      </c>
      <c r="BD119" s="16">
        <f t="shared" si="44"/>
        <v>0</v>
      </c>
      <c r="BE119" s="16">
        <f t="shared" si="45"/>
        <v>0</v>
      </c>
      <c r="BF119" s="16">
        <f t="shared" si="46"/>
        <v>0</v>
      </c>
      <c r="BG119" s="16">
        <f t="shared" si="47"/>
        <v>0</v>
      </c>
      <c r="BH119" s="16">
        <f t="shared" si="48"/>
        <v>0</v>
      </c>
      <c r="BI119" s="16">
        <f t="shared" si="49"/>
        <v>0</v>
      </c>
      <c r="BJ119" s="16">
        <f t="shared" si="50"/>
        <v>0</v>
      </c>
      <c r="BK119" s="16">
        <f t="shared" si="51"/>
        <v>0</v>
      </c>
      <c r="BL119" s="16">
        <f t="shared" si="52"/>
        <v>0</v>
      </c>
      <c r="BM119" s="16">
        <f t="shared" si="53"/>
        <v>0</v>
      </c>
      <c r="BN119" s="16">
        <f t="shared" si="54"/>
        <v>0</v>
      </c>
      <c r="BO119" s="16">
        <f t="shared" si="55"/>
        <v>0</v>
      </c>
      <c r="BP119" s="16">
        <f t="shared" si="56"/>
        <v>0</v>
      </c>
      <c r="BQ119" s="16">
        <f t="shared" si="57"/>
        <v>0</v>
      </c>
      <c r="BR119" s="16">
        <f t="shared" si="58"/>
        <v>0</v>
      </c>
      <c r="BS119" s="16">
        <f t="shared" si="59"/>
        <v>0</v>
      </c>
      <c r="BT119" s="22">
        <f t="shared" si="60"/>
        <v>0</v>
      </c>
    </row>
    <row r="120" spans="1:72" s="2167" customFormat="1" ht="12.75">
      <c r="A120" s="1274"/>
      <c r="B120" s="1274"/>
      <c r="C120" s="2153"/>
      <c r="D120" s="2954"/>
      <c r="E120" s="16">
        <f t="shared" si="61"/>
        <v>0</v>
      </c>
      <c r="F120" s="32"/>
      <c r="G120" s="33">
        <f t="shared" si="36"/>
        <v>0</v>
      </c>
      <c r="H120" s="20">
        <f t="shared" si="37"/>
        <v>0</v>
      </c>
      <c r="I120" s="2213"/>
      <c r="J120" s="2213"/>
      <c r="K120" s="2213"/>
      <c r="L120" s="2213"/>
      <c r="M120" s="2213"/>
      <c r="N120" s="2213"/>
      <c r="O120" s="2213"/>
      <c r="P120" s="2213"/>
      <c r="Q120" s="2213"/>
      <c r="R120" s="2213"/>
      <c r="S120" s="2213"/>
      <c r="T120" s="2213"/>
      <c r="U120" s="2213"/>
      <c r="V120" s="2213"/>
      <c r="W120" s="2213"/>
      <c r="X120" s="2213"/>
      <c r="Y120" s="2213"/>
      <c r="Z120" s="2213"/>
      <c r="AA120" s="2213"/>
      <c r="AB120" s="2213"/>
      <c r="AC120" s="16">
        <f t="shared" si="38"/>
        <v>0</v>
      </c>
      <c r="AD120" s="2214"/>
      <c r="AE120" s="2214"/>
      <c r="AF120" s="2214"/>
      <c r="AG120" s="2214"/>
      <c r="AH120" s="2214"/>
      <c r="AI120" s="2214"/>
      <c r="AJ120" s="2214"/>
      <c r="AK120" s="2214"/>
      <c r="AL120" s="2214"/>
      <c r="AM120" s="2214"/>
      <c r="AN120" s="2214"/>
      <c r="AO120" s="2214"/>
      <c r="AP120" s="2214"/>
      <c r="AQ120" s="2214"/>
      <c r="AR120" s="2214"/>
      <c r="AS120" s="2214"/>
      <c r="AT120" s="2215"/>
      <c r="AU120" s="2216"/>
      <c r="AV120" s="11">
        <f t="shared" si="62"/>
        <v>0</v>
      </c>
      <c r="AW120" s="11">
        <f t="shared" si="63"/>
        <v>0</v>
      </c>
      <c r="AX120" s="11">
        <f t="shared" si="64"/>
        <v>0</v>
      </c>
      <c r="AY120" s="2953">
        <f t="shared" si="39"/>
        <v>0</v>
      </c>
      <c r="AZ120" s="16">
        <f t="shared" si="40"/>
        <v>0</v>
      </c>
      <c r="BA120" s="16">
        <f t="shared" si="41"/>
        <v>0</v>
      </c>
      <c r="BB120" s="16">
        <f t="shared" si="42"/>
        <v>0</v>
      </c>
      <c r="BC120" s="16">
        <f t="shared" si="43"/>
        <v>0</v>
      </c>
      <c r="BD120" s="16">
        <f t="shared" si="44"/>
        <v>0</v>
      </c>
      <c r="BE120" s="16">
        <f t="shared" si="45"/>
        <v>0</v>
      </c>
      <c r="BF120" s="16">
        <f t="shared" si="46"/>
        <v>0</v>
      </c>
      <c r="BG120" s="16">
        <f t="shared" si="47"/>
        <v>0</v>
      </c>
      <c r="BH120" s="16">
        <f t="shared" si="48"/>
        <v>0</v>
      </c>
      <c r="BI120" s="16">
        <f t="shared" si="49"/>
        <v>0</v>
      </c>
      <c r="BJ120" s="16">
        <f t="shared" si="50"/>
        <v>0</v>
      </c>
      <c r="BK120" s="16">
        <f t="shared" si="51"/>
        <v>0</v>
      </c>
      <c r="BL120" s="16">
        <f t="shared" si="52"/>
        <v>0</v>
      </c>
      <c r="BM120" s="16">
        <f t="shared" si="53"/>
        <v>0</v>
      </c>
      <c r="BN120" s="16">
        <f t="shared" si="54"/>
        <v>0</v>
      </c>
      <c r="BO120" s="16">
        <f t="shared" si="55"/>
        <v>0</v>
      </c>
      <c r="BP120" s="16">
        <f t="shared" si="56"/>
        <v>0</v>
      </c>
      <c r="BQ120" s="16">
        <f t="shared" si="57"/>
        <v>0</v>
      </c>
      <c r="BR120" s="16">
        <f t="shared" si="58"/>
        <v>0</v>
      </c>
      <c r="BS120" s="16">
        <f t="shared" si="59"/>
        <v>0</v>
      </c>
      <c r="BT120" s="22">
        <f t="shared" si="60"/>
        <v>0</v>
      </c>
    </row>
    <row r="121" spans="1:72" s="2167" customFormat="1" ht="12.75">
      <c r="A121" s="1274"/>
      <c r="B121" s="1274"/>
      <c r="C121" s="2153"/>
      <c r="D121" s="2954"/>
      <c r="E121" s="16">
        <f t="shared" si="61"/>
        <v>0</v>
      </c>
      <c r="F121" s="32"/>
      <c r="G121" s="33">
        <f t="shared" si="36"/>
        <v>0</v>
      </c>
      <c r="H121" s="20">
        <f t="shared" si="37"/>
        <v>0</v>
      </c>
      <c r="I121" s="2213"/>
      <c r="J121" s="2213"/>
      <c r="K121" s="2213"/>
      <c r="L121" s="2213"/>
      <c r="M121" s="2213"/>
      <c r="N121" s="2213"/>
      <c r="O121" s="2213"/>
      <c r="P121" s="2213"/>
      <c r="Q121" s="2213"/>
      <c r="R121" s="2213"/>
      <c r="S121" s="2213"/>
      <c r="T121" s="2213"/>
      <c r="U121" s="2213"/>
      <c r="V121" s="2213"/>
      <c r="W121" s="2213"/>
      <c r="X121" s="2213"/>
      <c r="Y121" s="2213"/>
      <c r="Z121" s="2213"/>
      <c r="AA121" s="2213"/>
      <c r="AB121" s="2213"/>
      <c r="AC121" s="16">
        <f t="shared" si="38"/>
        <v>0</v>
      </c>
      <c r="AD121" s="2214"/>
      <c r="AE121" s="2214"/>
      <c r="AF121" s="2214"/>
      <c r="AG121" s="2214"/>
      <c r="AH121" s="2214"/>
      <c r="AI121" s="2214"/>
      <c r="AJ121" s="2214"/>
      <c r="AK121" s="2214"/>
      <c r="AL121" s="2214"/>
      <c r="AM121" s="2214"/>
      <c r="AN121" s="2214"/>
      <c r="AO121" s="2214"/>
      <c r="AP121" s="2214"/>
      <c r="AQ121" s="2214"/>
      <c r="AR121" s="2214"/>
      <c r="AS121" s="2214"/>
      <c r="AT121" s="2215"/>
      <c r="AU121" s="2216"/>
      <c r="AV121" s="11">
        <f t="shared" si="62"/>
        <v>0</v>
      </c>
      <c r="AW121" s="11">
        <f t="shared" si="63"/>
        <v>0</v>
      </c>
      <c r="AX121" s="11">
        <f t="shared" si="64"/>
        <v>0</v>
      </c>
      <c r="AY121" s="2953">
        <f t="shared" si="39"/>
        <v>0</v>
      </c>
      <c r="AZ121" s="16">
        <f t="shared" si="40"/>
        <v>0</v>
      </c>
      <c r="BA121" s="16">
        <f t="shared" si="41"/>
        <v>0</v>
      </c>
      <c r="BB121" s="16">
        <f t="shared" si="42"/>
        <v>0</v>
      </c>
      <c r="BC121" s="16">
        <f t="shared" si="43"/>
        <v>0</v>
      </c>
      <c r="BD121" s="16">
        <f t="shared" si="44"/>
        <v>0</v>
      </c>
      <c r="BE121" s="16">
        <f t="shared" si="45"/>
        <v>0</v>
      </c>
      <c r="BF121" s="16">
        <f t="shared" si="46"/>
        <v>0</v>
      </c>
      <c r="BG121" s="16">
        <f t="shared" si="47"/>
        <v>0</v>
      </c>
      <c r="BH121" s="16">
        <f t="shared" si="48"/>
        <v>0</v>
      </c>
      <c r="BI121" s="16">
        <f t="shared" si="49"/>
        <v>0</v>
      </c>
      <c r="BJ121" s="16">
        <f t="shared" si="50"/>
        <v>0</v>
      </c>
      <c r="BK121" s="16">
        <f t="shared" si="51"/>
        <v>0</v>
      </c>
      <c r="BL121" s="16">
        <f t="shared" si="52"/>
        <v>0</v>
      </c>
      <c r="BM121" s="16">
        <f t="shared" si="53"/>
        <v>0</v>
      </c>
      <c r="BN121" s="16">
        <f t="shared" si="54"/>
        <v>0</v>
      </c>
      <c r="BO121" s="16">
        <f t="shared" si="55"/>
        <v>0</v>
      </c>
      <c r="BP121" s="16">
        <f t="shared" si="56"/>
        <v>0</v>
      </c>
      <c r="BQ121" s="16">
        <f t="shared" si="57"/>
        <v>0</v>
      </c>
      <c r="BR121" s="16">
        <f t="shared" si="58"/>
        <v>0</v>
      </c>
      <c r="BS121" s="16">
        <f t="shared" si="59"/>
        <v>0</v>
      </c>
      <c r="BT121" s="22">
        <f t="shared" si="60"/>
        <v>0</v>
      </c>
    </row>
    <row r="122" spans="1:72" s="2167" customFormat="1" ht="12.75">
      <c r="A122" s="1274"/>
      <c r="B122" s="1274"/>
      <c r="C122" s="2153"/>
      <c r="D122" s="2954"/>
      <c r="E122" s="16">
        <f t="shared" si="61"/>
        <v>0</v>
      </c>
      <c r="F122" s="32"/>
      <c r="G122" s="33">
        <f t="shared" si="36"/>
        <v>0</v>
      </c>
      <c r="H122" s="20">
        <f t="shared" si="37"/>
        <v>0</v>
      </c>
      <c r="I122" s="2213"/>
      <c r="J122" s="2213"/>
      <c r="K122" s="2213"/>
      <c r="L122" s="2213"/>
      <c r="M122" s="2213"/>
      <c r="N122" s="2213"/>
      <c r="O122" s="2213"/>
      <c r="P122" s="2213"/>
      <c r="Q122" s="2213"/>
      <c r="R122" s="2213"/>
      <c r="S122" s="2213"/>
      <c r="T122" s="2213"/>
      <c r="U122" s="2213"/>
      <c r="V122" s="2213"/>
      <c r="W122" s="2213"/>
      <c r="X122" s="2213"/>
      <c r="Y122" s="2213"/>
      <c r="Z122" s="2213"/>
      <c r="AA122" s="2213"/>
      <c r="AB122" s="2213"/>
      <c r="AC122" s="16">
        <f t="shared" si="38"/>
        <v>0</v>
      </c>
      <c r="AD122" s="2214"/>
      <c r="AE122" s="2214"/>
      <c r="AF122" s="2214"/>
      <c r="AG122" s="2214"/>
      <c r="AH122" s="2214"/>
      <c r="AI122" s="2214"/>
      <c r="AJ122" s="2214"/>
      <c r="AK122" s="2214"/>
      <c r="AL122" s="2214"/>
      <c r="AM122" s="2214"/>
      <c r="AN122" s="2214"/>
      <c r="AO122" s="2214"/>
      <c r="AP122" s="2214"/>
      <c r="AQ122" s="2214"/>
      <c r="AR122" s="2214"/>
      <c r="AS122" s="2214"/>
      <c r="AT122" s="2215"/>
      <c r="AU122" s="2216"/>
      <c r="AV122" s="11">
        <f t="shared" si="62"/>
        <v>0</v>
      </c>
      <c r="AW122" s="11">
        <f t="shared" si="63"/>
        <v>0</v>
      </c>
      <c r="AX122" s="11">
        <f t="shared" si="64"/>
        <v>0</v>
      </c>
      <c r="AY122" s="2953">
        <f t="shared" si="39"/>
        <v>0</v>
      </c>
      <c r="AZ122" s="16">
        <f t="shared" si="40"/>
        <v>0</v>
      </c>
      <c r="BA122" s="16">
        <f t="shared" si="41"/>
        <v>0</v>
      </c>
      <c r="BB122" s="16">
        <f t="shared" si="42"/>
        <v>0</v>
      </c>
      <c r="BC122" s="16">
        <f t="shared" si="43"/>
        <v>0</v>
      </c>
      <c r="BD122" s="16">
        <f t="shared" si="44"/>
        <v>0</v>
      </c>
      <c r="BE122" s="16">
        <f t="shared" si="45"/>
        <v>0</v>
      </c>
      <c r="BF122" s="16">
        <f t="shared" si="46"/>
        <v>0</v>
      </c>
      <c r="BG122" s="16">
        <f t="shared" si="47"/>
        <v>0</v>
      </c>
      <c r="BH122" s="16">
        <f t="shared" si="48"/>
        <v>0</v>
      </c>
      <c r="BI122" s="16">
        <f t="shared" si="49"/>
        <v>0</v>
      </c>
      <c r="BJ122" s="16">
        <f t="shared" si="50"/>
        <v>0</v>
      </c>
      <c r="BK122" s="16">
        <f t="shared" si="51"/>
        <v>0</v>
      </c>
      <c r="BL122" s="16">
        <f t="shared" si="52"/>
        <v>0</v>
      </c>
      <c r="BM122" s="16">
        <f t="shared" si="53"/>
        <v>0</v>
      </c>
      <c r="BN122" s="16">
        <f t="shared" si="54"/>
        <v>0</v>
      </c>
      <c r="BO122" s="16">
        <f t="shared" si="55"/>
        <v>0</v>
      </c>
      <c r="BP122" s="16">
        <f t="shared" si="56"/>
        <v>0</v>
      </c>
      <c r="BQ122" s="16">
        <f t="shared" si="57"/>
        <v>0</v>
      </c>
      <c r="BR122" s="16">
        <f t="shared" si="58"/>
        <v>0</v>
      </c>
      <c r="BS122" s="16">
        <f t="shared" si="59"/>
        <v>0</v>
      </c>
      <c r="BT122" s="22">
        <f t="shared" si="60"/>
        <v>0</v>
      </c>
    </row>
    <row r="123" spans="1:72" s="2167" customFormat="1" ht="12.75">
      <c r="A123" s="1274"/>
      <c r="B123" s="1274"/>
      <c r="C123" s="2153"/>
      <c r="D123" s="2954"/>
      <c r="E123" s="16">
        <f t="shared" si="61"/>
        <v>0</v>
      </c>
      <c r="F123" s="32"/>
      <c r="G123" s="33">
        <f t="shared" si="36"/>
        <v>0</v>
      </c>
      <c r="H123" s="20">
        <f t="shared" si="37"/>
        <v>0</v>
      </c>
      <c r="I123" s="2213"/>
      <c r="J123" s="2213"/>
      <c r="K123" s="2213"/>
      <c r="L123" s="2213"/>
      <c r="M123" s="2213"/>
      <c r="N123" s="2213"/>
      <c r="O123" s="2213"/>
      <c r="P123" s="2213"/>
      <c r="Q123" s="2213"/>
      <c r="R123" s="2213"/>
      <c r="S123" s="2213"/>
      <c r="T123" s="2213"/>
      <c r="U123" s="2213"/>
      <c r="V123" s="2213"/>
      <c r="W123" s="2213"/>
      <c r="X123" s="2213"/>
      <c r="Y123" s="2213"/>
      <c r="Z123" s="2213"/>
      <c r="AA123" s="2213"/>
      <c r="AB123" s="2213"/>
      <c r="AC123" s="16">
        <f t="shared" si="38"/>
        <v>0</v>
      </c>
      <c r="AD123" s="2214"/>
      <c r="AE123" s="2214"/>
      <c r="AF123" s="2214"/>
      <c r="AG123" s="2214"/>
      <c r="AH123" s="2214"/>
      <c r="AI123" s="2214"/>
      <c r="AJ123" s="2214"/>
      <c r="AK123" s="2214"/>
      <c r="AL123" s="2214"/>
      <c r="AM123" s="2214"/>
      <c r="AN123" s="2214"/>
      <c r="AO123" s="2214"/>
      <c r="AP123" s="2214"/>
      <c r="AQ123" s="2214"/>
      <c r="AR123" s="2214"/>
      <c r="AS123" s="2214"/>
      <c r="AT123" s="2215"/>
      <c r="AU123" s="2216"/>
      <c r="AV123" s="11">
        <f t="shared" si="62"/>
        <v>0</v>
      </c>
      <c r="AW123" s="11">
        <f t="shared" si="63"/>
        <v>0</v>
      </c>
      <c r="AX123" s="11">
        <f t="shared" si="64"/>
        <v>0</v>
      </c>
      <c r="AY123" s="2953">
        <f t="shared" si="39"/>
        <v>0</v>
      </c>
      <c r="AZ123" s="16">
        <f t="shared" si="40"/>
        <v>0</v>
      </c>
      <c r="BA123" s="16">
        <f t="shared" si="41"/>
        <v>0</v>
      </c>
      <c r="BB123" s="16">
        <f t="shared" si="42"/>
        <v>0</v>
      </c>
      <c r="BC123" s="16">
        <f t="shared" si="43"/>
        <v>0</v>
      </c>
      <c r="BD123" s="16">
        <f t="shared" si="44"/>
        <v>0</v>
      </c>
      <c r="BE123" s="16">
        <f t="shared" si="45"/>
        <v>0</v>
      </c>
      <c r="BF123" s="16">
        <f t="shared" si="46"/>
        <v>0</v>
      </c>
      <c r="BG123" s="16">
        <f t="shared" si="47"/>
        <v>0</v>
      </c>
      <c r="BH123" s="16">
        <f t="shared" si="48"/>
        <v>0</v>
      </c>
      <c r="BI123" s="16">
        <f t="shared" si="49"/>
        <v>0</v>
      </c>
      <c r="BJ123" s="16">
        <f t="shared" si="50"/>
        <v>0</v>
      </c>
      <c r="BK123" s="16">
        <f t="shared" si="51"/>
        <v>0</v>
      </c>
      <c r="BL123" s="16">
        <f t="shared" si="52"/>
        <v>0</v>
      </c>
      <c r="BM123" s="16">
        <f t="shared" si="53"/>
        <v>0</v>
      </c>
      <c r="BN123" s="16">
        <f t="shared" si="54"/>
        <v>0</v>
      </c>
      <c r="BO123" s="16">
        <f t="shared" si="55"/>
        <v>0</v>
      </c>
      <c r="BP123" s="16">
        <f t="shared" si="56"/>
        <v>0</v>
      </c>
      <c r="BQ123" s="16">
        <f t="shared" si="57"/>
        <v>0</v>
      </c>
      <c r="BR123" s="16">
        <f t="shared" si="58"/>
        <v>0</v>
      </c>
      <c r="BS123" s="16">
        <f t="shared" si="59"/>
        <v>0</v>
      </c>
      <c r="BT123" s="22">
        <f t="shared" si="60"/>
        <v>0</v>
      </c>
    </row>
    <row r="124" spans="1:72" s="2167" customFormat="1" ht="12.75">
      <c r="A124" s="1274"/>
      <c r="B124" s="1274"/>
      <c r="C124" s="2153"/>
      <c r="D124" s="2954"/>
      <c r="E124" s="16">
        <f t="shared" si="61"/>
        <v>0</v>
      </c>
      <c r="F124" s="32"/>
      <c r="G124" s="33">
        <f t="shared" si="36"/>
        <v>0</v>
      </c>
      <c r="H124" s="20">
        <f t="shared" si="37"/>
        <v>0</v>
      </c>
      <c r="I124" s="2213"/>
      <c r="J124" s="2213"/>
      <c r="K124" s="2213"/>
      <c r="L124" s="2213"/>
      <c r="M124" s="2213"/>
      <c r="N124" s="2213"/>
      <c r="O124" s="2213"/>
      <c r="P124" s="2213"/>
      <c r="Q124" s="2213"/>
      <c r="R124" s="2213"/>
      <c r="S124" s="2213"/>
      <c r="T124" s="2213"/>
      <c r="U124" s="2213"/>
      <c r="V124" s="2213"/>
      <c r="W124" s="2213"/>
      <c r="X124" s="2213"/>
      <c r="Y124" s="2213"/>
      <c r="Z124" s="2213"/>
      <c r="AA124" s="2213"/>
      <c r="AB124" s="2213"/>
      <c r="AC124" s="16">
        <f t="shared" si="38"/>
        <v>0</v>
      </c>
      <c r="AD124" s="2214"/>
      <c r="AE124" s="2214"/>
      <c r="AF124" s="2214"/>
      <c r="AG124" s="2214"/>
      <c r="AH124" s="2214"/>
      <c r="AI124" s="2214"/>
      <c r="AJ124" s="2214"/>
      <c r="AK124" s="2214"/>
      <c r="AL124" s="2214"/>
      <c r="AM124" s="2214"/>
      <c r="AN124" s="2214"/>
      <c r="AO124" s="2214"/>
      <c r="AP124" s="2214"/>
      <c r="AQ124" s="2214"/>
      <c r="AR124" s="2214"/>
      <c r="AS124" s="2214"/>
      <c r="AT124" s="2215"/>
      <c r="AU124" s="2216"/>
      <c r="AV124" s="11">
        <f t="shared" si="62"/>
        <v>0</v>
      </c>
      <c r="AW124" s="11">
        <f t="shared" si="63"/>
        <v>0</v>
      </c>
      <c r="AX124" s="11">
        <f t="shared" si="64"/>
        <v>0</v>
      </c>
      <c r="AY124" s="2953">
        <f t="shared" si="39"/>
        <v>0</v>
      </c>
      <c r="AZ124" s="16">
        <f t="shared" si="40"/>
        <v>0</v>
      </c>
      <c r="BA124" s="16">
        <f t="shared" si="41"/>
        <v>0</v>
      </c>
      <c r="BB124" s="16">
        <f t="shared" si="42"/>
        <v>0</v>
      </c>
      <c r="BC124" s="16">
        <f t="shared" si="43"/>
        <v>0</v>
      </c>
      <c r="BD124" s="16">
        <f t="shared" si="44"/>
        <v>0</v>
      </c>
      <c r="BE124" s="16">
        <f t="shared" si="45"/>
        <v>0</v>
      </c>
      <c r="BF124" s="16">
        <f t="shared" si="46"/>
        <v>0</v>
      </c>
      <c r="BG124" s="16">
        <f t="shared" si="47"/>
        <v>0</v>
      </c>
      <c r="BH124" s="16">
        <f t="shared" si="48"/>
        <v>0</v>
      </c>
      <c r="BI124" s="16">
        <f t="shared" si="49"/>
        <v>0</v>
      </c>
      <c r="BJ124" s="16">
        <f t="shared" si="50"/>
        <v>0</v>
      </c>
      <c r="BK124" s="16">
        <f t="shared" si="51"/>
        <v>0</v>
      </c>
      <c r="BL124" s="16">
        <f t="shared" si="52"/>
        <v>0</v>
      </c>
      <c r="BM124" s="16">
        <f t="shared" si="53"/>
        <v>0</v>
      </c>
      <c r="BN124" s="16">
        <f t="shared" si="54"/>
        <v>0</v>
      </c>
      <c r="BO124" s="16">
        <f t="shared" si="55"/>
        <v>0</v>
      </c>
      <c r="BP124" s="16">
        <f t="shared" si="56"/>
        <v>0</v>
      </c>
      <c r="BQ124" s="16">
        <f t="shared" si="57"/>
        <v>0</v>
      </c>
      <c r="BR124" s="16">
        <f t="shared" si="58"/>
        <v>0</v>
      </c>
      <c r="BS124" s="16">
        <f t="shared" si="59"/>
        <v>0</v>
      </c>
      <c r="BT124" s="22">
        <f t="shared" si="60"/>
        <v>0</v>
      </c>
    </row>
    <row r="125" spans="1:72" s="2167" customFormat="1" ht="12.75">
      <c r="A125" s="1274"/>
      <c r="B125" s="1274"/>
      <c r="C125" s="2153"/>
      <c r="D125" s="2954"/>
      <c r="E125" s="16">
        <f t="shared" si="61"/>
        <v>0</v>
      </c>
      <c r="F125" s="32"/>
      <c r="G125" s="33">
        <f t="shared" si="36"/>
        <v>0</v>
      </c>
      <c r="H125" s="20">
        <f t="shared" si="37"/>
        <v>0</v>
      </c>
      <c r="I125" s="2213"/>
      <c r="J125" s="2213"/>
      <c r="K125" s="2213"/>
      <c r="L125" s="2213"/>
      <c r="M125" s="2213"/>
      <c r="N125" s="2213"/>
      <c r="O125" s="2213"/>
      <c r="P125" s="2213"/>
      <c r="Q125" s="2213"/>
      <c r="R125" s="2213"/>
      <c r="S125" s="2213"/>
      <c r="T125" s="2213"/>
      <c r="U125" s="2213"/>
      <c r="V125" s="2213"/>
      <c r="W125" s="2213"/>
      <c r="X125" s="2213"/>
      <c r="Y125" s="2213"/>
      <c r="Z125" s="2213"/>
      <c r="AA125" s="2213"/>
      <c r="AB125" s="2213"/>
      <c r="AC125" s="16">
        <f t="shared" si="38"/>
        <v>0</v>
      </c>
      <c r="AD125" s="2214"/>
      <c r="AE125" s="2214"/>
      <c r="AF125" s="2214"/>
      <c r="AG125" s="2214"/>
      <c r="AH125" s="2214"/>
      <c r="AI125" s="2214"/>
      <c r="AJ125" s="2214"/>
      <c r="AK125" s="2214"/>
      <c r="AL125" s="2214"/>
      <c r="AM125" s="2214"/>
      <c r="AN125" s="2214"/>
      <c r="AO125" s="2214"/>
      <c r="AP125" s="2214"/>
      <c r="AQ125" s="2214"/>
      <c r="AR125" s="2214"/>
      <c r="AS125" s="2214"/>
      <c r="AT125" s="2215"/>
      <c r="AU125" s="2216"/>
      <c r="AV125" s="11">
        <f t="shared" si="62"/>
        <v>0</v>
      </c>
      <c r="AW125" s="11">
        <f t="shared" si="63"/>
        <v>0</v>
      </c>
      <c r="AX125" s="11">
        <f t="shared" si="64"/>
        <v>0</v>
      </c>
      <c r="AY125" s="2953">
        <f t="shared" si="39"/>
        <v>0</v>
      </c>
      <c r="AZ125" s="16">
        <f t="shared" si="40"/>
        <v>0</v>
      </c>
      <c r="BA125" s="16">
        <f t="shared" si="41"/>
        <v>0</v>
      </c>
      <c r="BB125" s="16">
        <f t="shared" si="42"/>
        <v>0</v>
      </c>
      <c r="BC125" s="16">
        <f t="shared" si="43"/>
        <v>0</v>
      </c>
      <c r="BD125" s="16">
        <f t="shared" si="44"/>
        <v>0</v>
      </c>
      <c r="BE125" s="16">
        <f t="shared" si="45"/>
        <v>0</v>
      </c>
      <c r="BF125" s="16">
        <f t="shared" si="46"/>
        <v>0</v>
      </c>
      <c r="BG125" s="16">
        <f t="shared" si="47"/>
        <v>0</v>
      </c>
      <c r="BH125" s="16">
        <f t="shared" si="48"/>
        <v>0</v>
      </c>
      <c r="BI125" s="16">
        <f t="shared" si="49"/>
        <v>0</v>
      </c>
      <c r="BJ125" s="16">
        <f t="shared" si="50"/>
        <v>0</v>
      </c>
      <c r="BK125" s="16">
        <f t="shared" si="51"/>
        <v>0</v>
      </c>
      <c r="BL125" s="16">
        <f t="shared" si="52"/>
        <v>0</v>
      </c>
      <c r="BM125" s="16">
        <f t="shared" si="53"/>
        <v>0</v>
      </c>
      <c r="BN125" s="16">
        <f t="shared" si="54"/>
        <v>0</v>
      </c>
      <c r="BO125" s="16">
        <f t="shared" si="55"/>
        <v>0</v>
      </c>
      <c r="BP125" s="16">
        <f t="shared" si="56"/>
        <v>0</v>
      </c>
      <c r="BQ125" s="16">
        <f t="shared" si="57"/>
        <v>0</v>
      </c>
      <c r="BR125" s="16">
        <f t="shared" si="58"/>
        <v>0</v>
      </c>
      <c r="BS125" s="16">
        <f t="shared" si="59"/>
        <v>0</v>
      </c>
      <c r="BT125" s="22">
        <f t="shared" si="60"/>
        <v>0</v>
      </c>
    </row>
    <row r="126" spans="1:72" s="2167" customFormat="1" ht="12.75">
      <c r="A126" s="1274"/>
      <c r="B126" s="1274"/>
      <c r="C126" s="2153"/>
      <c r="D126" s="2954"/>
      <c r="E126" s="16">
        <f t="shared" si="61"/>
        <v>0</v>
      </c>
      <c r="F126" s="32"/>
      <c r="G126" s="33">
        <f t="shared" si="36"/>
        <v>0</v>
      </c>
      <c r="H126" s="20">
        <f t="shared" si="37"/>
        <v>0</v>
      </c>
      <c r="I126" s="2213"/>
      <c r="J126" s="2213"/>
      <c r="K126" s="2213"/>
      <c r="L126" s="2213"/>
      <c r="M126" s="2213"/>
      <c r="N126" s="2213"/>
      <c r="O126" s="2213"/>
      <c r="P126" s="2213"/>
      <c r="Q126" s="2213"/>
      <c r="R126" s="2213"/>
      <c r="S126" s="2213"/>
      <c r="T126" s="2213"/>
      <c r="U126" s="2213"/>
      <c r="V126" s="2213"/>
      <c r="W126" s="2213"/>
      <c r="X126" s="2213"/>
      <c r="Y126" s="2213"/>
      <c r="Z126" s="2213"/>
      <c r="AA126" s="2213"/>
      <c r="AB126" s="2213"/>
      <c r="AC126" s="16">
        <f t="shared" si="38"/>
        <v>0</v>
      </c>
      <c r="AD126" s="2214"/>
      <c r="AE126" s="2214"/>
      <c r="AF126" s="2214"/>
      <c r="AG126" s="2214"/>
      <c r="AH126" s="2214"/>
      <c r="AI126" s="2214"/>
      <c r="AJ126" s="2214"/>
      <c r="AK126" s="2214"/>
      <c r="AL126" s="2214"/>
      <c r="AM126" s="2214"/>
      <c r="AN126" s="2214"/>
      <c r="AO126" s="2214"/>
      <c r="AP126" s="2214"/>
      <c r="AQ126" s="2214"/>
      <c r="AR126" s="2214"/>
      <c r="AS126" s="2214"/>
      <c r="AT126" s="2215"/>
      <c r="AU126" s="2216"/>
      <c r="AV126" s="11">
        <f t="shared" si="62"/>
        <v>0</v>
      </c>
      <c r="AW126" s="11">
        <f t="shared" si="63"/>
        <v>0</v>
      </c>
      <c r="AX126" s="11">
        <f t="shared" si="64"/>
        <v>0</v>
      </c>
      <c r="AY126" s="2953">
        <f t="shared" si="39"/>
        <v>0</v>
      </c>
      <c r="AZ126" s="16">
        <f t="shared" si="40"/>
        <v>0</v>
      </c>
      <c r="BA126" s="16">
        <f t="shared" si="41"/>
        <v>0</v>
      </c>
      <c r="BB126" s="16">
        <f t="shared" si="42"/>
        <v>0</v>
      </c>
      <c r="BC126" s="16">
        <f t="shared" si="43"/>
        <v>0</v>
      </c>
      <c r="BD126" s="16">
        <f t="shared" si="44"/>
        <v>0</v>
      </c>
      <c r="BE126" s="16">
        <f t="shared" si="45"/>
        <v>0</v>
      </c>
      <c r="BF126" s="16">
        <f t="shared" si="46"/>
        <v>0</v>
      </c>
      <c r="BG126" s="16">
        <f t="shared" si="47"/>
        <v>0</v>
      </c>
      <c r="BH126" s="16">
        <f t="shared" si="48"/>
        <v>0</v>
      </c>
      <c r="BI126" s="16">
        <f t="shared" si="49"/>
        <v>0</v>
      </c>
      <c r="BJ126" s="16">
        <f t="shared" si="50"/>
        <v>0</v>
      </c>
      <c r="BK126" s="16">
        <f t="shared" si="51"/>
        <v>0</v>
      </c>
      <c r="BL126" s="16">
        <f t="shared" si="52"/>
        <v>0</v>
      </c>
      <c r="BM126" s="16">
        <f t="shared" si="53"/>
        <v>0</v>
      </c>
      <c r="BN126" s="16">
        <f t="shared" si="54"/>
        <v>0</v>
      </c>
      <c r="BO126" s="16">
        <f t="shared" si="55"/>
        <v>0</v>
      </c>
      <c r="BP126" s="16">
        <f t="shared" si="56"/>
        <v>0</v>
      </c>
      <c r="BQ126" s="16">
        <f t="shared" si="57"/>
        <v>0</v>
      </c>
      <c r="BR126" s="16">
        <f t="shared" si="58"/>
        <v>0</v>
      </c>
      <c r="BS126" s="16">
        <f t="shared" si="59"/>
        <v>0</v>
      </c>
      <c r="BT126" s="22">
        <f t="shared" si="60"/>
        <v>0</v>
      </c>
    </row>
    <row r="127" spans="1:72" s="2167" customFormat="1" ht="12.75">
      <c r="A127" s="1274"/>
      <c r="B127" s="1274"/>
      <c r="C127" s="2153"/>
      <c r="D127" s="2954"/>
      <c r="E127" s="16">
        <f t="shared" si="61"/>
        <v>0</v>
      </c>
      <c r="F127" s="32"/>
      <c r="G127" s="33">
        <f t="shared" si="36"/>
        <v>0</v>
      </c>
      <c r="H127" s="20">
        <f t="shared" si="37"/>
        <v>0</v>
      </c>
      <c r="I127" s="2213"/>
      <c r="J127" s="2213"/>
      <c r="K127" s="2213"/>
      <c r="L127" s="2213"/>
      <c r="M127" s="2213"/>
      <c r="N127" s="2213"/>
      <c r="O127" s="2213"/>
      <c r="P127" s="2213"/>
      <c r="Q127" s="2213"/>
      <c r="R127" s="2213"/>
      <c r="S127" s="2213"/>
      <c r="T127" s="2213"/>
      <c r="U127" s="2213"/>
      <c r="V127" s="2213"/>
      <c r="W127" s="2213"/>
      <c r="X127" s="2213"/>
      <c r="Y127" s="2213"/>
      <c r="Z127" s="2213"/>
      <c r="AA127" s="2213"/>
      <c r="AB127" s="2213"/>
      <c r="AC127" s="16">
        <f t="shared" si="38"/>
        <v>0</v>
      </c>
      <c r="AD127" s="2214"/>
      <c r="AE127" s="2214"/>
      <c r="AF127" s="2214"/>
      <c r="AG127" s="2214"/>
      <c r="AH127" s="2214"/>
      <c r="AI127" s="2214"/>
      <c r="AJ127" s="2214"/>
      <c r="AK127" s="2214"/>
      <c r="AL127" s="2214"/>
      <c r="AM127" s="2214"/>
      <c r="AN127" s="2214"/>
      <c r="AO127" s="2214"/>
      <c r="AP127" s="2214"/>
      <c r="AQ127" s="2214"/>
      <c r="AR127" s="2214"/>
      <c r="AS127" s="2214"/>
      <c r="AT127" s="2215"/>
      <c r="AU127" s="2216"/>
      <c r="AV127" s="11">
        <f t="shared" si="62"/>
        <v>0</v>
      </c>
      <c r="AW127" s="11">
        <f t="shared" si="63"/>
        <v>0</v>
      </c>
      <c r="AX127" s="11">
        <f t="shared" si="64"/>
        <v>0</v>
      </c>
      <c r="AY127" s="2953">
        <f t="shared" si="39"/>
        <v>0</v>
      </c>
      <c r="AZ127" s="16">
        <f t="shared" si="40"/>
        <v>0</v>
      </c>
      <c r="BA127" s="16">
        <f t="shared" si="41"/>
        <v>0</v>
      </c>
      <c r="BB127" s="16">
        <f t="shared" si="42"/>
        <v>0</v>
      </c>
      <c r="BC127" s="16">
        <f t="shared" si="43"/>
        <v>0</v>
      </c>
      <c r="BD127" s="16">
        <f t="shared" si="44"/>
        <v>0</v>
      </c>
      <c r="BE127" s="16">
        <f t="shared" si="45"/>
        <v>0</v>
      </c>
      <c r="BF127" s="16">
        <f t="shared" si="46"/>
        <v>0</v>
      </c>
      <c r="BG127" s="16">
        <f t="shared" si="47"/>
        <v>0</v>
      </c>
      <c r="BH127" s="16">
        <f t="shared" si="48"/>
        <v>0</v>
      </c>
      <c r="BI127" s="16">
        <f t="shared" si="49"/>
        <v>0</v>
      </c>
      <c r="BJ127" s="16">
        <f t="shared" si="50"/>
        <v>0</v>
      </c>
      <c r="BK127" s="16">
        <f t="shared" si="51"/>
        <v>0</v>
      </c>
      <c r="BL127" s="16">
        <f t="shared" si="52"/>
        <v>0</v>
      </c>
      <c r="BM127" s="16">
        <f t="shared" si="53"/>
        <v>0</v>
      </c>
      <c r="BN127" s="16">
        <f t="shared" si="54"/>
        <v>0</v>
      </c>
      <c r="BO127" s="16">
        <f t="shared" si="55"/>
        <v>0</v>
      </c>
      <c r="BP127" s="16">
        <f t="shared" si="56"/>
        <v>0</v>
      </c>
      <c r="BQ127" s="16">
        <f t="shared" si="57"/>
        <v>0</v>
      </c>
      <c r="BR127" s="16">
        <f t="shared" si="58"/>
        <v>0</v>
      </c>
      <c r="BS127" s="16">
        <f t="shared" si="59"/>
        <v>0</v>
      </c>
      <c r="BT127" s="22">
        <f t="shared" si="60"/>
        <v>0</v>
      </c>
    </row>
    <row r="128" spans="1:72" s="2167" customFormat="1" ht="12.75">
      <c r="A128" s="1274"/>
      <c r="B128" s="1274"/>
      <c r="C128" s="2153"/>
      <c r="D128" s="2954"/>
      <c r="E128" s="16">
        <f t="shared" si="61"/>
        <v>0</v>
      </c>
      <c r="F128" s="32"/>
      <c r="G128" s="33">
        <f t="shared" si="36"/>
        <v>0</v>
      </c>
      <c r="H128" s="20">
        <f t="shared" si="37"/>
        <v>0</v>
      </c>
      <c r="I128" s="2213"/>
      <c r="J128" s="2213"/>
      <c r="K128" s="2213"/>
      <c r="L128" s="2213"/>
      <c r="M128" s="2213"/>
      <c r="N128" s="2213"/>
      <c r="O128" s="2213"/>
      <c r="P128" s="2213"/>
      <c r="Q128" s="2213"/>
      <c r="R128" s="2213"/>
      <c r="S128" s="2213"/>
      <c r="T128" s="2213"/>
      <c r="U128" s="2213"/>
      <c r="V128" s="2213"/>
      <c r="W128" s="2213"/>
      <c r="X128" s="2213"/>
      <c r="Y128" s="2213"/>
      <c r="Z128" s="2213"/>
      <c r="AA128" s="2213"/>
      <c r="AB128" s="2213"/>
      <c r="AC128" s="16">
        <f t="shared" si="38"/>
        <v>0</v>
      </c>
      <c r="AD128" s="2214"/>
      <c r="AE128" s="2214"/>
      <c r="AF128" s="2214"/>
      <c r="AG128" s="2214"/>
      <c r="AH128" s="2214"/>
      <c r="AI128" s="2214"/>
      <c r="AJ128" s="2214"/>
      <c r="AK128" s="2214"/>
      <c r="AL128" s="2214"/>
      <c r="AM128" s="2214"/>
      <c r="AN128" s="2214"/>
      <c r="AO128" s="2214"/>
      <c r="AP128" s="2214"/>
      <c r="AQ128" s="2214"/>
      <c r="AR128" s="2214"/>
      <c r="AS128" s="2214"/>
      <c r="AT128" s="2215"/>
      <c r="AU128" s="2216"/>
      <c r="AV128" s="11">
        <f t="shared" si="62"/>
        <v>0</v>
      </c>
      <c r="AW128" s="11">
        <f t="shared" si="63"/>
        <v>0</v>
      </c>
      <c r="AX128" s="11">
        <f t="shared" si="64"/>
        <v>0</v>
      </c>
      <c r="AY128" s="2953">
        <f t="shared" si="39"/>
        <v>0</v>
      </c>
      <c r="AZ128" s="16">
        <f t="shared" si="40"/>
        <v>0</v>
      </c>
      <c r="BA128" s="16">
        <f t="shared" si="41"/>
        <v>0</v>
      </c>
      <c r="BB128" s="16">
        <f t="shared" si="42"/>
        <v>0</v>
      </c>
      <c r="BC128" s="16">
        <f t="shared" si="43"/>
        <v>0</v>
      </c>
      <c r="BD128" s="16">
        <f t="shared" si="44"/>
        <v>0</v>
      </c>
      <c r="BE128" s="16">
        <f t="shared" si="45"/>
        <v>0</v>
      </c>
      <c r="BF128" s="16">
        <f t="shared" si="46"/>
        <v>0</v>
      </c>
      <c r="BG128" s="16">
        <f t="shared" si="47"/>
        <v>0</v>
      </c>
      <c r="BH128" s="16">
        <f t="shared" si="48"/>
        <v>0</v>
      </c>
      <c r="BI128" s="16">
        <f t="shared" si="49"/>
        <v>0</v>
      </c>
      <c r="BJ128" s="16">
        <f t="shared" si="50"/>
        <v>0</v>
      </c>
      <c r="BK128" s="16">
        <f t="shared" si="51"/>
        <v>0</v>
      </c>
      <c r="BL128" s="16">
        <f t="shared" si="52"/>
        <v>0</v>
      </c>
      <c r="BM128" s="16">
        <f t="shared" si="53"/>
        <v>0</v>
      </c>
      <c r="BN128" s="16">
        <f t="shared" si="54"/>
        <v>0</v>
      </c>
      <c r="BO128" s="16">
        <f t="shared" si="55"/>
        <v>0</v>
      </c>
      <c r="BP128" s="16">
        <f t="shared" si="56"/>
        <v>0</v>
      </c>
      <c r="BQ128" s="16">
        <f t="shared" si="57"/>
        <v>0</v>
      </c>
      <c r="BR128" s="16">
        <f t="shared" si="58"/>
        <v>0</v>
      </c>
      <c r="BS128" s="16">
        <f t="shared" si="59"/>
        <v>0</v>
      </c>
      <c r="BT128" s="22">
        <f t="shared" si="60"/>
        <v>0</v>
      </c>
    </row>
    <row r="129" spans="1:72" s="2167" customFormat="1" ht="12.75">
      <c r="A129" s="1274"/>
      <c r="B129" s="1274"/>
      <c r="C129" s="2153"/>
      <c r="D129" s="2954"/>
      <c r="E129" s="16">
        <f t="shared" si="61"/>
        <v>0</v>
      </c>
      <c r="F129" s="32"/>
      <c r="G129" s="33">
        <f t="shared" si="36"/>
        <v>0</v>
      </c>
      <c r="H129" s="20">
        <f t="shared" si="37"/>
        <v>0</v>
      </c>
      <c r="I129" s="2213"/>
      <c r="J129" s="2213"/>
      <c r="K129" s="2213"/>
      <c r="L129" s="2213"/>
      <c r="M129" s="2213"/>
      <c r="N129" s="2213"/>
      <c r="O129" s="2213"/>
      <c r="P129" s="2213"/>
      <c r="Q129" s="2213"/>
      <c r="R129" s="2213"/>
      <c r="S129" s="2213"/>
      <c r="T129" s="2213"/>
      <c r="U129" s="2213"/>
      <c r="V129" s="2213"/>
      <c r="W129" s="2213"/>
      <c r="X129" s="2213"/>
      <c r="Y129" s="2213"/>
      <c r="Z129" s="2213"/>
      <c r="AA129" s="2213"/>
      <c r="AB129" s="2213"/>
      <c r="AC129" s="16">
        <f t="shared" si="38"/>
        <v>0</v>
      </c>
      <c r="AD129" s="2214"/>
      <c r="AE129" s="2214"/>
      <c r="AF129" s="2214"/>
      <c r="AG129" s="2214"/>
      <c r="AH129" s="2214"/>
      <c r="AI129" s="2214"/>
      <c r="AJ129" s="2214"/>
      <c r="AK129" s="2214"/>
      <c r="AL129" s="2214"/>
      <c r="AM129" s="2214"/>
      <c r="AN129" s="2214"/>
      <c r="AO129" s="2214"/>
      <c r="AP129" s="2214"/>
      <c r="AQ129" s="2214"/>
      <c r="AR129" s="2214"/>
      <c r="AS129" s="2214"/>
      <c r="AT129" s="2215"/>
      <c r="AU129" s="2216"/>
      <c r="AV129" s="11">
        <f t="shared" si="62"/>
        <v>0</v>
      </c>
      <c r="AW129" s="11">
        <f t="shared" si="63"/>
        <v>0</v>
      </c>
      <c r="AX129" s="11">
        <f t="shared" si="64"/>
        <v>0</v>
      </c>
      <c r="AY129" s="2953">
        <f t="shared" si="39"/>
        <v>0</v>
      </c>
      <c r="AZ129" s="16">
        <f t="shared" si="40"/>
        <v>0</v>
      </c>
      <c r="BA129" s="16">
        <f t="shared" si="41"/>
        <v>0</v>
      </c>
      <c r="BB129" s="16">
        <f t="shared" si="42"/>
        <v>0</v>
      </c>
      <c r="BC129" s="16">
        <f t="shared" si="43"/>
        <v>0</v>
      </c>
      <c r="BD129" s="16">
        <f t="shared" si="44"/>
        <v>0</v>
      </c>
      <c r="BE129" s="16">
        <f t="shared" si="45"/>
        <v>0</v>
      </c>
      <c r="BF129" s="16">
        <f t="shared" si="46"/>
        <v>0</v>
      </c>
      <c r="BG129" s="16">
        <f t="shared" si="47"/>
        <v>0</v>
      </c>
      <c r="BH129" s="16">
        <f t="shared" si="48"/>
        <v>0</v>
      </c>
      <c r="BI129" s="16">
        <f t="shared" si="49"/>
        <v>0</v>
      </c>
      <c r="BJ129" s="16">
        <f t="shared" si="50"/>
        <v>0</v>
      </c>
      <c r="BK129" s="16">
        <f t="shared" si="51"/>
        <v>0</v>
      </c>
      <c r="BL129" s="16">
        <f t="shared" si="52"/>
        <v>0</v>
      </c>
      <c r="BM129" s="16">
        <f t="shared" si="53"/>
        <v>0</v>
      </c>
      <c r="BN129" s="16">
        <f t="shared" si="54"/>
        <v>0</v>
      </c>
      <c r="BO129" s="16">
        <f t="shared" si="55"/>
        <v>0</v>
      </c>
      <c r="BP129" s="16">
        <f t="shared" si="56"/>
        <v>0</v>
      </c>
      <c r="BQ129" s="16">
        <f t="shared" si="57"/>
        <v>0</v>
      </c>
      <c r="BR129" s="16">
        <f t="shared" si="58"/>
        <v>0</v>
      </c>
      <c r="BS129" s="16">
        <f t="shared" si="59"/>
        <v>0</v>
      </c>
      <c r="BT129" s="22">
        <f t="shared" si="60"/>
        <v>0</v>
      </c>
    </row>
    <row r="130" spans="1:72" s="2167" customFormat="1" ht="12.75">
      <c r="A130" s="1274"/>
      <c r="B130" s="1274"/>
      <c r="C130" s="2153"/>
      <c r="D130" s="2954"/>
      <c r="E130" s="16">
        <f t="shared" si="61"/>
        <v>0</v>
      </c>
      <c r="F130" s="32"/>
      <c r="G130" s="33">
        <f t="shared" si="36"/>
        <v>0</v>
      </c>
      <c r="H130" s="20">
        <f t="shared" si="37"/>
        <v>0</v>
      </c>
      <c r="I130" s="2213"/>
      <c r="J130" s="2213"/>
      <c r="K130" s="2213"/>
      <c r="L130" s="2213"/>
      <c r="M130" s="2213"/>
      <c r="N130" s="2213"/>
      <c r="O130" s="2213"/>
      <c r="P130" s="2213"/>
      <c r="Q130" s="2213"/>
      <c r="R130" s="2213"/>
      <c r="S130" s="2213"/>
      <c r="T130" s="2213"/>
      <c r="U130" s="2213"/>
      <c r="V130" s="2213"/>
      <c r="W130" s="2213"/>
      <c r="X130" s="2213"/>
      <c r="Y130" s="2213"/>
      <c r="Z130" s="2213"/>
      <c r="AA130" s="2213"/>
      <c r="AB130" s="2213"/>
      <c r="AC130" s="16">
        <f t="shared" si="38"/>
        <v>0</v>
      </c>
      <c r="AD130" s="2214"/>
      <c r="AE130" s="2214"/>
      <c r="AF130" s="2214"/>
      <c r="AG130" s="2214"/>
      <c r="AH130" s="2214"/>
      <c r="AI130" s="2214"/>
      <c r="AJ130" s="2214"/>
      <c r="AK130" s="2214"/>
      <c r="AL130" s="2214"/>
      <c r="AM130" s="2214"/>
      <c r="AN130" s="2214"/>
      <c r="AO130" s="2214"/>
      <c r="AP130" s="2214"/>
      <c r="AQ130" s="2214"/>
      <c r="AR130" s="2214"/>
      <c r="AS130" s="2214"/>
      <c r="AT130" s="2215"/>
      <c r="AU130" s="2216"/>
      <c r="AV130" s="11">
        <f t="shared" si="62"/>
        <v>0</v>
      </c>
      <c r="AW130" s="11">
        <f t="shared" si="63"/>
        <v>0</v>
      </c>
      <c r="AX130" s="11">
        <f t="shared" si="64"/>
        <v>0</v>
      </c>
      <c r="AY130" s="2953">
        <f t="shared" si="39"/>
        <v>0</v>
      </c>
      <c r="AZ130" s="16">
        <f t="shared" si="40"/>
        <v>0</v>
      </c>
      <c r="BA130" s="16">
        <f t="shared" si="41"/>
        <v>0</v>
      </c>
      <c r="BB130" s="16">
        <f t="shared" si="42"/>
        <v>0</v>
      </c>
      <c r="BC130" s="16">
        <f t="shared" si="43"/>
        <v>0</v>
      </c>
      <c r="BD130" s="16">
        <f t="shared" si="44"/>
        <v>0</v>
      </c>
      <c r="BE130" s="16">
        <f t="shared" si="45"/>
        <v>0</v>
      </c>
      <c r="BF130" s="16">
        <f t="shared" si="46"/>
        <v>0</v>
      </c>
      <c r="BG130" s="16">
        <f t="shared" si="47"/>
        <v>0</v>
      </c>
      <c r="BH130" s="16">
        <f t="shared" si="48"/>
        <v>0</v>
      </c>
      <c r="BI130" s="16">
        <f t="shared" si="49"/>
        <v>0</v>
      </c>
      <c r="BJ130" s="16">
        <f t="shared" si="50"/>
        <v>0</v>
      </c>
      <c r="BK130" s="16">
        <f t="shared" si="51"/>
        <v>0</v>
      </c>
      <c r="BL130" s="16">
        <f t="shared" si="52"/>
        <v>0</v>
      </c>
      <c r="BM130" s="16">
        <f t="shared" si="53"/>
        <v>0</v>
      </c>
      <c r="BN130" s="16">
        <f t="shared" si="54"/>
        <v>0</v>
      </c>
      <c r="BO130" s="16">
        <f t="shared" si="55"/>
        <v>0</v>
      </c>
      <c r="BP130" s="16">
        <f t="shared" si="56"/>
        <v>0</v>
      </c>
      <c r="BQ130" s="16">
        <f t="shared" si="57"/>
        <v>0</v>
      </c>
      <c r="BR130" s="16">
        <f t="shared" si="58"/>
        <v>0</v>
      </c>
      <c r="BS130" s="16">
        <f t="shared" si="59"/>
        <v>0</v>
      </c>
      <c r="BT130" s="22">
        <f t="shared" si="60"/>
        <v>0</v>
      </c>
    </row>
    <row r="131" spans="1:72" s="2167" customFormat="1" ht="12.75">
      <c r="A131" s="1274"/>
      <c r="B131" s="1274"/>
      <c r="C131" s="2153"/>
      <c r="D131" s="2954"/>
      <c r="E131" s="16">
        <f t="shared" si="61"/>
        <v>0</v>
      </c>
      <c r="F131" s="32"/>
      <c r="G131" s="33">
        <f t="shared" si="36"/>
        <v>0</v>
      </c>
      <c r="H131" s="20">
        <f t="shared" si="37"/>
        <v>0</v>
      </c>
      <c r="I131" s="2213"/>
      <c r="J131" s="2213"/>
      <c r="K131" s="2213"/>
      <c r="L131" s="2213"/>
      <c r="M131" s="2213"/>
      <c r="N131" s="2213"/>
      <c r="O131" s="2213"/>
      <c r="P131" s="2213"/>
      <c r="Q131" s="2213"/>
      <c r="R131" s="2213"/>
      <c r="S131" s="2213"/>
      <c r="T131" s="2213"/>
      <c r="U131" s="2213"/>
      <c r="V131" s="2213"/>
      <c r="W131" s="2213"/>
      <c r="X131" s="2213"/>
      <c r="Y131" s="2213"/>
      <c r="Z131" s="2213"/>
      <c r="AA131" s="2213"/>
      <c r="AB131" s="2213"/>
      <c r="AC131" s="16">
        <f t="shared" si="38"/>
        <v>0</v>
      </c>
      <c r="AD131" s="2214"/>
      <c r="AE131" s="2214"/>
      <c r="AF131" s="2214"/>
      <c r="AG131" s="2214"/>
      <c r="AH131" s="2214"/>
      <c r="AI131" s="2214"/>
      <c r="AJ131" s="2214"/>
      <c r="AK131" s="2214"/>
      <c r="AL131" s="2214"/>
      <c r="AM131" s="2214"/>
      <c r="AN131" s="2214"/>
      <c r="AO131" s="2214"/>
      <c r="AP131" s="2214"/>
      <c r="AQ131" s="2214"/>
      <c r="AR131" s="2214"/>
      <c r="AS131" s="2214"/>
      <c r="AT131" s="2215"/>
      <c r="AU131" s="2216"/>
      <c r="AV131" s="11">
        <f t="shared" si="62"/>
        <v>0</v>
      </c>
      <c r="AW131" s="11">
        <f t="shared" si="63"/>
        <v>0</v>
      </c>
      <c r="AX131" s="11">
        <f t="shared" si="64"/>
        <v>0</v>
      </c>
      <c r="AY131" s="2953">
        <f t="shared" si="39"/>
        <v>0</v>
      </c>
      <c r="AZ131" s="16">
        <f t="shared" si="40"/>
        <v>0</v>
      </c>
      <c r="BA131" s="16">
        <f t="shared" si="41"/>
        <v>0</v>
      </c>
      <c r="BB131" s="16">
        <f t="shared" si="42"/>
        <v>0</v>
      </c>
      <c r="BC131" s="16">
        <f t="shared" si="43"/>
        <v>0</v>
      </c>
      <c r="BD131" s="16">
        <f t="shared" si="44"/>
        <v>0</v>
      </c>
      <c r="BE131" s="16">
        <f t="shared" si="45"/>
        <v>0</v>
      </c>
      <c r="BF131" s="16">
        <f t="shared" si="46"/>
        <v>0</v>
      </c>
      <c r="BG131" s="16">
        <f t="shared" si="47"/>
        <v>0</v>
      </c>
      <c r="BH131" s="16">
        <f t="shared" si="48"/>
        <v>0</v>
      </c>
      <c r="BI131" s="16">
        <f t="shared" si="49"/>
        <v>0</v>
      </c>
      <c r="BJ131" s="16">
        <f t="shared" si="50"/>
        <v>0</v>
      </c>
      <c r="BK131" s="16">
        <f t="shared" si="51"/>
        <v>0</v>
      </c>
      <c r="BL131" s="16">
        <f t="shared" si="52"/>
        <v>0</v>
      </c>
      <c r="BM131" s="16">
        <f t="shared" si="53"/>
        <v>0</v>
      </c>
      <c r="BN131" s="16">
        <f t="shared" si="54"/>
        <v>0</v>
      </c>
      <c r="BO131" s="16">
        <f t="shared" si="55"/>
        <v>0</v>
      </c>
      <c r="BP131" s="16">
        <f t="shared" si="56"/>
        <v>0</v>
      </c>
      <c r="BQ131" s="16">
        <f t="shared" si="57"/>
        <v>0</v>
      </c>
      <c r="BR131" s="16">
        <f t="shared" si="58"/>
        <v>0</v>
      </c>
      <c r="BS131" s="16">
        <f t="shared" si="59"/>
        <v>0</v>
      </c>
      <c r="BT131" s="22">
        <f t="shared" si="60"/>
        <v>0</v>
      </c>
    </row>
    <row r="132" spans="1:72" s="2167" customFormat="1" ht="12.75">
      <c r="A132" s="1274"/>
      <c r="B132" s="1274"/>
      <c r="C132" s="2153"/>
      <c r="D132" s="2954"/>
      <c r="E132" s="16">
        <f t="shared" si="61"/>
        <v>0</v>
      </c>
      <c r="F132" s="32"/>
      <c r="G132" s="33">
        <f t="shared" si="36"/>
        <v>0</v>
      </c>
      <c r="H132" s="20">
        <f t="shared" si="37"/>
        <v>0</v>
      </c>
      <c r="I132" s="2213"/>
      <c r="J132" s="2213"/>
      <c r="K132" s="2213"/>
      <c r="L132" s="2213"/>
      <c r="M132" s="2213"/>
      <c r="N132" s="2213"/>
      <c r="O132" s="2213"/>
      <c r="P132" s="2213"/>
      <c r="Q132" s="2213"/>
      <c r="R132" s="2213"/>
      <c r="S132" s="2213"/>
      <c r="T132" s="2213"/>
      <c r="U132" s="2213"/>
      <c r="V132" s="2213"/>
      <c r="W132" s="2213"/>
      <c r="X132" s="2213"/>
      <c r="Y132" s="2213"/>
      <c r="Z132" s="2213"/>
      <c r="AA132" s="2213"/>
      <c r="AB132" s="2213"/>
      <c r="AC132" s="16">
        <f t="shared" si="38"/>
        <v>0</v>
      </c>
      <c r="AD132" s="2214"/>
      <c r="AE132" s="2214"/>
      <c r="AF132" s="2214"/>
      <c r="AG132" s="2214"/>
      <c r="AH132" s="2214"/>
      <c r="AI132" s="2214"/>
      <c r="AJ132" s="2214"/>
      <c r="AK132" s="2214"/>
      <c r="AL132" s="2214"/>
      <c r="AM132" s="2214"/>
      <c r="AN132" s="2214"/>
      <c r="AO132" s="2214"/>
      <c r="AP132" s="2214"/>
      <c r="AQ132" s="2214"/>
      <c r="AR132" s="2214"/>
      <c r="AS132" s="2214"/>
      <c r="AT132" s="2215"/>
      <c r="AU132" s="2216"/>
      <c r="AV132" s="11">
        <f t="shared" si="62"/>
        <v>0</v>
      </c>
      <c r="AW132" s="11">
        <f t="shared" si="63"/>
        <v>0</v>
      </c>
      <c r="AX132" s="11">
        <f t="shared" si="64"/>
        <v>0</v>
      </c>
      <c r="AY132" s="2953">
        <f t="shared" si="39"/>
        <v>0</v>
      </c>
      <c r="AZ132" s="16">
        <f t="shared" si="40"/>
        <v>0</v>
      </c>
      <c r="BA132" s="16">
        <f t="shared" si="41"/>
        <v>0</v>
      </c>
      <c r="BB132" s="16">
        <f t="shared" si="42"/>
        <v>0</v>
      </c>
      <c r="BC132" s="16">
        <f t="shared" si="43"/>
        <v>0</v>
      </c>
      <c r="BD132" s="16">
        <f t="shared" si="44"/>
        <v>0</v>
      </c>
      <c r="BE132" s="16">
        <f t="shared" si="45"/>
        <v>0</v>
      </c>
      <c r="BF132" s="16">
        <f t="shared" si="46"/>
        <v>0</v>
      </c>
      <c r="BG132" s="16">
        <f t="shared" si="47"/>
        <v>0</v>
      </c>
      <c r="BH132" s="16">
        <f t="shared" si="48"/>
        <v>0</v>
      </c>
      <c r="BI132" s="16">
        <f t="shared" si="49"/>
        <v>0</v>
      </c>
      <c r="BJ132" s="16">
        <f t="shared" si="50"/>
        <v>0</v>
      </c>
      <c r="BK132" s="16">
        <f t="shared" si="51"/>
        <v>0</v>
      </c>
      <c r="BL132" s="16">
        <f t="shared" si="52"/>
        <v>0</v>
      </c>
      <c r="BM132" s="16">
        <f t="shared" si="53"/>
        <v>0</v>
      </c>
      <c r="BN132" s="16">
        <f t="shared" si="54"/>
        <v>0</v>
      </c>
      <c r="BO132" s="16">
        <f t="shared" si="55"/>
        <v>0</v>
      </c>
      <c r="BP132" s="16">
        <f t="shared" si="56"/>
        <v>0</v>
      </c>
      <c r="BQ132" s="16">
        <f t="shared" si="57"/>
        <v>0</v>
      </c>
      <c r="BR132" s="16">
        <f t="shared" si="58"/>
        <v>0</v>
      </c>
      <c r="BS132" s="16">
        <f t="shared" si="59"/>
        <v>0</v>
      </c>
      <c r="BT132" s="22">
        <f t="shared" si="60"/>
        <v>0</v>
      </c>
    </row>
    <row r="133" spans="1:72" s="2167" customFormat="1" ht="12.75">
      <c r="A133" s="1274"/>
      <c r="B133" s="1274"/>
      <c r="C133" s="2153"/>
      <c r="D133" s="2954"/>
      <c r="E133" s="16">
        <f t="shared" si="61"/>
        <v>0</v>
      </c>
      <c r="F133" s="32"/>
      <c r="G133" s="33">
        <f t="shared" si="36"/>
        <v>0</v>
      </c>
      <c r="H133" s="20">
        <f t="shared" si="37"/>
        <v>0</v>
      </c>
      <c r="I133" s="2213"/>
      <c r="J133" s="2213"/>
      <c r="K133" s="2213"/>
      <c r="L133" s="2213"/>
      <c r="M133" s="2213"/>
      <c r="N133" s="2213"/>
      <c r="O133" s="2213"/>
      <c r="P133" s="2213"/>
      <c r="Q133" s="2213"/>
      <c r="R133" s="2213"/>
      <c r="S133" s="2213"/>
      <c r="T133" s="2213"/>
      <c r="U133" s="2213"/>
      <c r="V133" s="2213"/>
      <c r="W133" s="2213"/>
      <c r="X133" s="2213"/>
      <c r="Y133" s="2213"/>
      <c r="Z133" s="2213"/>
      <c r="AA133" s="2213"/>
      <c r="AB133" s="2213"/>
      <c r="AC133" s="16">
        <f t="shared" si="38"/>
        <v>0</v>
      </c>
      <c r="AD133" s="2214"/>
      <c r="AE133" s="2214"/>
      <c r="AF133" s="2214"/>
      <c r="AG133" s="2214"/>
      <c r="AH133" s="2214"/>
      <c r="AI133" s="2214"/>
      <c r="AJ133" s="2214"/>
      <c r="AK133" s="2214"/>
      <c r="AL133" s="2214"/>
      <c r="AM133" s="2214"/>
      <c r="AN133" s="2214"/>
      <c r="AO133" s="2214"/>
      <c r="AP133" s="2214"/>
      <c r="AQ133" s="2214"/>
      <c r="AR133" s="2214"/>
      <c r="AS133" s="2214"/>
      <c r="AT133" s="2215"/>
      <c r="AU133" s="2216"/>
      <c r="AV133" s="11">
        <f t="shared" si="62"/>
        <v>0</v>
      </c>
      <c r="AW133" s="11">
        <f t="shared" si="63"/>
        <v>0</v>
      </c>
      <c r="AX133" s="11">
        <f t="shared" si="64"/>
        <v>0</v>
      </c>
      <c r="AY133" s="2953">
        <f t="shared" si="39"/>
        <v>0</v>
      </c>
      <c r="AZ133" s="16">
        <f t="shared" si="40"/>
        <v>0</v>
      </c>
      <c r="BA133" s="16">
        <f t="shared" si="41"/>
        <v>0</v>
      </c>
      <c r="BB133" s="16">
        <f t="shared" si="42"/>
        <v>0</v>
      </c>
      <c r="BC133" s="16">
        <f t="shared" si="43"/>
        <v>0</v>
      </c>
      <c r="BD133" s="16">
        <f t="shared" si="44"/>
        <v>0</v>
      </c>
      <c r="BE133" s="16">
        <f t="shared" si="45"/>
        <v>0</v>
      </c>
      <c r="BF133" s="16">
        <f t="shared" si="46"/>
        <v>0</v>
      </c>
      <c r="BG133" s="16">
        <f t="shared" si="47"/>
        <v>0</v>
      </c>
      <c r="BH133" s="16">
        <f t="shared" si="48"/>
        <v>0</v>
      </c>
      <c r="BI133" s="16">
        <f t="shared" si="49"/>
        <v>0</v>
      </c>
      <c r="BJ133" s="16">
        <f t="shared" si="50"/>
        <v>0</v>
      </c>
      <c r="BK133" s="16">
        <f t="shared" si="51"/>
        <v>0</v>
      </c>
      <c r="BL133" s="16">
        <f t="shared" si="52"/>
        <v>0</v>
      </c>
      <c r="BM133" s="16">
        <f t="shared" si="53"/>
        <v>0</v>
      </c>
      <c r="BN133" s="16">
        <f t="shared" si="54"/>
        <v>0</v>
      </c>
      <c r="BO133" s="16">
        <f t="shared" si="55"/>
        <v>0</v>
      </c>
      <c r="BP133" s="16">
        <f t="shared" si="56"/>
        <v>0</v>
      </c>
      <c r="BQ133" s="16">
        <f t="shared" si="57"/>
        <v>0</v>
      </c>
      <c r="BR133" s="16">
        <f t="shared" si="58"/>
        <v>0</v>
      </c>
      <c r="BS133" s="16">
        <f t="shared" si="59"/>
        <v>0</v>
      </c>
      <c r="BT133" s="22">
        <f t="shared" si="60"/>
        <v>0</v>
      </c>
    </row>
    <row r="134" spans="1:72" s="2167" customFormat="1" ht="12.75">
      <c r="A134" s="1274"/>
      <c r="B134" s="1274"/>
      <c r="C134" s="2153"/>
      <c r="D134" s="2954"/>
      <c r="E134" s="16">
        <f t="shared" si="61"/>
        <v>0</v>
      </c>
      <c r="F134" s="32"/>
      <c r="G134" s="33">
        <f t="shared" si="36"/>
        <v>0</v>
      </c>
      <c r="H134" s="20">
        <f t="shared" si="37"/>
        <v>0</v>
      </c>
      <c r="I134" s="2213"/>
      <c r="J134" s="2213"/>
      <c r="K134" s="2213"/>
      <c r="L134" s="2213"/>
      <c r="M134" s="2213"/>
      <c r="N134" s="2213"/>
      <c r="O134" s="2213"/>
      <c r="P134" s="2213"/>
      <c r="Q134" s="2213"/>
      <c r="R134" s="2213"/>
      <c r="S134" s="2213"/>
      <c r="T134" s="2213"/>
      <c r="U134" s="2213"/>
      <c r="V134" s="2213"/>
      <c r="W134" s="2213"/>
      <c r="X134" s="2213"/>
      <c r="Y134" s="2213"/>
      <c r="Z134" s="2213"/>
      <c r="AA134" s="2213"/>
      <c r="AB134" s="2213"/>
      <c r="AC134" s="16">
        <f t="shared" si="38"/>
        <v>0</v>
      </c>
      <c r="AD134" s="2214"/>
      <c r="AE134" s="2214"/>
      <c r="AF134" s="2214"/>
      <c r="AG134" s="2214"/>
      <c r="AH134" s="2214"/>
      <c r="AI134" s="2214"/>
      <c r="AJ134" s="2214"/>
      <c r="AK134" s="2214"/>
      <c r="AL134" s="2214"/>
      <c r="AM134" s="2214"/>
      <c r="AN134" s="2214"/>
      <c r="AO134" s="2214"/>
      <c r="AP134" s="2214"/>
      <c r="AQ134" s="2214"/>
      <c r="AR134" s="2214"/>
      <c r="AS134" s="2214"/>
      <c r="AT134" s="2215"/>
      <c r="AU134" s="2216"/>
      <c r="AV134" s="11">
        <f t="shared" si="62"/>
        <v>0</v>
      </c>
      <c r="AW134" s="11">
        <f t="shared" si="63"/>
        <v>0</v>
      </c>
      <c r="AX134" s="11">
        <f t="shared" si="64"/>
        <v>0</v>
      </c>
      <c r="AY134" s="2953">
        <f t="shared" si="39"/>
        <v>0</v>
      </c>
      <c r="AZ134" s="16">
        <f t="shared" si="40"/>
        <v>0</v>
      </c>
      <c r="BA134" s="16">
        <f t="shared" si="41"/>
        <v>0</v>
      </c>
      <c r="BB134" s="16">
        <f t="shared" si="42"/>
        <v>0</v>
      </c>
      <c r="BC134" s="16">
        <f t="shared" si="43"/>
        <v>0</v>
      </c>
      <c r="BD134" s="16">
        <f t="shared" si="44"/>
        <v>0</v>
      </c>
      <c r="BE134" s="16">
        <f t="shared" si="45"/>
        <v>0</v>
      </c>
      <c r="BF134" s="16">
        <f t="shared" si="46"/>
        <v>0</v>
      </c>
      <c r="BG134" s="16">
        <f t="shared" si="47"/>
        <v>0</v>
      </c>
      <c r="BH134" s="16">
        <f t="shared" si="48"/>
        <v>0</v>
      </c>
      <c r="BI134" s="16">
        <f t="shared" si="49"/>
        <v>0</v>
      </c>
      <c r="BJ134" s="16">
        <f t="shared" si="50"/>
        <v>0</v>
      </c>
      <c r="BK134" s="16">
        <f t="shared" si="51"/>
        <v>0</v>
      </c>
      <c r="BL134" s="16">
        <f t="shared" si="52"/>
        <v>0</v>
      </c>
      <c r="BM134" s="16">
        <f t="shared" si="53"/>
        <v>0</v>
      </c>
      <c r="BN134" s="16">
        <f t="shared" si="54"/>
        <v>0</v>
      </c>
      <c r="BO134" s="16">
        <f t="shared" si="55"/>
        <v>0</v>
      </c>
      <c r="BP134" s="16">
        <f t="shared" si="56"/>
        <v>0</v>
      </c>
      <c r="BQ134" s="16">
        <f t="shared" si="57"/>
        <v>0</v>
      </c>
      <c r="BR134" s="16">
        <f t="shared" si="58"/>
        <v>0</v>
      </c>
      <c r="BS134" s="16">
        <f t="shared" si="59"/>
        <v>0</v>
      </c>
      <c r="BT134" s="22">
        <f t="shared" si="60"/>
        <v>0</v>
      </c>
    </row>
    <row r="135" spans="1:72" s="2167" customFormat="1" ht="12.75">
      <c r="A135" s="1274"/>
      <c r="B135" s="1274"/>
      <c r="C135" s="2153"/>
      <c r="D135" s="2954"/>
      <c r="E135" s="16">
        <f t="shared" si="61"/>
        <v>0</v>
      </c>
      <c r="F135" s="32"/>
      <c r="G135" s="33">
        <f t="shared" si="36"/>
        <v>0</v>
      </c>
      <c r="H135" s="20">
        <f t="shared" si="37"/>
        <v>0</v>
      </c>
      <c r="I135" s="2213"/>
      <c r="J135" s="2213"/>
      <c r="K135" s="2213"/>
      <c r="L135" s="2213"/>
      <c r="M135" s="2213"/>
      <c r="N135" s="2213"/>
      <c r="O135" s="2213"/>
      <c r="P135" s="2213"/>
      <c r="Q135" s="2213"/>
      <c r="R135" s="2213"/>
      <c r="S135" s="2213"/>
      <c r="T135" s="2213"/>
      <c r="U135" s="2213"/>
      <c r="V135" s="2213"/>
      <c r="W135" s="2213"/>
      <c r="X135" s="2213"/>
      <c r="Y135" s="2213"/>
      <c r="Z135" s="2213"/>
      <c r="AA135" s="2213"/>
      <c r="AB135" s="2213"/>
      <c r="AC135" s="16">
        <f t="shared" si="38"/>
        <v>0</v>
      </c>
      <c r="AD135" s="2214"/>
      <c r="AE135" s="2214"/>
      <c r="AF135" s="2214"/>
      <c r="AG135" s="2214"/>
      <c r="AH135" s="2214"/>
      <c r="AI135" s="2214"/>
      <c r="AJ135" s="2214"/>
      <c r="AK135" s="2214"/>
      <c r="AL135" s="2214"/>
      <c r="AM135" s="2214"/>
      <c r="AN135" s="2214"/>
      <c r="AO135" s="2214"/>
      <c r="AP135" s="2214"/>
      <c r="AQ135" s="2214"/>
      <c r="AR135" s="2214"/>
      <c r="AS135" s="2214"/>
      <c r="AT135" s="2215"/>
      <c r="AU135" s="2216"/>
      <c r="AV135" s="11">
        <f t="shared" si="62"/>
        <v>0</v>
      </c>
      <c r="AW135" s="11">
        <f t="shared" si="63"/>
        <v>0</v>
      </c>
      <c r="AX135" s="11">
        <f t="shared" si="64"/>
        <v>0</v>
      </c>
      <c r="AY135" s="2953">
        <f t="shared" si="39"/>
        <v>0</v>
      </c>
      <c r="AZ135" s="16">
        <f t="shared" si="40"/>
        <v>0</v>
      </c>
      <c r="BA135" s="16">
        <f t="shared" si="41"/>
        <v>0</v>
      </c>
      <c r="BB135" s="16">
        <f t="shared" si="42"/>
        <v>0</v>
      </c>
      <c r="BC135" s="16">
        <f t="shared" si="43"/>
        <v>0</v>
      </c>
      <c r="BD135" s="16">
        <f t="shared" si="44"/>
        <v>0</v>
      </c>
      <c r="BE135" s="16">
        <f t="shared" si="45"/>
        <v>0</v>
      </c>
      <c r="BF135" s="16">
        <f t="shared" si="46"/>
        <v>0</v>
      </c>
      <c r="BG135" s="16">
        <f t="shared" si="47"/>
        <v>0</v>
      </c>
      <c r="BH135" s="16">
        <f t="shared" si="48"/>
        <v>0</v>
      </c>
      <c r="BI135" s="16">
        <f t="shared" si="49"/>
        <v>0</v>
      </c>
      <c r="BJ135" s="16">
        <f t="shared" si="50"/>
        <v>0</v>
      </c>
      <c r="BK135" s="16">
        <f t="shared" si="51"/>
        <v>0</v>
      </c>
      <c r="BL135" s="16">
        <f t="shared" si="52"/>
        <v>0</v>
      </c>
      <c r="BM135" s="16">
        <f t="shared" si="53"/>
        <v>0</v>
      </c>
      <c r="BN135" s="16">
        <f t="shared" si="54"/>
        <v>0</v>
      </c>
      <c r="BO135" s="16">
        <f t="shared" si="55"/>
        <v>0</v>
      </c>
      <c r="BP135" s="16">
        <f t="shared" si="56"/>
        <v>0</v>
      </c>
      <c r="BQ135" s="16">
        <f t="shared" si="57"/>
        <v>0</v>
      </c>
      <c r="BR135" s="16">
        <f t="shared" si="58"/>
        <v>0</v>
      </c>
      <c r="BS135" s="16">
        <f t="shared" si="59"/>
        <v>0</v>
      </c>
      <c r="BT135" s="22">
        <f t="shared" si="60"/>
        <v>0</v>
      </c>
    </row>
    <row r="136" spans="1:72" s="2167" customFormat="1" ht="12.75">
      <c r="A136" s="1274"/>
      <c r="B136" s="1274"/>
      <c r="C136" s="2153"/>
      <c r="D136" s="2954"/>
      <c r="E136" s="16">
        <f t="shared" si="61"/>
        <v>0</v>
      </c>
      <c r="F136" s="32"/>
      <c r="G136" s="33">
        <f t="shared" si="36"/>
        <v>0</v>
      </c>
      <c r="H136" s="20">
        <f t="shared" si="37"/>
        <v>0</v>
      </c>
      <c r="I136" s="2213"/>
      <c r="J136" s="2213"/>
      <c r="K136" s="2213"/>
      <c r="L136" s="2213"/>
      <c r="M136" s="2213"/>
      <c r="N136" s="2213"/>
      <c r="O136" s="2213"/>
      <c r="P136" s="2213"/>
      <c r="Q136" s="2213"/>
      <c r="R136" s="2213"/>
      <c r="S136" s="2213"/>
      <c r="T136" s="2213"/>
      <c r="U136" s="2213"/>
      <c r="V136" s="2213"/>
      <c r="W136" s="2213"/>
      <c r="X136" s="2213"/>
      <c r="Y136" s="2213"/>
      <c r="Z136" s="2213"/>
      <c r="AA136" s="2213"/>
      <c r="AB136" s="2213"/>
      <c r="AC136" s="16">
        <f t="shared" si="38"/>
        <v>0</v>
      </c>
      <c r="AD136" s="2214"/>
      <c r="AE136" s="2214"/>
      <c r="AF136" s="2214"/>
      <c r="AG136" s="2214"/>
      <c r="AH136" s="2214"/>
      <c r="AI136" s="2214"/>
      <c r="AJ136" s="2214"/>
      <c r="AK136" s="2214"/>
      <c r="AL136" s="2214"/>
      <c r="AM136" s="2214"/>
      <c r="AN136" s="2214"/>
      <c r="AO136" s="2214"/>
      <c r="AP136" s="2214"/>
      <c r="AQ136" s="2214"/>
      <c r="AR136" s="2214"/>
      <c r="AS136" s="2214"/>
      <c r="AT136" s="2215"/>
      <c r="AU136" s="2216"/>
      <c r="AV136" s="11">
        <f t="shared" si="62"/>
        <v>0</v>
      </c>
      <c r="AW136" s="11">
        <f t="shared" si="63"/>
        <v>0</v>
      </c>
      <c r="AX136" s="11">
        <f t="shared" si="64"/>
        <v>0</v>
      </c>
      <c r="AY136" s="2953">
        <f t="shared" si="39"/>
        <v>0</v>
      </c>
      <c r="AZ136" s="16">
        <f t="shared" si="40"/>
        <v>0</v>
      </c>
      <c r="BA136" s="16">
        <f t="shared" si="41"/>
        <v>0</v>
      </c>
      <c r="BB136" s="16">
        <f t="shared" si="42"/>
        <v>0</v>
      </c>
      <c r="BC136" s="16">
        <f t="shared" si="43"/>
        <v>0</v>
      </c>
      <c r="BD136" s="16">
        <f t="shared" si="44"/>
        <v>0</v>
      </c>
      <c r="BE136" s="16">
        <f t="shared" si="45"/>
        <v>0</v>
      </c>
      <c r="BF136" s="16">
        <f t="shared" si="46"/>
        <v>0</v>
      </c>
      <c r="BG136" s="16">
        <f t="shared" si="47"/>
        <v>0</v>
      </c>
      <c r="BH136" s="16">
        <f t="shared" si="48"/>
        <v>0</v>
      </c>
      <c r="BI136" s="16">
        <f t="shared" si="49"/>
        <v>0</v>
      </c>
      <c r="BJ136" s="16">
        <f t="shared" si="50"/>
        <v>0</v>
      </c>
      <c r="BK136" s="16">
        <f t="shared" si="51"/>
        <v>0</v>
      </c>
      <c r="BL136" s="16">
        <f t="shared" si="52"/>
        <v>0</v>
      </c>
      <c r="BM136" s="16">
        <f t="shared" si="53"/>
        <v>0</v>
      </c>
      <c r="BN136" s="16">
        <f t="shared" si="54"/>
        <v>0</v>
      </c>
      <c r="BO136" s="16">
        <f t="shared" si="55"/>
        <v>0</v>
      </c>
      <c r="BP136" s="16">
        <f t="shared" si="56"/>
        <v>0</v>
      </c>
      <c r="BQ136" s="16">
        <f t="shared" si="57"/>
        <v>0</v>
      </c>
      <c r="BR136" s="16">
        <f t="shared" si="58"/>
        <v>0</v>
      </c>
      <c r="BS136" s="16">
        <f t="shared" si="59"/>
        <v>0</v>
      </c>
      <c r="BT136" s="22">
        <f t="shared" si="60"/>
        <v>0</v>
      </c>
    </row>
    <row r="137" spans="1:72" s="2167" customFormat="1" ht="12.75">
      <c r="A137" s="1274"/>
      <c r="B137" s="1274"/>
      <c r="C137" s="2153"/>
      <c r="D137" s="2954"/>
      <c r="E137" s="16">
        <f t="shared" si="61"/>
        <v>0</v>
      </c>
      <c r="F137" s="32"/>
      <c r="G137" s="33">
        <f t="shared" si="36"/>
        <v>0</v>
      </c>
      <c r="H137" s="20">
        <f t="shared" si="37"/>
        <v>0</v>
      </c>
      <c r="I137" s="2213"/>
      <c r="J137" s="2213"/>
      <c r="K137" s="2213"/>
      <c r="L137" s="2213"/>
      <c r="M137" s="2213"/>
      <c r="N137" s="2213"/>
      <c r="O137" s="2213"/>
      <c r="P137" s="2213"/>
      <c r="Q137" s="2213"/>
      <c r="R137" s="2213"/>
      <c r="S137" s="2213"/>
      <c r="T137" s="2213"/>
      <c r="U137" s="2213"/>
      <c r="V137" s="2213"/>
      <c r="W137" s="2213"/>
      <c r="X137" s="2213"/>
      <c r="Y137" s="2213"/>
      <c r="Z137" s="2213"/>
      <c r="AA137" s="2213"/>
      <c r="AB137" s="2213"/>
      <c r="AC137" s="16">
        <f t="shared" si="38"/>
        <v>0</v>
      </c>
      <c r="AD137" s="2214"/>
      <c r="AE137" s="2214"/>
      <c r="AF137" s="2214"/>
      <c r="AG137" s="2214"/>
      <c r="AH137" s="2214"/>
      <c r="AI137" s="2214"/>
      <c r="AJ137" s="2214"/>
      <c r="AK137" s="2214"/>
      <c r="AL137" s="2214"/>
      <c r="AM137" s="2214"/>
      <c r="AN137" s="2214"/>
      <c r="AO137" s="2214"/>
      <c r="AP137" s="2214"/>
      <c r="AQ137" s="2214"/>
      <c r="AR137" s="2214"/>
      <c r="AS137" s="2214"/>
      <c r="AT137" s="2215"/>
      <c r="AU137" s="2216"/>
      <c r="AV137" s="11">
        <f t="shared" si="62"/>
        <v>0</v>
      </c>
      <c r="AW137" s="11">
        <f t="shared" si="63"/>
        <v>0</v>
      </c>
      <c r="AX137" s="11">
        <f t="shared" si="64"/>
        <v>0</v>
      </c>
      <c r="AY137" s="2953">
        <f t="shared" si="39"/>
        <v>0</v>
      </c>
      <c r="AZ137" s="16">
        <f t="shared" si="40"/>
        <v>0</v>
      </c>
      <c r="BA137" s="16">
        <f t="shared" si="41"/>
        <v>0</v>
      </c>
      <c r="BB137" s="16">
        <f t="shared" si="42"/>
        <v>0</v>
      </c>
      <c r="BC137" s="16">
        <f t="shared" si="43"/>
        <v>0</v>
      </c>
      <c r="BD137" s="16">
        <f t="shared" si="44"/>
        <v>0</v>
      </c>
      <c r="BE137" s="16">
        <f t="shared" si="45"/>
        <v>0</v>
      </c>
      <c r="BF137" s="16">
        <f t="shared" si="46"/>
        <v>0</v>
      </c>
      <c r="BG137" s="16">
        <f t="shared" si="47"/>
        <v>0</v>
      </c>
      <c r="BH137" s="16">
        <f t="shared" si="48"/>
        <v>0</v>
      </c>
      <c r="BI137" s="16">
        <f t="shared" si="49"/>
        <v>0</v>
      </c>
      <c r="BJ137" s="16">
        <f t="shared" si="50"/>
        <v>0</v>
      </c>
      <c r="BK137" s="16">
        <f t="shared" si="51"/>
        <v>0</v>
      </c>
      <c r="BL137" s="16">
        <f t="shared" si="52"/>
        <v>0</v>
      </c>
      <c r="BM137" s="16">
        <f t="shared" si="53"/>
        <v>0</v>
      </c>
      <c r="BN137" s="16">
        <f t="shared" si="54"/>
        <v>0</v>
      </c>
      <c r="BO137" s="16">
        <f t="shared" si="55"/>
        <v>0</v>
      </c>
      <c r="BP137" s="16">
        <f t="shared" si="56"/>
        <v>0</v>
      </c>
      <c r="BQ137" s="16">
        <f t="shared" si="57"/>
        <v>0</v>
      </c>
      <c r="BR137" s="16">
        <f t="shared" si="58"/>
        <v>0</v>
      </c>
      <c r="BS137" s="16">
        <f t="shared" si="59"/>
        <v>0</v>
      </c>
      <c r="BT137" s="22">
        <f t="shared" si="60"/>
        <v>0</v>
      </c>
    </row>
    <row r="138" spans="1:72" s="2167" customFormat="1" ht="12.75">
      <c r="A138" s="1274"/>
      <c r="B138" s="1274"/>
      <c r="C138" s="2153"/>
      <c r="D138" s="2954"/>
      <c r="E138" s="16">
        <f t="shared" si="61"/>
        <v>0</v>
      </c>
      <c r="F138" s="32"/>
      <c r="G138" s="33">
        <f t="shared" si="36"/>
        <v>0</v>
      </c>
      <c r="H138" s="20">
        <f t="shared" si="37"/>
        <v>0</v>
      </c>
      <c r="I138" s="2213"/>
      <c r="J138" s="2213"/>
      <c r="K138" s="2213"/>
      <c r="L138" s="2213"/>
      <c r="M138" s="2213"/>
      <c r="N138" s="2213"/>
      <c r="O138" s="2213"/>
      <c r="P138" s="2213"/>
      <c r="Q138" s="2213"/>
      <c r="R138" s="2213"/>
      <c r="S138" s="2213"/>
      <c r="T138" s="2213"/>
      <c r="U138" s="2213"/>
      <c r="V138" s="2213"/>
      <c r="W138" s="2213"/>
      <c r="X138" s="2213"/>
      <c r="Y138" s="2213"/>
      <c r="Z138" s="2213"/>
      <c r="AA138" s="2213"/>
      <c r="AB138" s="2213"/>
      <c r="AC138" s="16">
        <f t="shared" si="38"/>
        <v>0</v>
      </c>
      <c r="AD138" s="2214"/>
      <c r="AE138" s="2214"/>
      <c r="AF138" s="2214"/>
      <c r="AG138" s="2214"/>
      <c r="AH138" s="2214"/>
      <c r="AI138" s="2214"/>
      <c r="AJ138" s="2214"/>
      <c r="AK138" s="2214"/>
      <c r="AL138" s="2214"/>
      <c r="AM138" s="2214"/>
      <c r="AN138" s="2214"/>
      <c r="AO138" s="2214"/>
      <c r="AP138" s="2214"/>
      <c r="AQ138" s="2214"/>
      <c r="AR138" s="2214"/>
      <c r="AS138" s="2214"/>
      <c r="AT138" s="2215"/>
      <c r="AU138" s="2216"/>
      <c r="AV138" s="11">
        <f t="shared" si="62"/>
        <v>0</v>
      </c>
      <c r="AW138" s="11">
        <f t="shared" si="63"/>
        <v>0</v>
      </c>
      <c r="AX138" s="11">
        <f t="shared" si="64"/>
        <v>0</v>
      </c>
      <c r="AY138" s="2953">
        <f t="shared" si="39"/>
        <v>0</v>
      </c>
      <c r="AZ138" s="16">
        <f t="shared" si="40"/>
        <v>0</v>
      </c>
      <c r="BA138" s="16">
        <f t="shared" si="41"/>
        <v>0</v>
      </c>
      <c r="BB138" s="16">
        <f t="shared" si="42"/>
        <v>0</v>
      </c>
      <c r="BC138" s="16">
        <f t="shared" si="43"/>
        <v>0</v>
      </c>
      <c r="BD138" s="16">
        <f t="shared" si="44"/>
        <v>0</v>
      </c>
      <c r="BE138" s="16">
        <f t="shared" si="45"/>
        <v>0</v>
      </c>
      <c r="BF138" s="16">
        <f t="shared" si="46"/>
        <v>0</v>
      </c>
      <c r="BG138" s="16">
        <f t="shared" si="47"/>
        <v>0</v>
      </c>
      <c r="BH138" s="16">
        <f t="shared" si="48"/>
        <v>0</v>
      </c>
      <c r="BI138" s="16">
        <f t="shared" si="49"/>
        <v>0</v>
      </c>
      <c r="BJ138" s="16">
        <f t="shared" si="50"/>
        <v>0</v>
      </c>
      <c r="BK138" s="16">
        <f t="shared" si="51"/>
        <v>0</v>
      </c>
      <c r="BL138" s="16">
        <f t="shared" si="52"/>
        <v>0</v>
      </c>
      <c r="BM138" s="16">
        <f t="shared" si="53"/>
        <v>0</v>
      </c>
      <c r="BN138" s="16">
        <f t="shared" si="54"/>
        <v>0</v>
      </c>
      <c r="BO138" s="16">
        <f t="shared" si="55"/>
        <v>0</v>
      </c>
      <c r="BP138" s="16">
        <f t="shared" si="56"/>
        <v>0</v>
      </c>
      <c r="BQ138" s="16">
        <f t="shared" si="57"/>
        <v>0</v>
      </c>
      <c r="BR138" s="16">
        <f t="shared" si="58"/>
        <v>0</v>
      </c>
      <c r="BS138" s="16">
        <f t="shared" si="59"/>
        <v>0</v>
      </c>
      <c r="BT138" s="22">
        <f t="shared" si="60"/>
        <v>0</v>
      </c>
    </row>
    <row r="139" spans="1:72" s="2167" customFormat="1" ht="12.75">
      <c r="A139" s="1274"/>
      <c r="B139" s="1274"/>
      <c r="C139" s="2153"/>
      <c r="D139" s="2954"/>
      <c r="E139" s="16">
        <f t="shared" si="61"/>
        <v>0</v>
      </c>
      <c r="F139" s="32"/>
      <c r="G139" s="33">
        <f t="shared" si="36"/>
        <v>0</v>
      </c>
      <c r="H139" s="20">
        <f t="shared" si="37"/>
        <v>0</v>
      </c>
      <c r="I139" s="2213"/>
      <c r="J139" s="2213"/>
      <c r="K139" s="2213"/>
      <c r="L139" s="2213"/>
      <c r="M139" s="2213"/>
      <c r="N139" s="2213"/>
      <c r="O139" s="2213"/>
      <c r="P139" s="2213"/>
      <c r="Q139" s="2213"/>
      <c r="R139" s="2213"/>
      <c r="S139" s="2213"/>
      <c r="T139" s="2213"/>
      <c r="U139" s="2213"/>
      <c r="V139" s="2213"/>
      <c r="W139" s="2213"/>
      <c r="X139" s="2213"/>
      <c r="Y139" s="2213"/>
      <c r="Z139" s="2213"/>
      <c r="AA139" s="2213"/>
      <c r="AB139" s="2213"/>
      <c r="AC139" s="16">
        <f t="shared" si="38"/>
        <v>0</v>
      </c>
      <c r="AD139" s="2214"/>
      <c r="AE139" s="2214"/>
      <c r="AF139" s="2214"/>
      <c r="AG139" s="2214"/>
      <c r="AH139" s="2214"/>
      <c r="AI139" s="2214"/>
      <c r="AJ139" s="2214"/>
      <c r="AK139" s="2214"/>
      <c r="AL139" s="2214"/>
      <c r="AM139" s="2214"/>
      <c r="AN139" s="2214"/>
      <c r="AO139" s="2214"/>
      <c r="AP139" s="2214"/>
      <c r="AQ139" s="2214"/>
      <c r="AR139" s="2214"/>
      <c r="AS139" s="2214"/>
      <c r="AT139" s="2215"/>
      <c r="AU139" s="2216"/>
      <c r="AV139" s="11">
        <f t="shared" si="62"/>
        <v>0</v>
      </c>
      <c r="AW139" s="11">
        <f t="shared" si="63"/>
        <v>0</v>
      </c>
      <c r="AX139" s="11">
        <f t="shared" si="64"/>
        <v>0</v>
      </c>
      <c r="AY139" s="2953">
        <f t="shared" si="39"/>
        <v>0</v>
      </c>
      <c r="AZ139" s="16">
        <f t="shared" si="40"/>
        <v>0</v>
      </c>
      <c r="BA139" s="16">
        <f t="shared" si="41"/>
        <v>0</v>
      </c>
      <c r="BB139" s="16">
        <f t="shared" si="42"/>
        <v>0</v>
      </c>
      <c r="BC139" s="16">
        <f t="shared" si="43"/>
        <v>0</v>
      </c>
      <c r="BD139" s="16">
        <f t="shared" si="44"/>
        <v>0</v>
      </c>
      <c r="BE139" s="16">
        <f t="shared" si="45"/>
        <v>0</v>
      </c>
      <c r="BF139" s="16">
        <f t="shared" si="46"/>
        <v>0</v>
      </c>
      <c r="BG139" s="16">
        <f t="shared" si="47"/>
        <v>0</v>
      </c>
      <c r="BH139" s="16">
        <f t="shared" si="48"/>
        <v>0</v>
      </c>
      <c r="BI139" s="16">
        <f t="shared" si="49"/>
        <v>0</v>
      </c>
      <c r="BJ139" s="16">
        <f t="shared" si="50"/>
        <v>0</v>
      </c>
      <c r="BK139" s="16">
        <f t="shared" si="51"/>
        <v>0</v>
      </c>
      <c r="BL139" s="16">
        <f t="shared" si="52"/>
        <v>0</v>
      </c>
      <c r="BM139" s="16">
        <f t="shared" si="53"/>
        <v>0</v>
      </c>
      <c r="BN139" s="16">
        <f t="shared" si="54"/>
        <v>0</v>
      </c>
      <c r="BO139" s="16">
        <f t="shared" si="55"/>
        <v>0</v>
      </c>
      <c r="BP139" s="16">
        <f t="shared" si="56"/>
        <v>0</v>
      </c>
      <c r="BQ139" s="16">
        <f t="shared" si="57"/>
        <v>0</v>
      </c>
      <c r="BR139" s="16">
        <f t="shared" si="58"/>
        <v>0</v>
      </c>
      <c r="BS139" s="16">
        <f t="shared" si="59"/>
        <v>0</v>
      </c>
      <c r="BT139" s="22">
        <f t="shared" si="60"/>
        <v>0</v>
      </c>
    </row>
    <row r="140" spans="1:72" s="2167" customFormat="1" ht="12.75">
      <c r="A140" s="1274"/>
      <c r="B140" s="1274"/>
      <c r="C140" s="2153"/>
      <c r="D140" s="2954"/>
      <c r="E140" s="16">
        <f t="shared" si="61"/>
        <v>0</v>
      </c>
      <c r="F140" s="32"/>
      <c r="G140" s="33">
        <f t="shared" si="36"/>
        <v>0</v>
      </c>
      <c r="H140" s="20">
        <f t="shared" si="37"/>
        <v>0</v>
      </c>
      <c r="I140" s="2213"/>
      <c r="J140" s="2213"/>
      <c r="K140" s="2213"/>
      <c r="L140" s="2213"/>
      <c r="M140" s="2213"/>
      <c r="N140" s="2213"/>
      <c r="O140" s="2213"/>
      <c r="P140" s="2213"/>
      <c r="Q140" s="2213"/>
      <c r="R140" s="2213"/>
      <c r="S140" s="2213"/>
      <c r="T140" s="2213"/>
      <c r="U140" s="2213"/>
      <c r="V140" s="2213"/>
      <c r="W140" s="2213"/>
      <c r="X140" s="2213"/>
      <c r="Y140" s="2213"/>
      <c r="Z140" s="2213"/>
      <c r="AA140" s="2213"/>
      <c r="AB140" s="2213"/>
      <c r="AC140" s="16">
        <f t="shared" si="38"/>
        <v>0</v>
      </c>
      <c r="AD140" s="2214"/>
      <c r="AE140" s="2214"/>
      <c r="AF140" s="2214"/>
      <c r="AG140" s="2214"/>
      <c r="AH140" s="2214"/>
      <c r="AI140" s="2214"/>
      <c r="AJ140" s="2214"/>
      <c r="AK140" s="2214"/>
      <c r="AL140" s="2214"/>
      <c r="AM140" s="2214"/>
      <c r="AN140" s="2214"/>
      <c r="AO140" s="2214"/>
      <c r="AP140" s="2214"/>
      <c r="AQ140" s="2214"/>
      <c r="AR140" s="2214"/>
      <c r="AS140" s="2214"/>
      <c r="AT140" s="2215"/>
      <c r="AU140" s="2216"/>
      <c r="AV140" s="11">
        <f t="shared" si="62"/>
        <v>0</v>
      </c>
      <c r="AW140" s="11">
        <f t="shared" si="63"/>
        <v>0</v>
      </c>
      <c r="AX140" s="11">
        <f t="shared" si="64"/>
        <v>0</v>
      </c>
      <c r="AY140" s="2953">
        <f t="shared" si="39"/>
        <v>0</v>
      </c>
      <c r="AZ140" s="16">
        <f t="shared" si="40"/>
        <v>0</v>
      </c>
      <c r="BA140" s="16">
        <f t="shared" si="41"/>
        <v>0</v>
      </c>
      <c r="BB140" s="16">
        <f t="shared" si="42"/>
        <v>0</v>
      </c>
      <c r="BC140" s="16">
        <f t="shared" si="43"/>
        <v>0</v>
      </c>
      <c r="BD140" s="16">
        <f t="shared" si="44"/>
        <v>0</v>
      </c>
      <c r="BE140" s="16">
        <f t="shared" si="45"/>
        <v>0</v>
      </c>
      <c r="BF140" s="16">
        <f t="shared" si="46"/>
        <v>0</v>
      </c>
      <c r="BG140" s="16">
        <f t="shared" si="47"/>
        <v>0</v>
      </c>
      <c r="BH140" s="16">
        <f t="shared" si="48"/>
        <v>0</v>
      </c>
      <c r="BI140" s="16">
        <f t="shared" si="49"/>
        <v>0</v>
      </c>
      <c r="BJ140" s="16">
        <f t="shared" si="50"/>
        <v>0</v>
      </c>
      <c r="BK140" s="16">
        <f t="shared" si="51"/>
        <v>0</v>
      </c>
      <c r="BL140" s="16">
        <f t="shared" si="52"/>
        <v>0</v>
      </c>
      <c r="BM140" s="16">
        <f t="shared" si="53"/>
        <v>0</v>
      </c>
      <c r="BN140" s="16">
        <f t="shared" si="54"/>
        <v>0</v>
      </c>
      <c r="BO140" s="16">
        <f t="shared" si="55"/>
        <v>0</v>
      </c>
      <c r="BP140" s="16">
        <f t="shared" si="56"/>
        <v>0</v>
      </c>
      <c r="BQ140" s="16">
        <f t="shared" si="57"/>
        <v>0</v>
      </c>
      <c r="BR140" s="16">
        <f t="shared" si="58"/>
        <v>0</v>
      </c>
      <c r="BS140" s="16">
        <f t="shared" si="59"/>
        <v>0</v>
      </c>
      <c r="BT140" s="22">
        <f t="shared" si="60"/>
        <v>0</v>
      </c>
    </row>
    <row r="141" spans="1:72" s="2167" customFormat="1" ht="12.75">
      <c r="A141" s="1274"/>
      <c r="B141" s="1274"/>
      <c r="C141" s="2153"/>
      <c r="D141" s="2954"/>
      <c r="E141" s="16">
        <f t="shared" si="61"/>
        <v>0</v>
      </c>
      <c r="F141" s="32"/>
      <c r="G141" s="33">
        <f t="shared" si="36"/>
        <v>0</v>
      </c>
      <c r="H141" s="20">
        <f t="shared" si="37"/>
        <v>0</v>
      </c>
      <c r="I141" s="2213"/>
      <c r="J141" s="2213"/>
      <c r="K141" s="2213"/>
      <c r="L141" s="2213"/>
      <c r="M141" s="2213"/>
      <c r="N141" s="2213"/>
      <c r="O141" s="2213"/>
      <c r="P141" s="2213"/>
      <c r="Q141" s="2213"/>
      <c r="R141" s="2213"/>
      <c r="S141" s="2213"/>
      <c r="T141" s="2213"/>
      <c r="U141" s="2213"/>
      <c r="V141" s="2213"/>
      <c r="W141" s="2213"/>
      <c r="X141" s="2213"/>
      <c r="Y141" s="2213"/>
      <c r="Z141" s="2213"/>
      <c r="AA141" s="2213"/>
      <c r="AB141" s="2213"/>
      <c r="AC141" s="16">
        <f t="shared" si="38"/>
        <v>0</v>
      </c>
      <c r="AD141" s="2214"/>
      <c r="AE141" s="2214"/>
      <c r="AF141" s="2214"/>
      <c r="AG141" s="2214"/>
      <c r="AH141" s="2214"/>
      <c r="AI141" s="2214"/>
      <c r="AJ141" s="2214"/>
      <c r="AK141" s="2214"/>
      <c r="AL141" s="2214"/>
      <c r="AM141" s="2214"/>
      <c r="AN141" s="2214"/>
      <c r="AO141" s="2214"/>
      <c r="AP141" s="2214"/>
      <c r="AQ141" s="2214"/>
      <c r="AR141" s="2214"/>
      <c r="AS141" s="2214"/>
      <c r="AT141" s="2215"/>
      <c r="AU141" s="2216"/>
      <c r="AV141" s="11">
        <f t="shared" si="62"/>
        <v>0</v>
      </c>
      <c r="AW141" s="11">
        <f t="shared" si="63"/>
        <v>0</v>
      </c>
      <c r="AX141" s="11">
        <f t="shared" si="64"/>
        <v>0</v>
      </c>
      <c r="AY141" s="2953">
        <f t="shared" si="39"/>
        <v>0</v>
      </c>
      <c r="AZ141" s="16">
        <f t="shared" si="40"/>
        <v>0</v>
      </c>
      <c r="BA141" s="16">
        <f t="shared" si="41"/>
        <v>0</v>
      </c>
      <c r="BB141" s="16">
        <f t="shared" si="42"/>
        <v>0</v>
      </c>
      <c r="BC141" s="16">
        <f t="shared" si="43"/>
        <v>0</v>
      </c>
      <c r="BD141" s="16">
        <f t="shared" si="44"/>
        <v>0</v>
      </c>
      <c r="BE141" s="16">
        <f t="shared" si="45"/>
        <v>0</v>
      </c>
      <c r="BF141" s="16">
        <f t="shared" si="46"/>
        <v>0</v>
      </c>
      <c r="BG141" s="16">
        <f t="shared" si="47"/>
        <v>0</v>
      </c>
      <c r="BH141" s="16">
        <f t="shared" si="48"/>
        <v>0</v>
      </c>
      <c r="BI141" s="16">
        <f t="shared" si="49"/>
        <v>0</v>
      </c>
      <c r="BJ141" s="16">
        <f t="shared" si="50"/>
        <v>0</v>
      </c>
      <c r="BK141" s="16">
        <f t="shared" si="51"/>
        <v>0</v>
      </c>
      <c r="BL141" s="16">
        <f t="shared" si="52"/>
        <v>0</v>
      </c>
      <c r="BM141" s="16">
        <f t="shared" si="53"/>
        <v>0</v>
      </c>
      <c r="BN141" s="16">
        <f t="shared" si="54"/>
        <v>0</v>
      </c>
      <c r="BO141" s="16">
        <f t="shared" si="55"/>
        <v>0</v>
      </c>
      <c r="BP141" s="16">
        <f t="shared" si="56"/>
        <v>0</v>
      </c>
      <c r="BQ141" s="16">
        <f t="shared" si="57"/>
        <v>0</v>
      </c>
      <c r="BR141" s="16">
        <f t="shared" si="58"/>
        <v>0</v>
      </c>
      <c r="BS141" s="16">
        <f t="shared" si="59"/>
        <v>0</v>
      </c>
      <c r="BT141" s="22">
        <f t="shared" si="60"/>
        <v>0</v>
      </c>
    </row>
    <row r="142" spans="1:72" s="2167" customFormat="1" ht="12.75">
      <c r="A142" s="1274"/>
      <c r="B142" s="1274"/>
      <c r="C142" s="2153"/>
      <c r="D142" s="2954"/>
      <c r="E142" s="16">
        <f t="shared" si="61"/>
        <v>0</v>
      </c>
      <c r="F142" s="32"/>
      <c r="G142" s="33">
        <f t="shared" ref="G142:G173" si="65">H142+AC142+AT142</f>
        <v>0</v>
      </c>
      <c r="H142" s="20">
        <f t="shared" ref="H142:H173" si="66">SUMIF(I$12:AB$12,"总值",I142:AB142)</f>
        <v>0</v>
      </c>
      <c r="I142" s="2213"/>
      <c r="J142" s="2213"/>
      <c r="K142" s="2213"/>
      <c r="L142" s="2213"/>
      <c r="M142" s="2213"/>
      <c r="N142" s="2213"/>
      <c r="O142" s="2213"/>
      <c r="P142" s="2213"/>
      <c r="Q142" s="2213"/>
      <c r="R142" s="2213"/>
      <c r="S142" s="2213"/>
      <c r="T142" s="2213"/>
      <c r="U142" s="2213"/>
      <c r="V142" s="2213"/>
      <c r="W142" s="2213"/>
      <c r="X142" s="2213"/>
      <c r="Y142" s="2213"/>
      <c r="Z142" s="2213"/>
      <c r="AA142" s="2213"/>
      <c r="AB142" s="2213"/>
      <c r="AC142" s="16">
        <f t="shared" ref="AC142:AC173" si="67">SUMIF(AD$12:AS$12,"总值",AD142:AS142)</f>
        <v>0</v>
      </c>
      <c r="AD142" s="2214"/>
      <c r="AE142" s="2214"/>
      <c r="AF142" s="2214"/>
      <c r="AG142" s="2214"/>
      <c r="AH142" s="2214"/>
      <c r="AI142" s="2214"/>
      <c r="AJ142" s="2214"/>
      <c r="AK142" s="2214"/>
      <c r="AL142" s="2214"/>
      <c r="AM142" s="2214"/>
      <c r="AN142" s="2214"/>
      <c r="AO142" s="2214"/>
      <c r="AP142" s="2214"/>
      <c r="AQ142" s="2214"/>
      <c r="AR142" s="2214"/>
      <c r="AS142" s="2214"/>
      <c r="AT142" s="2215"/>
      <c r="AU142" s="2216"/>
      <c r="AV142" s="11">
        <f t="shared" si="62"/>
        <v>0</v>
      </c>
      <c r="AW142" s="11">
        <f t="shared" si="63"/>
        <v>0</v>
      </c>
      <c r="AX142" s="11">
        <f t="shared" si="64"/>
        <v>0</v>
      </c>
      <c r="AY142" s="2953">
        <f t="shared" ref="AY142:AY173" si="68">ROUND($AY$6*AZ142/$AZ$5,2)</f>
        <v>0</v>
      </c>
      <c r="AZ142" s="16">
        <f t="shared" ref="AZ142:AZ173" si="69">BA142+BL142</f>
        <v>0</v>
      </c>
      <c r="BA142" s="16">
        <f t="shared" ref="BA142:BA173" si="70">SUM(BB142:BK142)</f>
        <v>0</v>
      </c>
      <c r="BB142" s="16">
        <f t="shared" ref="BB142:BB173" si="71">IF($D142="是",I142-J142,0)</f>
        <v>0</v>
      </c>
      <c r="BC142" s="16">
        <f t="shared" ref="BC142:BC173" si="72">IF($D142="是",K142-L142,0)</f>
        <v>0</v>
      </c>
      <c r="BD142" s="16">
        <f t="shared" ref="BD142:BD173" si="73">IF($D142="是",M142-N142,0)</f>
        <v>0</v>
      </c>
      <c r="BE142" s="16">
        <f t="shared" ref="BE142:BE173" si="74">IF($D142="是",O142-P142,0)</f>
        <v>0</v>
      </c>
      <c r="BF142" s="16">
        <f t="shared" ref="BF142:BF173" si="75">IF($D142="是",Q142-R142,0)</f>
        <v>0</v>
      </c>
      <c r="BG142" s="16">
        <f t="shared" ref="BG142:BG173" si="76">IF($D142="是",S142-T142,0)</f>
        <v>0</v>
      </c>
      <c r="BH142" s="16">
        <f t="shared" ref="BH142:BH173" si="77">IF($D142="是",U142-V142,0)</f>
        <v>0</v>
      </c>
      <c r="BI142" s="16">
        <f t="shared" ref="BI142:BI173" si="78">IF($D142="是",W142-X142,0)</f>
        <v>0</v>
      </c>
      <c r="BJ142" s="16">
        <f t="shared" ref="BJ142:BJ173" si="79">IF($D142="是",Y142-Z142,0)</f>
        <v>0</v>
      </c>
      <c r="BK142" s="16">
        <f t="shared" ref="BK142:BK173" si="80">IF($D142="是",AA142-AB142,0)</f>
        <v>0</v>
      </c>
      <c r="BL142" s="16">
        <f t="shared" ref="BL142:BL173" si="81">SUM(BM142:BT142)</f>
        <v>0</v>
      </c>
      <c r="BM142" s="16">
        <f t="shared" ref="BM142:BM173" si="82">IF($D142="是",AD142-AE142,0)</f>
        <v>0</v>
      </c>
      <c r="BN142" s="16">
        <f t="shared" ref="BN142:BN173" si="83">IF($D142="是",AF142-AG142,0)</f>
        <v>0</v>
      </c>
      <c r="BO142" s="16">
        <f t="shared" ref="BO142:BO173" si="84">IF($D142="是",AH142-AI142,0)</f>
        <v>0</v>
      </c>
      <c r="BP142" s="16">
        <f t="shared" ref="BP142:BP173" si="85">IF($D142="是",AJ142-AK142,0)</f>
        <v>0</v>
      </c>
      <c r="BQ142" s="16">
        <f t="shared" ref="BQ142:BQ173" si="86">IF($D142="是",AL142-AM142,0)</f>
        <v>0</v>
      </c>
      <c r="BR142" s="16">
        <f t="shared" ref="BR142:BR173" si="87">IF($D142="是",AN142-AO142,0)</f>
        <v>0</v>
      </c>
      <c r="BS142" s="16">
        <f t="shared" ref="BS142:BS173" si="88">IF($D142="是",AP142-AQ142,0)</f>
        <v>0</v>
      </c>
      <c r="BT142" s="22">
        <f t="shared" ref="BT142:BT173" si="89">IF($D142="是",AR142-AS142,0)</f>
        <v>0</v>
      </c>
    </row>
    <row r="143" spans="1:72" s="2167" customFormat="1" ht="12.75">
      <c r="A143" s="1274"/>
      <c r="B143" s="1274"/>
      <c r="C143" s="2153"/>
      <c r="D143" s="2954"/>
      <c r="E143" s="16">
        <f t="shared" si="61"/>
        <v>0</v>
      </c>
      <c r="F143" s="32"/>
      <c r="G143" s="33">
        <f t="shared" si="65"/>
        <v>0</v>
      </c>
      <c r="H143" s="20">
        <f t="shared" si="66"/>
        <v>0</v>
      </c>
      <c r="I143" s="2213"/>
      <c r="J143" s="2213"/>
      <c r="K143" s="2213"/>
      <c r="L143" s="2213"/>
      <c r="M143" s="2213"/>
      <c r="N143" s="2213"/>
      <c r="O143" s="2213"/>
      <c r="P143" s="2213"/>
      <c r="Q143" s="2213"/>
      <c r="R143" s="2213"/>
      <c r="S143" s="2213"/>
      <c r="T143" s="2213"/>
      <c r="U143" s="2213"/>
      <c r="V143" s="2213"/>
      <c r="W143" s="2213"/>
      <c r="X143" s="2213"/>
      <c r="Y143" s="2213"/>
      <c r="Z143" s="2213"/>
      <c r="AA143" s="2213"/>
      <c r="AB143" s="2213"/>
      <c r="AC143" s="16">
        <f t="shared" si="67"/>
        <v>0</v>
      </c>
      <c r="AD143" s="2214"/>
      <c r="AE143" s="2214"/>
      <c r="AF143" s="2214"/>
      <c r="AG143" s="2214"/>
      <c r="AH143" s="2214"/>
      <c r="AI143" s="2214"/>
      <c r="AJ143" s="2214"/>
      <c r="AK143" s="2214"/>
      <c r="AL143" s="2214"/>
      <c r="AM143" s="2214"/>
      <c r="AN143" s="2214"/>
      <c r="AO143" s="2214"/>
      <c r="AP143" s="2214"/>
      <c r="AQ143" s="2214"/>
      <c r="AR143" s="2214"/>
      <c r="AS143" s="2214"/>
      <c r="AT143" s="2215"/>
      <c r="AU143" s="2216"/>
      <c r="AV143" s="11">
        <f t="shared" si="62"/>
        <v>0</v>
      </c>
      <c r="AW143" s="11">
        <f t="shared" si="63"/>
        <v>0</v>
      </c>
      <c r="AX143" s="11">
        <f t="shared" si="64"/>
        <v>0</v>
      </c>
      <c r="AY143" s="2953">
        <f t="shared" si="68"/>
        <v>0</v>
      </c>
      <c r="AZ143" s="16">
        <f t="shared" si="69"/>
        <v>0</v>
      </c>
      <c r="BA143" s="16">
        <f t="shared" si="70"/>
        <v>0</v>
      </c>
      <c r="BB143" s="16">
        <f t="shared" si="71"/>
        <v>0</v>
      </c>
      <c r="BC143" s="16">
        <f t="shared" si="72"/>
        <v>0</v>
      </c>
      <c r="BD143" s="16">
        <f t="shared" si="73"/>
        <v>0</v>
      </c>
      <c r="BE143" s="16">
        <f t="shared" si="74"/>
        <v>0</v>
      </c>
      <c r="BF143" s="16">
        <f t="shared" si="75"/>
        <v>0</v>
      </c>
      <c r="BG143" s="16">
        <f t="shared" si="76"/>
        <v>0</v>
      </c>
      <c r="BH143" s="16">
        <f t="shared" si="77"/>
        <v>0</v>
      </c>
      <c r="BI143" s="16">
        <f t="shared" si="78"/>
        <v>0</v>
      </c>
      <c r="BJ143" s="16">
        <f t="shared" si="79"/>
        <v>0</v>
      </c>
      <c r="BK143" s="16">
        <f t="shared" si="80"/>
        <v>0</v>
      </c>
      <c r="BL143" s="16">
        <f t="shared" si="81"/>
        <v>0</v>
      </c>
      <c r="BM143" s="16">
        <f t="shared" si="82"/>
        <v>0</v>
      </c>
      <c r="BN143" s="16">
        <f t="shared" si="83"/>
        <v>0</v>
      </c>
      <c r="BO143" s="16">
        <f t="shared" si="84"/>
        <v>0</v>
      </c>
      <c r="BP143" s="16">
        <f t="shared" si="85"/>
        <v>0</v>
      </c>
      <c r="BQ143" s="16">
        <f t="shared" si="86"/>
        <v>0</v>
      </c>
      <c r="BR143" s="16">
        <f t="shared" si="87"/>
        <v>0</v>
      </c>
      <c r="BS143" s="16">
        <f t="shared" si="88"/>
        <v>0</v>
      </c>
      <c r="BT143" s="22">
        <f t="shared" si="89"/>
        <v>0</v>
      </c>
    </row>
    <row r="144" spans="1:72" s="2167" customFormat="1" ht="12.75">
      <c r="A144" s="1274"/>
      <c r="B144" s="1274"/>
      <c r="C144" s="2153"/>
      <c r="D144" s="2954"/>
      <c r="E144" s="16">
        <f t="shared" si="61"/>
        <v>0</v>
      </c>
      <c r="F144" s="32"/>
      <c r="G144" s="33">
        <f t="shared" si="65"/>
        <v>0</v>
      </c>
      <c r="H144" s="20">
        <f t="shared" si="66"/>
        <v>0</v>
      </c>
      <c r="I144" s="2213"/>
      <c r="J144" s="2213"/>
      <c r="K144" s="2213"/>
      <c r="L144" s="2213"/>
      <c r="M144" s="2213"/>
      <c r="N144" s="2213"/>
      <c r="O144" s="2213"/>
      <c r="P144" s="2213"/>
      <c r="Q144" s="2213"/>
      <c r="R144" s="2213"/>
      <c r="S144" s="2213"/>
      <c r="T144" s="2213"/>
      <c r="U144" s="2213"/>
      <c r="V144" s="2213"/>
      <c r="W144" s="2213"/>
      <c r="X144" s="2213"/>
      <c r="Y144" s="2213"/>
      <c r="Z144" s="2213"/>
      <c r="AA144" s="2213"/>
      <c r="AB144" s="2213"/>
      <c r="AC144" s="16">
        <f t="shared" si="67"/>
        <v>0</v>
      </c>
      <c r="AD144" s="2214"/>
      <c r="AE144" s="2214"/>
      <c r="AF144" s="2214"/>
      <c r="AG144" s="2214"/>
      <c r="AH144" s="2214"/>
      <c r="AI144" s="2214"/>
      <c r="AJ144" s="2214"/>
      <c r="AK144" s="2214"/>
      <c r="AL144" s="2214"/>
      <c r="AM144" s="2214"/>
      <c r="AN144" s="2214"/>
      <c r="AO144" s="2214"/>
      <c r="AP144" s="2214"/>
      <c r="AQ144" s="2214"/>
      <c r="AR144" s="2214"/>
      <c r="AS144" s="2214"/>
      <c r="AT144" s="2215"/>
      <c r="AU144" s="2216"/>
      <c r="AV144" s="11">
        <f t="shared" si="62"/>
        <v>0</v>
      </c>
      <c r="AW144" s="11">
        <f t="shared" si="63"/>
        <v>0</v>
      </c>
      <c r="AX144" s="11">
        <f t="shared" si="64"/>
        <v>0</v>
      </c>
      <c r="AY144" s="2953">
        <f t="shared" si="68"/>
        <v>0</v>
      </c>
      <c r="AZ144" s="16">
        <f t="shared" si="69"/>
        <v>0</v>
      </c>
      <c r="BA144" s="16">
        <f t="shared" si="70"/>
        <v>0</v>
      </c>
      <c r="BB144" s="16">
        <f t="shared" si="71"/>
        <v>0</v>
      </c>
      <c r="BC144" s="16">
        <f t="shared" si="72"/>
        <v>0</v>
      </c>
      <c r="BD144" s="16">
        <f t="shared" si="73"/>
        <v>0</v>
      </c>
      <c r="BE144" s="16">
        <f t="shared" si="74"/>
        <v>0</v>
      </c>
      <c r="BF144" s="16">
        <f t="shared" si="75"/>
        <v>0</v>
      </c>
      <c r="BG144" s="16">
        <f t="shared" si="76"/>
        <v>0</v>
      </c>
      <c r="BH144" s="16">
        <f t="shared" si="77"/>
        <v>0</v>
      </c>
      <c r="BI144" s="16">
        <f t="shared" si="78"/>
        <v>0</v>
      </c>
      <c r="BJ144" s="16">
        <f t="shared" si="79"/>
        <v>0</v>
      </c>
      <c r="BK144" s="16">
        <f t="shared" si="80"/>
        <v>0</v>
      </c>
      <c r="BL144" s="16">
        <f t="shared" si="81"/>
        <v>0</v>
      </c>
      <c r="BM144" s="16">
        <f t="shared" si="82"/>
        <v>0</v>
      </c>
      <c r="BN144" s="16">
        <f t="shared" si="83"/>
        <v>0</v>
      </c>
      <c r="BO144" s="16">
        <f t="shared" si="84"/>
        <v>0</v>
      </c>
      <c r="BP144" s="16">
        <f t="shared" si="85"/>
        <v>0</v>
      </c>
      <c r="BQ144" s="16">
        <f t="shared" si="86"/>
        <v>0</v>
      </c>
      <c r="BR144" s="16">
        <f t="shared" si="87"/>
        <v>0</v>
      </c>
      <c r="BS144" s="16">
        <f t="shared" si="88"/>
        <v>0</v>
      </c>
      <c r="BT144" s="22">
        <f t="shared" si="89"/>
        <v>0</v>
      </c>
    </row>
    <row r="145" spans="1:72" s="2167" customFormat="1" ht="12.75">
      <c r="A145" s="1274"/>
      <c r="B145" s="1274"/>
      <c r="C145" s="2153"/>
      <c r="D145" s="2954"/>
      <c r="E145" s="16">
        <f t="shared" ref="E145:E176" si="90">IF($C$3="是",ROUND($A$3*G145/$B$3,2),ROUND($A$3*(G145-AT145)/$B$3,2))</f>
        <v>0</v>
      </c>
      <c r="F145" s="32"/>
      <c r="G145" s="33">
        <f t="shared" si="65"/>
        <v>0</v>
      </c>
      <c r="H145" s="20">
        <f t="shared" si="66"/>
        <v>0</v>
      </c>
      <c r="I145" s="2213"/>
      <c r="J145" s="2213"/>
      <c r="K145" s="2213"/>
      <c r="L145" s="2213"/>
      <c r="M145" s="2213"/>
      <c r="N145" s="2213"/>
      <c r="O145" s="2213"/>
      <c r="P145" s="2213"/>
      <c r="Q145" s="2213"/>
      <c r="R145" s="2213"/>
      <c r="S145" s="2213"/>
      <c r="T145" s="2213"/>
      <c r="U145" s="2213"/>
      <c r="V145" s="2213"/>
      <c r="W145" s="2213"/>
      <c r="X145" s="2213"/>
      <c r="Y145" s="2213"/>
      <c r="Z145" s="2213"/>
      <c r="AA145" s="2213"/>
      <c r="AB145" s="2213"/>
      <c r="AC145" s="16">
        <f t="shared" si="67"/>
        <v>0</v>
      </c>
      <c r="AD145" s="2214"/>
      <c r="AE145" s="2214"/>
      <c r="AF145" s="2214"/>
      <c r="AG145" s="2214"/>
      <c r="AH145" s="2214"/>
      <c r="AI145" s="2214"/>
      <c r="AJ145" s="2214"/>
      <c r="AK145" s="2214"/>
      <c r="AL145" s="2214"/>
      <c r="AM145" s="2214"/>
      <c r="AN145" s="2214"/>
      <c r="AO145" s="2214"/>
      <c r="AP145" s="2214"/>
      <c r="AQ145" s="2214"/>
      <c r="AR145" s="2214"/>
      <c r="AS145" s="2214"/>
      <c r="AT145" s="2215"/>
      <c r="AU145" s="2216"/>
      <c r="AV145" s="11">
        <f t="shared" ref="AV145:AV176" si="91">A145</f>
        <v>0</v>
      </c>
      <c r="AW145" s="11">
        <f t="shared" ref="AW145:AW176" si="92">B145</f>
        <v>0</v>
      </c>
      <c r="AX145" s="11">
        <f t="shared" ref="AX145:AX176" si="93">C145</f>
        <v>0</v>
      </c>
      <c r="AY145" s="2953">
        <f t="shared" si="68"/>
        <v>0</v>
      </c>
      <c r="AZ145" s="16">
        <f t="shared" si="69"/>
        <v>0</v>
      </c>
      <c r="BA145" s="16">
        <f t="shared" si="70"/>
        <v>0</v>
      </c>
      <c r="BB145" s="16">
        <f t="shared" si="71"/>
        <v>0</v>
      </c>
      <c r="BC145" s="16">
        <f t="shared" si="72"/>
        <v>0</v>
      </c>
      <c r="BD145" s="16">
        <f t="shared" si="73"/>
        <v>0</v>
      </c>
      <c r="BE145" s="16">
        <f t="shared" si="74"/>
        <v>0</v>
      </c>
      <c r="BF145" s="16">
        <f t="shared" si="75"/>
        <v>0</v>
      </c>
      <c r="BG145" s="16">
        <f t="shared" si="76"/>
        <v>0</v>
      </c>
      <c r="BH145" s="16">
        <f t="shared" si="77"/>
        <v>0</v>
      </c>
      <c r="BI145" s="16">
        <f t="shared" si="78"/>
        <v>0</v>
      </c>
      <c r="BJ145" s="16">
        <f t="shared" si="79"/>
        <v>0</v>
      </c>
      <c r="BK145" s="16">
        <f t="shared" si="80"/>
        <v>0</v>
      </c>
      <c r="BL145" s="16">
        <f t="shared" si="81"/>
        <v>0</v>
      </c>
      <c r="BM145" s="16">
        <f t="shared" si="82"/>
        <v>0</v>
      </c>
      <c r="BN145" s="16">
        <f t="shared" si="83"/>
        <v>0</v>
      </c>
      <c r="BO145" s="16">
        <f t="shared" si="84"/>
        <v>0</v>
      </c>
      <c r="BP145" s="16">
        <f t="shared" si="85"/>
        <v>0</v>
      </c>
      <c r="BQ145" s="16">
        <f t="shared" si="86"/>
        <v>0</v>
      </c>
      <c r="BR145" s="16">
        <f t="shared" si="87"/>
        <v>0</v>
      </c>
      <c r="BS145" s="16">
        <f t="shared" si="88"/>
        <v>0</v>
      </c>
      <c r="BT145" s="22">
        <f t="shared" si="89"/>
        <v>0</v>
      </c>
    </row>
    <row r="146" spans="1:72" s="2167" customFormat="1" ht="12.75">
      <c r="A146" s="1274"/>
      <c r="B146" s="1274"/>
      <c r="C146" s="2153"/>
      <c r="D146" s="2954"/>
      <c r="E146" s="16">
        <f t="shared" si="90"/>
        <v>0</v>
      </c>
      <c r="F146" s="32"/>
      <c r="G146" s="33">
        <f t="shared" si="65"/>
        <v>0</v>
      </c>
      <c r="H146" s="20">
        <f t="shared" si="66"/>
        <v>0</v>
      </c>
      <c r="I146" s="2213"/>
      <c r="J146" s="2213"/>
      <c r="K146" s="2213"/>
      <c r="L146" s="2213"/>
      <c r="M146" s="2213"/>
      <c r="N146" s="2213"/>
      <c r="O146" s="2213"/>
      <c r="P146" s="2213"/>
      <c r="Q146" s="2213"/>
      <c r="R146" s="2213"/>
      <c r="S146" s="2213"/>
      <c r="T146" s="2213"/>
      <c r="U146" s="2213"/>
      <c r="V146" s="2213"/>
      <c r="W146" s="2213"/>
      <c r="X146" s="2213"/>
      <c r="Y146" s="2213"/>
      <c r="Z146" s="2213"/>
      <c r="AA146" s="2213"/>
      <c r="AB146" s="2213"/>
      <c r="AC146" s="16">
        <f t="shared" si="67"/>
        <v>0</v>
      </c>
      <c r="AD146" s="2214"/>
      <c r="AE146" s="2214"/>
      <c r="AF146" s="2214"/>
      <c r="AG146" s="2214"/>
      <c r="AH146" s="2214"/>
      <c r="AI146" s="2214"/>
      <c r="AJ146" s="2214"/>
      <c r="AK146" s="2214"/>
      <c r="AL146" s="2214"/>
      <c r="AM146" s="2214"/>
      <c r="AN146" s="2214"/>
      <c r="AO146" s="2214"/>
      <c r="AP146" s="2214"/>
      <c r="AQ146" s="2214"/>
      <c r="AR146" s="2214"/>
      <c r="AS146" s="2214"/>
      <c r="AT146" s="2215"/>
      <c r="AU146" s="2216"/>
      <c r="AV146" s="11">
        <f t="shared" si="91"/>
        <v>0</v>
      </c>
      <c r="AW146" s="11">
        <f t="shared" si="92"/>
        <v>0</v>
      </c>
      <c r="AX146" s="11">
        <f t="shared" si="93"/>
        <v>0</v>
      </c>
      <c r="AY146" s="2953">
        <f t="shared" si="68"/>
        <v>0</v>
      </c>
      <c r="AZ146" s="16">
        <f t="shared" si="69"/>
        <v>0</v>
      </c>
      <c r="BA146" s="16">
        <f t="shared" si="70"/>
        <v>0</v>
      </c>
      <c r="BB146" s="16">
        <f t="shared" si="71"/>
        <v>0</v>
      </c>
      <c r="BC146" s="16">
        <f t="shared" si="72"/>
        <v>0</v>
      </c>
      <c r="BD146" s="16">
        <f t="shared" si="73"/>
        <v>0</v>
      </c>
      <c r="BE146" s="16">
        <f t="shared" si="74"/>
        <v>0</v>
      </c>
      <c r="BF146" s="16">
        <f t="shared" si="75"/>
        <v>0</v>
      </c>
      <c r="BG146" s="16">
        <f t="shared" si="76"/>
        <v>0</v>
      </c>
      <c r="BH146" s="16">
        <f t="shared" si="77"/>
        <v>0</v>
      </c>
      <c r="BI146" s="16">
        <f t="shared" si="78"/>
        <v>0</v>
      </c>
      <c r="BJ146" s="16">
        <f t="shared" si="79"/>
        <v>0</v>
      </c>
      <c r="BK146" s="16">
        <f t="shared" si="80"/>
        <v>0</v>
      </c>
      <c r="BL146" s="16">
        <f t="shared" si="81"/>
        <v>0</v>
      </c>
      <c r="BM146" s="16">
        <f t="shared" si="82"/>
        <v>0</v>
      </c>
      <c r="BN146" s="16">
        <f t="shared" si="83"/>
        <v>0</v>
      </c>
      <c r="BO146" s="16">
        <f t="shared" si="84"/>
        <v>0</v>
      </c>
      <c r="BP146" s="16">
        <f t="shared" si="85"/>
        <v>0</v>
      </c>
      <c r="BQ146" s="16">
        <f t="shared" si="86"/>
        <v>0</v>
      </c>
      <c r="BR146" s="16">
        <f t="shared" si="87"/>
        <v>0</v>
      </c>
      <c r="BS146" s="16">
        <f t="shared" si="88"/>
        <v>0</v>
      </c>
      <c r="BT146" s="22">
        <f t="shared" si="89"/>
        <v>0</v>
      </c>
    </row>
    <row r="147" spans="1:72" s="2167" customFormat="1" ht="12.75">
      <c r="A147" s="1274"/>
      <c r="B147" s="1274"/>
      <c r="C147" s="2153"/>
      <c r="D147" s="2954"/>
      <c r="E147" s="16">
        <f t="shared" si="90"/>
        <v>0</v>
      </c>
      <c r="F147" s="32"/>
      <c r="G147" s="33">
        <f t="shared" si="65"/>
        <v>0</v>
      </c>
      <c r="H147" s="20">
        <f t="shared" si="66"/>
        <v>0</v>
      </c>
      <c r="I147" s="2213"/>
      <c r="J147" s="2213"/>
      <c r="K147" s="2213"/>
      <c r="L147" s="2213"/>
      <c r="M147" s="2213"/>
      <c r="N147" s="2213"/>
      <c r="O147" s="2213"/>
      <c r="P147" s="2213"/>
      <c r="Q147" s="2213"/>
      <c r="R147" s="2213"/>
      <c r="S147" s="2213"/>
      <c r="T147" s="2213"/>
      <c r="U147" s="2213"/>
      <c r="V147" s="2213"/>
      <c r="W147" s="2213"/>
      <c r="X147" s="2213"/>
      <c r="Y147" s="2213"/>
      <c r="Z147" s="2213"/>
      <c r="AA147" s="2213"/>
      <c r="AB147" s="2213"/>
      <c r="AC147" s="16">
        <f t="shared" si="67"/>
        <v>0</v>
      </c>
      <c r="AD147" s="2214"/>
      <c r="AE147" s="2214"/>
      <c r="AF147" s="2214"/>
      <c r="AG147" s="2214"/>
      <c r="AH147" s="2214"/>
      <c r="AI147" s="2214"/>
      <c r="AJ147" s="2214"/>
      <c r="AK147" s="2214"/>
      <c r="AL147" s="2214"/>
      <c r="AM147" s="2214"/>
      <c r="AN147" s="2214"/>
      <c r="AO147" s="2214"/>
      <c r="AP147" s="2214"/>
      <c r="AQ147" s="2214"/>
      <c r="AR147" s="2214"/>
      <c r="AS147" s="2214"/>
      <c r="AT147" s="2215"/>
      <c r="AU147" s="2216"/>
      <c r="AV147" s="11">
        <f t="shared" si="91"/>
        <v>0</v>
      </c>
      <c r="AW147" s="11">
        <f t="shared" si="92"/>
        <v>0</v>
      </c>
      <c r="AX147" s="11">
        <f t="shared" si="93"/>
        <v>0</v>
      </c>
      <c r="AY147" s="2953">
        <f t="shared" si="68"/>
        <v>0</v>
      </c>
      <c r="AZ147" s="16">
        <f t="shared" si="69"/>
        <v>0</v>
      </c>
      <c r="BA147" s="16">
        <f t="shared" si="70"/>
        <v>0</v>
      </c>
      <c r="BB147" s="16">
        <f t="shared" si="71"/>
        <v>0</v>
      </c>
      <c r="BC147" s="16">
        <f t="shared" si="72"/>
        <v>0</v>
      </c>
      <c r="BD147" s="16">
        <f t="shared" si="73"/>
        <v>0</v>
      </c>
      <c r="BE147" s="16">
        <f t="shared" si="74"/>
        <v>0</v>
      </c>
      <c r="BF147" s="16">
        <f t="shared" si="75"/>
        <v>0</v>
      </c>
      <c r="BG147" s="16">
        <f t="shared" si="76"/>
        <v>0</v>
      </c>
      <c r="BH147" s="16">
        <f t="shared" si="77"/>
        <v>0</v>
      </c>
      <c r="BI147" s="16">
        <f t="shared" si="78"/>
        <v>0</v>
      </c>
      <c r="BJ147" s="16">
        <f t="shared" si="79"/>
        <v>0</v>
      </c>
      <c r="BK147" s="16">
        <f t="shared" si="80"/>
        <v>0</v>
      </c>
      <c r="BL147" s="16">
        <f t="shared" si="81"/>
        <v>0</v>
      </c>
      <c r="BM147" s="16">
        <f t="shared" si="82"/>
        <v>0</v>
      </c>
      <c r="BN147" s="16">
        <f t="shared" si="83"/>
        <v>0</v>
      </c>
      <c r="BO147" s="16">
        <f t="shared" si="84"/>
        <v>0</v>
      </c>
      <c r="BP147" s="16">
        <f t="shared" si="85"/>
        <v>0</v>
      </c>
      <c r="BQ147" s="16">
        <f t="shared" si="86"/>
        <v>0</v>
      </c>
      <c r="BR147" s="16">
        <f t="shared" si="87"/>
        <v>0</v>
      </c>
      <c r="BS147" s="16">
        <f t="shared" si="88"/>
        <v>0</v>
      </c>
      <c r="BT147" s="22">
        <f t="shared" si="89"/>
        <v>0</v>
      </c>
    </row>
    <row r="148" spans="1:72" s="2167" customFormat="1" ht="12.75">
      <c r="A148" s="1274"/>
      <c r="B148" s="1274"/>
      <c r="C148" s="2153"/>
      <c r="D148" s="2954"/>
      <c r="E148" s="16">
        <f t="shared" si="90"/>
        <v>0</v>
      </c>
      <c r="F148" s="32"/>
      <c r="G148" s="33">
        <f t="shared" si="65"/>
        <v>0</v>
      </c>
      <c r="H148" s="20">
        <f t="shared" si="66"/>
        <v>0</v>
      </c>
      <c r="I148" s="2213"/>
      <c r="J148" s="2213"/>
      <c r="K148" s="2213"/>
      <c r="L148" s="2213"/>
      <c r="M148" s="2213"/>
      <c r="N148" s="2213"/>
      <c r="O148" s="2213"/>
      <c r="P148" s="2213"/>
      <c r="Q148" s="2213"/>
      <c r="R148" s="2213"/>
      <c r="S148" s="2213"/>
      <c r="T148" s="2213"/>
      <c r="U148" s="2213"/>
      <c r="V148" s="2213"/>
      <c r="W148" s="2213"/>
      <c r="X148" s="2213"/>
      <c r="Y148" s="2213"/>
      <c r="Z148" s="2213"/>
      <c r="AA148" s="2213"/>
      <c r="AB148" s="2213"/>
      <c r="AC148" s="16">
        <f t="shared" si="67"/>
        <v>0</v>
      </c>
      <c r="AD148" s="2214"/>
      <c r="AE148" s="2214"/>
      <c r="AF148" s="2214"/>
      <c r="AG148" s="2214"/>
      <c r="AH148" s="2214"/>
      <c r="AI148" s="2214"/>
      <c r="AJ148" s="2214"/>
      <c r="AK148" s="2214"/>
      <c r="AL148" s="2214"/>
      <c r="AM148" s="2214"/>
      <c r="AN148" s="2214"/>
      <c r="AO148" s="2214"/>
      <c r="AP148" s="2214"/>
      <c r="AQ148" s="2214"/>
      <c r="AR148" s="2214"/>
      <c r="AS148" s="2214"/>
      <c r="AT148" s="2215"/>
      <c r="AU148" s="2216"/>
      <c r="AV148" s="11">
        <f t="shared" si="91"/>
        <v>0</v>
      </c>
      <c r="AW148" s="11">
        <f t="shared" si="92"/>
        <v>0</v>
      </c>
      <c r="AX148" s="11">
        <f t="shared" si="93"/>
        <v>0</v>
      </c>
      <c r="AY148" s="2953">
        <f t="shared" si="68"/>
        <v>0</v>
      </c>
      <c r="AZ148" s="16">
        <f t="shared" si="69"/>
        <v>0</v>
      </c>
      <c r="BA148" s="16">
        <f t="shared" si="70"/>
        <v>0</v>
      </c>
      <c r="BB148" s="16">
        <f t="shared" si="71"/>
        <v>0</v>
      </c>
      <c r="BC148" s="16">
        <f t="shared" si="72"/>
        <v>0</v>
      </c>
      <c r="BD148" s="16">
        <f t="shared" si="73"/>
        <v>0</v>
      </c>
      <c r="BE148" s="16">
        <f t="shared" si="74"/>
        <v>0</v>
      </c>
      <c r="BF148" s="16">
        <f t="shared" si="75"/>
        <v>0</v>
      </c>
      <c r="BG148" s="16">
        <f t="shared" si="76"/>
        <v>0</v>
      </c>
      <c r="BH148" s="16">
        <f t="shared" si="77"/>
        <v>0</v>
      </c>
      <c r="BI148" s="16">
        <f t="shared" si="78"/>
        <v>0</v>
      </c>
      <c r="BJ148" s="16">
        <f t="shared" si="79"/>
        <v>0</v>
      </c>
      <c r="BK148" s="16">
        <f t="shared" si="80"/>
        <v>0</v>
      </c>
      <c r="BL148" s="16">
        <f t="shared" si="81"/>
        <v>0</v>
      </c>
      <c r="BM148" s="16">
        <f t="shared" si="82"/>
        <v>0</v>
      </c>
      <c r="BN148" s="16">
        <f t="shared" si="83"/>
        <v>0</v>
      </c>
      <c r="BO148" s="16">
        <f t="shared" si="84"/>
        <v>0</v>
      </c>
      <c r="BP148" s="16">
        <f t="shared" si="85"/>
        <v>0</v>
      </c>
      <c r="BQ148" s="16">
        <f t="shared" si="86"/>
        <v>0</v>
      </c>
      <c r="BR148" s="16">
        <f t="shared" si="87"/>
        <v>0</v>
      </c>
      <c r="BS148" s="16">
        <f t="shared" si="88"/>
        <v>0</v>
      </c>
      <c r="BT148" s="22">
        <f t="shared" si="89"/>
        <v>0</v>
      </c>
    </row>
    <row r="149" spans="1:72" s="2167" customFormat="1" ht="12.75">
      <c r="A149" s="1274"/>
      <c r="B149" s="1274"/>
      <c r="C149" s="2153"/>
      <c r="D149" s="2954"/>
      <c r="E149" s="16">
        <f t="shared" si="90"/>
        <v>0</v>
      </c>
      <c r="F149" s="32"/>
      <c r="G149" s="33">
        <f t="shared" si="65"/>
        <v>0</v>
      </c>
      <c r="H149" s="20">
        <f t="shared" si="66"/>
        <v>0</v>
      </c>
      <c r="I149" s="2213"/>
      <c r="J149" s="2213"/>
      <c r="K149" s="2213"/>
      <c r="L149" s="2213"/>
      <c r="M149" s="2213"/>
      <c r="N149" s="2213"/>
      <c r="O149" s="2213"/>
      <c r="P149" s="2213"/>
      <c r="Q149" s="2213"/>
      <c r="R149" s="2213"/>
      <c r="S149" s="2213"/>
      <c r="T149" s="2213"/>
      <c r="U149" s="2213"/>
      <c r="V149" s="2213"/>
      <c r="W149" s="2213"/>
      <c r="X149" s="2213"/>
      <c r="Y149" s="2213"/>
      <c r="Z149" s="2213"/>
      <c r="AA149" s="2213"/>
      <c r="AB149" s="2213"/>
      <c r="AC149" s="16">
        <f t="shared" si="67"/>
        <v>0</v>
      </c>
      <c r="AD149" s="2214"/>
      <c r="AE149" s="2214"/>
      <c r="AF149" s="2214"/>
      <c r="AG149" s="2214"/>
      <c r="AH149" s="2214"/>
      <c r="AI149" s="2214"/>
      <c r="AJ149" s="2214"/>
      <c r="AK149" s="2214"/>
      <c r="AL149" s="2214"/>
      <c r="AM149" s="2214"/>
      <c r="AN149" s="2214"/>
      <c r="AO149" s="2214"/>
      <c r="AP149" s="2214"/>
      <c r="AQ149" s="2214"/>
      <c r="AR149" s="2214"/>
      <c r="AS149" s="2214"/>
      <c r="AT149" s="2215"/>
      <c r="AU149" s="2216"/>
      <c r="AV149" s="11">
        <f t="shared" si="91"/>
        <v>0</v>
      </c>
      <c r="AW149" s="11">
        <f t="shared" si="92"/>
        <v>0</v>
      </c>
      <c r="AX149" s="11">
        <f t="shared" si="93"/>
        <v>0</v>
      </c>
      <c r="AY149" s="2953">
        <f t="shared" si="68"/>
        <v>0</v>
      </c>
      <c r="AZ149" s="16">
        <f t="shared" si="69"/>
        <v>0</v>
      </c>
      <c r="BA149" s="16">
        <f t="shared" si="70"/>
        <v>0</v>
      </c>
      <c r="BB149" s="16">
        <f t="shared" si="71"/>
        <v>0</v>
      </c>
      <c r="BC149" s="16">
        <f t="shared" si="72"/>
        <v>0</v>
      </c>
      <c r="BD149" s="16">
        <f t="shared" si="73"/>
        <v>0</v>
      </c>
      <c r="BE149" s="16">
        <f t="shared" si="74"/>
        <v>0</v>
      </c>
      <c r="BF149" s="16">
        <f t="shared" si="75"/>
        <v>0</v>
      </c>
      <c r="BG149" s="16">
        <f t="shared" si="76"/>
        <v>0</v>
      </c>
      <c r="BH149" s="16">
        <f t="shared" si="77"/>
        <v>0</v>
      </c>
      <c r="BI149" s="16">
        <f t="shared" si="78"/>
        <v>0</v>
      </c>
      <c r="BJ149" s="16">
        <f t="shared" si="79"/>
        <v>0</v>
      </c>
      <c r="BK149" s="16">
        <f t="shared" si="80"/>
        <v>0</v>
      </c>
      <c r="BL149" s="16">
        <f t="shared" si="81"/>
        <v>0</v>
      </c>
      <c r="BM149" s="16">
        <f t="shared" si="82"/>
        <v>0</v>
      </c>
      <c r="BN149" s="16">
        <f t="shared" si="83"/>
        <v>0</v>
      </c>
      <c r="BO149" s="16">
        <f t="shared" si="84"/>
        <v>0</v>
      </c>
      <c r="BP149" s="16">
        <f t="shared" si="85"/>
        <v>0</v>
      </c>
      <c r="BQ149" s="16">
        <f t="shared" si="86"/>
        <v>0</v>
      </c>
      <c r="BR149" s="16">
        <f t="shared" si="87"/>
        <v>0</v>
      </c>
      <c r="BS149" s="16">
        <f t="shared" si="88"/>
        <v>0</v>
      </c>
      <c r="BT149" s="22">
        <f t="shared" si="89"/>
        <v>0</v>
      </c>
    </row>
    <row r="150" spans="1:72" s="2167" customFormat="1" ht="12.75">
      <c r="A150" s="1274"/>
      <c r="B150" s="1274"/>
      <c r="C150" s="2153"/>
      <c r="D150" s="2954"/>
      <c r="E150" s="16">
        <f t="shared" si="90"/>
        <v>0</v>
      </c>
      <c r="F150" s="32"/>
      <c r="G150" s="33">
        <f t="shared" si="65"/>
        <v>0</v>
      </c>
      <c r="H150" s="20">
        <f t="shared" si="66"/>
        <v>0</v>
      </c>
      <c r="I150" s="2213"/>
      <c r="J150" s="2213"/>
      <c r="K150" s="2213"/>
      <c r="L150" s="2213"/>
      <c r="M150" s="2213"/>
      <c r="N150" s="2213"/>
      <c r="O150" s="2213"/>
      <c r="P150" s="2213"/>
      <c r="Q150" s="2213"/>
      <c r="R150" s="2213"/>
      <c r="S150" s="2213"/>
      <c r="T150" s="2213"/>
      <c r="U150" s="2213"/>
      <c r="V150" s="2213"/>
      <c r="W150" s="2213"/>
      <c r="X150" s="2213"/>
      <c r="Y150" s="2213"/>
      <c r="Z150" s="2213"/>
      <c r="AA150" s="2213"/>
      <c r="AB150" s="2213"/>
      <c r="AC150" s="16">
        <f t="shared" si="67"/>
        <v>0</v>
      </c>
      <c r="AD150" s="2214"/>
      <c r="AE150" s="2214"/>
      <c r="AF150" s="2214"/>
      <c r="AG150" s="2214"/>
      <c r="AH150" s="2214"/>
      <c r="AI150" s="2214"/>
      <c r="AJ150" s="2214"/>
      <c r="AK150" s="2214"/>
      <c r="AL150" s="2214"/>
      <c r="AM150" s="2214"/>
      <c r="AN150" s="2214"/>
      <c r="AO150" s="2214"/>
      <c r="AP150" s="2214"/>
      <c r="AQ150" s="2214"/>
      <c r="AR150" s="2214"/>
      <c r="AS150" s="2214"/>
      <c r="AT150" s="2215"/>
      <c r="AU150" s="2216"/>
      <c r="AV150" s="11">
        <f t="shared" si="91"/>
        <v>0</v>
      </c>
      <c r="AW150" s="11">
        <f t="shared" si="92"/>
        <v>0</v>
      </c>
      <c r="AX150" s="11">
        <f t="shared" si="93"/>
        <v>0</v>
      </c>
      <c r="AY150" s="2953">
        <f t="shared" si="68"/>
        <v>0</v>
      </c>
      <c r="AZ150" s="16">
        <f t="shared" si="69"/>
        <v>0</v>
      </c>
      <c r="BA150" s="16">
        <f t="shared" si="70"/>
        <v>0</v>
      </c>
      <c r="BB150" s="16">
        <f t="shared" si="71"/>
        <v>0</v>
      </c>
      <c r="BC150" s="16">
        <f t="shared" si="72"/>
        <v>0</v>
      </c>
      <c r="BD150" s="16">
        <f t="shared" si="73"/>
        <v>0</v>
      </c>
      <c r="BE150" s="16">
        <f t="shared" si="74"/>
        <v>0</v>
      </c>
      <c r="BF150" s="16">
        <f t="shared" si="75"/>
        <v>0</v>
      </c>
      <c r="BG150" s="16">
        <f t="shared" si="76"/>
        <v>0</v>
      </c>
      <c r="BH150" s="16">
        <f t="shared" si="77"/>
        <v>0</v>
      </c>
      <c r="BI150" s="16">
        <f t="shared" si="78"/>
        <v>0</v>
      </c>
      <c r="BJ150" s="16">
        <f t="shared" si="79"/>
        <v>0</v>
      </c>
      <c r="BK150" s="16">
        <f t="shared" si="80"/>
        <v>0</v>
      </c>
      <c r="BL150" s="16">
        <f t="shared" si="81"/>
        <v>0</v>
      </c>
      <c r="BM150" s="16">
        <f t="shared" si="82"/>
        <v>0</v>
      </c>
      <c r="BN150" s="16">
        <f t="shared" si="83"/>
        <v>0</v>
      </c>
      <c r="BO150" s="16">
        <f t="shared" si="84"/>
        <v>0</v>
      </c>
      <c r="BP150" s="16">
        <f t="shared" si="85"/>
        <v>0</v>
      </c>
      <c r="BQ150" s="16">
        <f t="shared" si="86"/>
        <v>0</v>
      </c>
      <c r="BR150" s="16">
        <f t="shared" si="87"/>
        <v>0</v>
      </c>
      <c r="BS150" s="16">
        <f t="shared" si="88"/>
        <v>0</v>
      </c>
      <c r="BT150" s="22">
        <f t="shared" si="89"/>
        <v>0</v>
      </c>
    </row>
    <row r="151" spans="1:72" s="2167" customFormat="1" ht="12.75">
      <c r="A151" s="1274"/>
      <c r="B151" s="1274"/>
      <c r="C151" s="2153"/>
      <c r="D151" s="2954"/>
      <c r="E151" s="16">
        <f t="shared" si="90"/>
        <v>0</v>
      </c>
      <c r="F151" s="32"/>
      <c r="G151" s="33">
        <f t="shared" si="65"/>
        <v>0</v>
      </c>
      <c r="H151" s="20">
        <f t="shared" si="66"/>
        <v>0</v>
      </c>
      <c r="I151" s="2213"/>
      <c r="J151" s="2213"/>
      <c r="K151" s="2213"/>
      <c r="L151" s="2213"/>
      <c r="M151" s="2213"/>
      <c r="N151" s="2213"/>
      <c r="O151" s="2213"/>
      <c r="P151" s="2213"/>
      <c r="Q151" s="2213"/>
      <c r="R151" s="2213"/>
      <c r="S151" s="2213"/>
      <c r="T151" s="2213"/>
      <c r="U151" s="2213"/>
      <c r="V151" s="2213"/>
      <c r="W151" s="2213"/>
      <c r="X151" s="2213"/>
      <c r="Y151" s="2213"/>
      <c r="Z151" s="2213"/>
      <c r="AA151" s="2213"/>
      <c r="AB151" s="2213"/>
      <c r="AC151" s="16">
        <f t="shared" si="67"/>
        <v>0</v>
      </c>
      <c r="AD151" s="2214"/>
      <c r="AE151" s="2214"/>
      <c r="AF151" s="2214"/>
      <c r="AG151" s="2214"/>
      <c r="AH151" s="2214"/>
      <c r="AI151" s="2214"/>
      <c r="AJ151" s="2214"/>
      <c r="AK151" s="2214"/>
      <c r="AL151" s="2214"/>
      <c r="AM151" s="2214"/>
      <c r="AN151" s="2214"/>
      <c r="AO151" s="2214"/>
      <c r="AP151" s="2214"/>
      <c r="AQ151" s="2214"/>
      <c r="AR151" s="2214"/>
      <c r="AS151" s="2214"/>
      <c r="AT151" s="2215"/>
      <c r="AU151" s="2216"/>
      <c r="AV151" s="11">
        <f t="shared" si="91"/>
        <v>0</v>
      </c>
      <c r="AW151" s="11">
        <f t="shared" si="92"/>
        <v>0</v>
      </c>
      <c r="AX151" s="11">
        <f t="shared" si="93"/>
        <v>0</v>
      </c>
      <c r="AY151" s="2953">
        <f t="shared" si="68"/>
        <v>0</v>
      </c>
      <c r="AZ151" s="16">
        <f t="shared" si="69"/>
        <v>0</v>
      </c>
      <c r="BA151" s="16">
        <f t="shared" si="70"/>
        <v>0</v>
      </c>
      <c r="BB151" s="16">
        <f t="shared" si="71"/>
        <v>0</v>
      </c>
      <c r="BC151" s="16">
        <f t="shared" si="72"/>
        <v>0</v>
      </c>
      <c r="BD151" s="16">
        <f t="shared" si="73"/>
        <v>0</v>
      </c>
      <c r="BE151" s="16">
        <f t="shared" si="74"/>
        <v>0</v>
      </c>
      <c r="BF151" s="16">
        <f t="shared" si="75"/>
        <v>0</v>
      </c>
      <c r="BG151" s="16">
        <f t="shared" si="76"/>
        <v>0</v>
      </c>
      <c r="BH151" s="16">
        <f t="shared" si="77"/>
        <v>0</v>
      </c>
      <c r="BI151" s="16">
        <f t="shared" si="78"/>
        <v>0</v>
      </c>
      <c r="BJ151" s="16">
        <f t="shared" si="79"/>
        <v>0</v>
      </c>
      <c r="BK151" s="16">
        <f t="shared" si="80"/>
        <v>0</v>
      </c>
      <c r="BL151" s="16">
        <f t="shared" si="81"/>
        <v>0</v>
      </c>
      <c r="BM151" s="16">
        <f t="shared" si="82"/>
        <v>0</v>
      </c>
      <c r="BN151" s="16">
        <f t="shared" si="83"/>
        <v>0</v>
      </c>
      <c r="BO151" s="16">
        <f t="shared" si="84"/>
        <v>0</v>
      </c>
      <c r="BP151" s="16">
        <f t="shared" si="85"/>
        <v>0</v>
      </c>
      <c r="BQ151" s="16">
        <f t="shared" si="86"/>
        <v>0</v>
      </c>
      <c r="BR151" s="16">
        <f t="shared" si="87"/>
        <v>0</v>
      </c>
      <c r="BS151" s="16">
        <f t="shared" si="88"/>
        <v>0</v>
      </c>
      <c r="BT151" s="22">
        <f t="shared" si="89"/>
        <v>0</v>
      </c>
    </row>
    <row r="152" spans="1:72" s="2167" customFormat="1" ht="12.75">
      <c r="A152" s="1274"/>
      <c r="B152" s="1274"/>
      <c r="C152" s="2153"/>
      <c r="D152" s="2954"/>
      <c r="E152" s="16">
        <f t="shared" si="90"/>
        <v>0</v>
      </c>
      <c r="F152" s="32"/>
      <c r="G152" s="33">
        <f t="shared" si="65"/>
        <v>0</v>
      </c>
      <c r="H152" s="20">
        <f t="shared" si="66"/>
        <v>0</v>
      </c>
      <c r="I152" s="2213"/>
      <c r="J152" s="2213"/>
      <c r="K152" s="2213"/>
      <c r="L152" s="2213"/>
      <c r="M152" s="2213"/>
      <c r="N152" s="2213"/>
      <c r="O152" s="2213"/>
      <c r="P152" s="2213"/>
      <c r="Q152" s="2213"/>
      <c r="R152" s="2213"/>
      <c r="S152" s="2213"/>
      <c r="T152" s="2213"/>
      <c r="U152" s="2213"/>
      <c r="V152" s="2213"/>
      <c r="W152" s="2213"/>
      <c r="X152" s="2213"/>
      <c r="Y152" s="2213"/>
      <c r="Z152" s="2213"/>
      <c r="AA152" s="2213"/>
      <c r="AB152" s="2213"/>
      <c r="AC152" s="16">
        <f t="shared" si="67"/>
        <v>0</v>
      </c>
      <c r="AD152" s="2214"/>
      <c r="AE152" s="2214"/>
      <c r="AF152" s="2214"/>
      <c r="AG152" s="2214"/>
      <c r="AH152" s="2214"/>
      <c r="AI152" s="2214"/>
      <c r="AJ152" s="2214"/>
      <c r="AK152" s="2214"/>
      <c r="AL152" s="2214"/>
      <c r="AM152" s="2214"/>
      <c r="AN152" s="2214"/>
      <c r="AO152" s="2214"/>
      <c r="AP152" s="2214"/>
      <c r="AQ152" s="2214"/>
      <c r="AR152" s="2214"/>
      <c r="AS152" s="2214"/>
      <c r="AT152" s="2215"/>
      <c r="AU152" s="2216"/>
      <c r="AV152" s="11">
        <f t="shared" si="91"/>
        <v>0</v>
      </c>
      <c r="AW152" s="11">
        <f t="shared" si="92"/>
        <v>0</v>
      </c>
      <c r="AX152" s="11">
        <f t="shared" si="93"/>
        <v>0</v>
      </c>
      <c r="AY152" s="2953">
        <f t="shared" si="68"/>
        <v>0</v>
      </c>
      <c r="AZ152" s="16">
        <f t="shared" si="69"/>
        <v>0</v>
      </c>
      <c r="BA152" s="16">
        <f t="shared" si="70"/>
        <v>0</v>
      </c>
      <c r="BB152" s="16">
        <f t="shared" si="71"/>
        <v>0</v>
      </c>
      <c r="BC152" s="16">
        <f t="shared" si="72"/>
        <v>0</v>
      </c>
      <c r="BD152" s="16">
        <f t="shared" si="73"/>
        <v>0</v>
      </c>
      <c r="BE152" s="16">
        <f t="shared" si="74"/>
        <v>0</v>
      </c>
      <c r="BF152" s="16">
        <f t="shared" si="75"/>
        <v>0</v>
      </c>
      <c r="BG152" s="16">
        <f t="shared" si="76"/>
        <v>0</v>
      </c>
      <c r="BH152" s="16">
        <f t="shared" si="77"/>
        <v>0</v>
      </c>
      <c r="BI152" s="16">
        <f t="shared" si="78"/>
        <v>0</v>
      </c>
      <c r="BJ152" s="16">
        <f t="shared" si="79"/>
        <v>0</v>
      </c>
      <c r="BK152" s="16">
        <f t="shared" si="80"/>
        <v>0</v>
      </c>
      <c r="BL152" s="16">
        <f t="shared" si="81"/>
        <v>0</v>
      </c>
      <c r="BM152" s="16">
        <f t="shared" si="82"/>
        <v>0</v>
      </c>
      <c r="BN152" s="16">
        <f t="shared" si="83"/>
        <v>0</v>
      </c>
      <c r="BO152" s="16">
        <f t="shared" si="84"/>
        <v>0</v>
      </c>
      <c r="BP152" s="16">
        <f t="shared" si="85"/>
        <v>0</v>
      </c>
      <c r="BQ152" s="16">
        <f t="shared" si="86"/>
        <v>0</v>
      </c>
      <c r="BR152" s="16">
        <f t="shared" si="87"/>
        <v>0</v>
      </c>
      <c r="BS152" s="16">
        <f t="shared" si="88"/>
        <v>0</v>
      </c>
      <c r="BT152" s="22">
        <f t="shared" si="89"/>
        <v>0</v>
      </c>
    </row>
    <row r="153" spans="1:72" s="2167" customFormat="1" ht="12.75">
      <c r="A153" s="1274"/>
      <c r="B153" s="1274"/>
      <c r="C153" s="2153"/>
      <c r="D153" s="2954"/>
      <c r="E153" s="16">
        <f t="shared" si="90"/>
        <v>0</v>
      </c>
      <c r="F153" s="32"/>
      <c r="G153" s="33">
        <f t="shared" si="65"/>
        <v>0</v>
      </c>
      <c r="H153" s="20">
        <f t="shared" si="66"/>
        <v>0</v>
      </c>
      <c r="I153" s="2213"/>
      <c r="J153" s="2213"/>
      <c r="K153" s="2213"/>
      <c r="L153" s="2213"/>
      <c r="M153" s="2213"/>
      <c r="N153" s="2213"/>
      <c r="O153" s="2213"/>
      <c r="P153" s="2213"/>
      <c r="Q153" s="2213"/>
      <c r="R153" s="2213"/>
      <c r="S153" s="2213"/>
      <c r="T153" s="2213"/>
      <c r="U153" s="2213"/>
      <c r="V153" s="2213"/>
      <c r="W153" s="2213"/>
      <c r="X153" s="2213"/>
      <c r="Y153" s="2213"/>
      <c r="Z153" s="2213"/>
      <c r="AA153" s="2213"/>
      <c r="AB153" s="2213"/>
      <c r="AC153" s="16">
        <f t="shared" si="67"/>
        <v>0</v>
      </c>
      <c r="AD153" s="2214"/>
      <c r="AE153" s="2214"/>
      <c r="AF153" s="2214"/>
      <c r="AG153" s="2214"/>
      <c r="AH153" s="2214"/>
      <c r="AI153" s="2214"/>
      <c r="AJ153" s="2214"/>
      <c r="AK153" s="2214"/>
      <c r="AL153" s="2214"/>
      <c r="AM153" s="2214"/>
      <c r="AN153" s="2214"/>
      <c r="AO153" s="2214"/>
      <c r="AP153" s="2214"/>
      <c r="AQ153" s="2214"/>
      <c r="AR153" s="2214"/>
      <c r="AS153" s="2214"/>
      <c r="AT153" s="2215"/>
      <c r="AU153" s="2216"/>
      <c r="AV153" s="11">
        <f t="shared" si="91"/>
        <v>0</v>
      </c>
      <c r="AW153" s="11">
        <f t="shared" si="92"/>
        <v>0</v>
      </c>
      <c r="AX153" s="11">
        <f t="shared" si="93"/>
        <v>0</v>
      </c>
      <c r="AY153" s="2953">
        <f t="shared" si="68"/>
        <v>0</v>
      </c>
      <c r="AZ153" s="16">
        <f t="shared" si="69"/>
        <v>0</v>
      </c>
      <c r="BA153" s="16">
        <f t="shared" si="70"/>
        <v>0</v>
      </c>
      <c r="BB153" s="16">
        <f t="shared" si="71"/>
        <v>0</v>
      </c>
      <c r="BC153" s="16">
        <f t="shared" si="72"/>
        <v>0</v>
      </c>
      <c r="BD153" s="16">
        <f t="shared" si="73"/>
        <v>0</v>
      </c>
      <c r="BE153" s="16">
        <f t="shared" si="74"/>
        <v>0</v>
      </c>
      <c r="BF153" s="16">
        <f t="shared" si="75"/>
        <v>0</v>
      </c>
      <c r="BG153" s="16">
        <f t="shared" si="76"/>
        <v>0</v>
      </c>
      <c r="BH153" s="16">
        <f t="shared" si="77"/>
        <v>0</v>
      </c>
      <c r="BI153" s="16">
        <f t="shared" si="78"/>
        <v>0</v>
      </c>
      <c r="BJ153" s="16">
        <f t="shared" si="79"/>
        <v>0</v>
      </c>
      <c r="BK153" s="16">
        <f t="shared" si="80"/>
        <v>0</v>
      </c>
      <c r="BL153" s="16">
        <f t="shared" si="81"/>
        <v>0</v>
      </c>
      <c r="BM153" s="16">
        <f t="shared" si="82"/>
        <v>0</v>
      </c>
      <c r="BN153" s="16">
        <f t="shared" si="83"/>
        <v>0</v>
      </c>
      <c r="BO153" s="16">
        <f t="shared" si="84"/>
        <v>0</v>
      </c>
      <c r="BP153" s="16">
        <f t="shared" si="85"/>
        <v>0</v>
      </c>
      <c r="BQ153" s="16">
        <f t="shared" si="86"/>
        <v>0</v>
      </c>
      <c r="BR153" s="16">
        <f t="shared" si="87"/>
        <v>0</v>
      </c>
      <c r="BS153" s="16">
        <f t="shared" si="88"/>
        <v>0</v>
      </c>
      <c r="BT153" s="22">
        <f t="shared" si="89"/>
        <v>0</v>
      </c>
    </row>
    <row r="154" spans="1:72" s="2167" customFormat="1" ht="12.75">
      <c r="A154" s="1274"/>
      <c r="B154" s="1274"/>
      <c r="C154" s="2153"/>
      <c r="D154" s="2954"/>
      <c r="E154" s="16">
        <f t="shared" si="90"/>
        <v>0</v>
      </c>
      <c r="F154" s="32"/>
      <c r="G154" s="33">
        <f t="shared" si="65"/>
        <v>0</v>
      </c>
      <c r="H154" s="20">
        <f t="shared" si="66"/>
        <v>0</v>
      </c>
      <c r="I154" s="2213"/>
      <c r="J154" s="2213"/>
      <c r="K154" s="2213"/>
      <c r="L154" s="2213"/>
      <c r="M154" s="2213"/>
      <c r="N154" s="2213"/>
      <c r="O154" s="2213"/>
      <c r="P154" s="2213"/>
      <c r="Q154" s="2213"/>
      <c r="R154" s="2213"/>
      <c r="S154" s="2213"/>
      <c r="T154" s="2213"/>
      <c r="U154" s="2213"/>
      <c r="V154" s="2213"/>
      <c r="W154" s="2213"/>
      <c r="X154" s="2213"/>
      <c r="Y154" s="2213"/>
      <c r="Z154" s="2213"/>
      <c r="AA154" s="2213"/>
      <c r="AB154" s="2213"/>
      <c r="AC154" s="16">
        <f t="shared" si="67"/>
        <v>0</v>
      </c>
      <c r="AD154" s="2214"/>
      <c r="AE154" s="2214"/>
      <c r="AF154" s="2214"/>
      <c r="AG154" s="2214"/>
      <c r="AH154" s="2214"/>
      <c r="AI154" s="2214"/>
      <c r="AJ154" s="2214"/>
      <c r="AK154" s="2214"/>
      <c r="AL154" s="2214"/>
      <c r="AM154" s="2214"/>
      <c r="AN154" s="2214"/>
      <c r="AO154" s="2214"/>
      <c r="AP154" s="2214"/>
      <c r="AQ154" s="2214"/>
      <c r="AR154" s="2214"/>
      <c r="AS154" s="2214"/>
      <c r="AT154" s="2215"/>
      <c r="AU154" s="2216"/>
      <c r="AV154" s="11">
        <f t="shared" si="91"/>
        <v>0</v>
      </c>
      <c r="AW154" s="11">
        <f t="shared" si="92"/>
        <v>0</v>
      </c>
      <c r="AX154" s="11">
        <f t="shared" si="93"/>
        <v>0</v>
      </c>
      <c r="AY154" s="2953">
        <f t="shared" si="68"/>
        <v>0</v>
      </c>
      <c r="AZ154" s="16">
        <f t="shared" si="69"/>
        <v>0</v>
      </c>
      <c r="BA154" s="16">
        <f t="shared" si="70"/>
        <v>0</v>
      </c>
      <c r="BB154" s="16">
        <f t="shared" si="71"/>
        <v>0</v>
      </c>
      <c r="BC154" s="16">
        <f t="shared" si="72"/>
        <v>0</v>
      </c>
      <c r="BD154" s="16">
        <f t="shared" si="73"/>
        <v>0</v>
      </c>
      <c r="BE154" s="16">
        <f t="shared" si="74"/>
        <v>0</v>
      </c>
      <c r="BF154" s="16">
        <f t="shared" si="75"/>
        <v>0</v>
      </c>
      <c r="BG154" s="16">
        <f t="shared" si="76"/>
        <v>0</v>
      </c>
      <c r="BH154" s="16">
        <f t="shared" si="77"/>
        <v>0</v>
      </c>
      <c r="BI154" s="16">
        <f t="shared" si="78"/>
        <v>0</v>
      </c>
      <c r="BJ154" s="16">
        <f t="shared" si="79"/>
        <v>0</v>
      </c>
      <c r="BK154" s="16">
        <f t="shared" si="80"/>
        <v>0</v>
      </c>
      <c r="BL154" s="16">
        <f t="shared" si="81"/>
        <v>0</v>
      </c>
      <c r="BM154" s="16">
        <f t="shared" si="82"/>
        <v>0</v>
      </c>
      <c r="BN154" s="16">
        <f t="shared" si="83"/>
        <v>0</v>
      </c>
      <c r="BO154" s="16">
        <f t="shared" si="84"/>
        <v>0</v>
      </c>
      <c r="BP154" s="16">
        <f t="shared" si="85"/>
        <v>0</v>
      </c>
      <c r="BQ154" s="16">
        <f t="shared" si="86"/>
        <v>0</v>
      </c>
      <c r="BR154" s="16">
        <f t="shared" si="87"/>
        <v>0</v>
      </c>
      <c r="BS154" s="16">
        <f t="shared" si="88"/>
        <v>0</v>
      </c>
      <c r="BT154" s="22">
        <f t="shared" si="89"/>
        <v>0</v>
      </c>
    </row>
    <row r="155" spans="1:72" s="2167" customFormat="1" ht="12.75">
      <c r="A155" s="1274"/>
      <c r="B155" s="1274"/>
      <c r="C155" s="2153"/>
      <c r="D155" s="2954"/>
      <c r="E155" s="16">
        <f t="shared" si="90"/>
        <v>0</v>
      </c>
      <c r="F155" s="32"/>
      <c r="G155" s="33">
        <f t="shared" si="65"/>
        <v>0</v>
      </c>
      <c r="H155" s="20">
        <f t="shared" si="66"/>
        <v>0</v>
      </c>
      <c r="I155" s="2213"/>
      <c r="J155" s="2213"/>
      <c r="K155" s="2213"/>
      <c r="L155" s="2213"/>
      <c r="M155" s="2213"/>
      <c r="N155" s="2213"/>
      <c r="O155" s="2213"/>
      <c r="P155" s="2213"/>
      <c r="Q155" s="2213"/>
      <c r="R155" s="2213"/>
      <c r="S155" s="2213"/>
      <c r="T155" s="2213"/>
      <c r="U155" s="2213"/>
      <c r="V155" s="2213"/>
      <c r="W155" s="2213"/>
      <c r="X155" s="2213"/>
      <c r="Y155" s="2213"/>
      <c r="Z155" s="2213"/>
      <c r="AA155" s="2213"/>
      <c r="AB155" s="2213"/>
      <c r="AC155" s="16">
        <f t="shared" si="67"/>
        <v>0</v>
      </c>
      <c r="AD155" s="2214"/>
      <c r="AE155" s="2214"/>
      <c r="AF155" s="2214"/>
      <c r="AG155" s="2214"/>
      <c r="AH155" s="2214"/>
      <c r="AI155" s="2214"/>
      <c r="AJ155" s="2214"/>
      <c r="AK155" s="2214"/>
      <c r="AL155" s="2214"/>
      <c r="AM155" s="2214"/>
      <c r="AN155" s="2214"/>
      <c r="AO155" s="2214"/>
      <c r="AP155" s="2214"/>
      <c r="AQ155" s="2214"/>
      <c r="AR155" s="2214"/>
      <c r="AS155" s="2214"/>
      <c r="AT155" s="2215"/>
      <c r="AU155" s="2216"/>
      <c r="AV155" s="11">
        <f t="shared" si="91"/>
        <v>0</v>
      </c>
      <c r="AW155" s="11">
        <f t="shared" si="92"/>
        <v>0</v>
      </c>
      <c r="AX155" s="11">
        <f t="shared" si="93"/>
        <v>0</v>
      </c>
      <c r="AY155" s="2953">
        <f t="shared" si="68"/>
        <v>0</v>
      </c>
      <c r="AZ155" s="16">
        <f t="shared" si="69"/>
        <v>0</v>
      </c>
      <c r="BA155" s="16">
        <f t="shared" si="70"/>
        <v>0</v>
      </c>
      <c r="BB155" s="16">
        <f t="shared" si="71"/>
        <v>0</v>
      </c>
      <c r="BC155" s="16">
        <f t="shared" si="72"/>
        <v>0</v>
      </c>
      <c r="BD155" s="16">
        <f t="shared" si="73"/>
        <v>0</v>
      </c>
      <c r="BE155" s="16">
        <f t="shared" si="74"/>
        <v>0</v>
      </c>
      <c r="BF155" s="16">
        <f t="shared" si="75"/>
        <v>0</v>
      </c>
      <c r="BG155" s="16">
        <f t="shared" si="76"/>
        <v>0</v>
      </c>
      <c r="BH155" s="16">
        <f t="shared" si="77"/>
        <v>0</v>
      </c>
      <c r="BI155" s="16">
        <f t="shared" si="78"/>
        <v>0</v>
      </c>
      <c r="BJ155" s="16">
        <f t="shared" si="79"/>
        <v>0</v>
      </c>
      <c r="BK155" s="16">
        <f t="shared" si="80"/>
        <v>0</v>
      </c>
      <c r="BL155" s="16">
        <f t="shared" si="81"/>
        <v>0</v>
      </c>
      <c r="BM155" s="16">
        <f t="shared" si="82"/>
        <v>0</v>
      </c>
      <c r="BN155" s="16">
        <f t="shared" si="83"/>
        <v>0</v>
      </c>
      <c r="BO155" s="16">
        <f t="shared" si="84"/>
        <v>0</v>
      </c>
      <c r="BP155" s="16">
        <f t="shared" si="85"/>
        <v>0</v>
      </c>
      <c r="BQ155" s="16">
        <f t="shared" si="86"/>
        <v>0</v>
      </c>
      <c r="BR155" s="16">
        <f t="shared" si="87"/>
        <v>0</v>
      </c>
      <c r="BS155" s="16">
        <f t="shared" si="88"/>
        <v>0</v>
      </c>
      <c r="BT155" s="22">
        <f t="shared" si="89"/>
        <v>0</v>
      </c>
    </row>
    <row r="156" spans="1:72" s="2167" customFormat="1" ht="12.75">
      <c r="A156" s="1274"/>
      <c r="B156" s="1274"/>
      <c r="C156" s="2153"/>
      <c r="D156" s="2954"/>
      <c r="E156" s="16">
        <f t="shared" si="90"/>
        <v>0</v>
      </c>
      <c r="F156" s="32"/>
      <c r="G156" s="33">
        <f t="shared" si="65"/>
        <v>0</v>
      </c>
      <c r="H156" s="20">
        <f t="shared" si="66"/>
        <v>0</v>
      </c>
      <c r="I156" s="2213"/>
      <c r="J156" s="2213"/>
      <c r="K156" s="2213"/>
      <c r="L156" s="2213"/>
      <c r="M156" s="2213"/>
      <c r="N156" s="2213"/>
      <c r="O156" s="2213"/>
      <c r="P156" s="2213"/>
      <c r="Q156" s="2213"/>
      <c r="R156" s="2213"/>
      <c r="S156" s="2213"/>
      <c r="T156" s="2213"/>
      <c r="U156" s="2213"/>
      <c r="V156" s="2213"/>
      <c r="W156" s="2213"/>
      <c r="X156" s="2213"/>
      <c r="Y156" s="2213"/>
      <c r="Z156" s="2213"/>
      <c r="AA156" s="2213"/>
      <c r="AB156" s="2213"/>
      <c r="AC156" s="16">
        <f t="shared" si="67"/>
        <v>0</v>
      </c>
      <c r="AD156" s="2214"/>
      <c r="AE156" s="2214"/>
      <c r="AF156" s="2214"/>
      <c r="AG156" s="2214"/>
      <c r="AH156" s="2214"/>
      <c r="AI156" s="2214"/>
      <c r="AJ156" s="2214"/>
      <c r="AK156" s="2214"/>
      <c r="AL156" s="2214"/>
      <c r="AM156" s="2214"/>
      <c r="AN156" s="2214"/>
      <c r="AO156" s="2214"/>
      <c r="AP156" s="2214"/>
      <c r="AQ156" s="2214"/>
      <c r="AR156" s="2214"/>
      <c r="AS156" s="2214"/>
      <c r="AT156" s="2215"/>
      <c r="AU156" s="2216"/>
      <c r="AV156" s="11">
        <f t="shared" si="91"/>
        <v>0</v>
      </c>
      <c r="AW156" s="11">
        <f t="shared" si="92"/>
        <v>0</v>
      </c>
      <c r="AX156" s="11">
        <f t="shared" si="93"/>
        <v>0</v>
      </c>
      <c r="AY156" s="2953">
        <f t="shared" si="68"/>
        <v>0</v>
      </c>
      <c r="AZ156" s="16">
        <f t="shared" si="69"/>
        <v>0</v>
      </c>
      <c r="BA156" s="16">
        <f t="shared" si="70"/>
        <v>0</v>
      </c>
      <c r="BB156" s="16">
        <f t="shared" si="71"/>
        <v>0</v>
      </c>
      <c r="BC156" s="16">
        <f t="shared" si="72"/>
        <v>0</v>
      </c>
      <c r="BD156" s="16">
        <f t="shared" si="73"/>
        <v>0</v>
      </c>
      <c r="BE156" s="16">
        <f t="shared" si="74"/>
        <v>0</v>
      </c>
      <c r="BF156" s="16">
        <f t="shared" si="75"/>
        <v>0</v>
      </c>
      <c r="BG156" s="16">
        <f t="shared" si="76"/>
        <v>0</v>
      </c>
      <c r="BH156" s="16">
        <f t="shared" si="77"/>
        <v>0</v>
      </c>
      <c r="BI156" s="16">
        <f t="shared" si="78"/>
        <v>0</v>
      </c>
      <c r="BJ156" s="16">
        <f t="shared" si="79"/>
        <v>0</v>
      </c>
      <c r="BK156" s="16">
        <f t="shared" si="80"/>
        <v>0</v>
      </c>
      <c r="BL156" s="16">
        <f t="shared" si="81"/>
        <v>0</v>
      </c>
      <c r="BM156" s="16">
        <f t="shared" si="82"/>
        <v>0</v>
      </c>
      <c r="BN156" s="16">
        <f t="shared" si="83"/>
        <v>0</v>
      </c>
      <c r="BO156" s="16">
        <f t="shared" si="84"/>
        <v>0</v>
      </c>
      <c r="BP156" s="16">
        <f t="shared" si="85"/>
        <v>0</v>
      </c>
      <c r="BQ156" s="16">
        <f t="shared" si="86"/>
        <v>0</v>
      </c>
      <c r="BR156" s="16">
        <f t="shared" si="87"/>
        <v>0</v>
      </c>
      <c r="BS156" s="16">
        <f t="shared" si="88"/>
        <v>0</v>
      </c>
      <c r="BT156" s="22">
        <f t="shared" si="89"/>
        <v>0</v>
      </c>
    </row>
    <row r="157" spans="1:72" s="2167" customFormat="1" ht="12.75">
      <c r="A157" s="1274"/>
      <c r="B157" s="1274"/>
      <c r="C157" s="2153"/>
      <c r="D157" s="2954"/>
      <c r="E157" s="16">
        <f t="shared" si="90"/>
        <v>0</v>
      </c>
      <c r="F157" s="32"/>
      <c r="G157" s="33">
        <f t="shared" si="65"/>
        <v>0</v>
      </c>
      <c r="H157" s="20">
        <f t="shared" si="66"/>
        <v>0</v>
      </c>
      <c r="I157" s="2213"/>
      <c r="J157" s="2213"/>
      <c r="K157" s="2213"/>
      <c r="L157" s="2213"/>
      <c r="M157" s="2213"/>
      <c r="N157" s="2213"/>
      <c r="O157" s="2213"/>
      <c r="P157" s="2213"/>
      <c r="Q157" s="2213"/>
      <c r="R157" s="2213"/>
      <c r="S157" s="2213"/>
      <c r="T157" s="2213"/>
      <c r="U157" s="2213"/>
      <c r="V157" s="2213"/>
      <c r="W157" s="2213"/>
      <c r="X157" s="2213"/>
      <c r="Y157" s="2213"/>
      <c r="Z157" s="2213"/>
      <c r="AA157" s="2213"/>
      <c r="AB157" s="2213"/>
      <c r="AC157" s="16">
        <f t="shared" si="67"/>
        <v>0</v>
      </c>
      <c r="AD157" s="2214"/>
      <c r="AE157" s="2214"/>
      <c r="AF157" s="2214"/>
      <c r="AG157" s="2214"/>
      <c r="AH157" s="2214"/>
      <c r="AI157" s="2214"/>
      <c r="AJ157" s="2214"/>
      <c r="AK157" s="2214"/>
      <c r="AL157" s="2214"/>
      <c r="AM157" s="2214"/>
      <c r="AN157" s="2214"/>
      <c r="AO157" s="2214"/>
      <c r="AP157" s="2214"/>
      <c r="AQ157" s="2214"/>
      <c r="AR157" s="2214"/>
      <c r="AS157" s="2214"/>
      <c r="AT157" s="2215"/>
      <c r="AU157" s="2216"/>
      <c r="AV157" s="11">
        <f t="shared" si="91"/>
        <v>0</v>
      </c>
      <c r="AW157" s="11">
        <f t="shared" si="92"/>
        <v>0</v>
      </c>
      <c r="AX157" s="11">
        <f t="shared" si="93"/>
        <v>0</v>
      </c>
      <c r="AY157" s="2953">
        <f t="shared" si="68"/>
        <v>0</v>
      </c>
      <c r="AZ157" s="16">
        <f t="shared" si="69"/>
        <v>0</v>
      </c>
      <c r="BA157" s="16">
        <f t="shared" si="70"/>
        <v>0</v>
      </c>
      <c r="BB157" s="16">
        <f t="shared" si="71"/>
        <v>0</v>
      </c>
      <c r="BC157" s="16">
        <f t="shared" si="72"/>
        <v>0</v>
      </c>
      <c r="BD157" s="16">
        <f t="shared" si="73"/>
        <v>0</v>
      </c>
      <c r="BE157" s="16">
        <f t="shared" si="74"/>
        <v>0</v>
      </c>
      <c r="BF157" s="16">
        <f t="shared" si="75"/>
        <v>0</v>
      </c>
      <c r="BG157" s="16">
        <f t="shared" si="76"/>
        <v>0</v>
      </c>
      <c r="BH157" s="16">
        <f t="shared" si="77"/>
        <v>0</v>
      </c>
      <c r="BI157" s="16">
        <f t="shared" si="78"/>
        <v>0</v>
      </c>
      <c r="BJ157" s="16">
        <f t="shared" si="79"/>
        <v>0</v>
      </c>
      <c r="BK157" s="16">
        <f t="shared" si="80"/>
        <v>0</v>
      </c>
      <c r="BL157" s="16">
        <f t="shared" si="81"/>
        <v>0</v>
      </c>
      <c r="BM157" s="16">
        <f t="shared" si="82"/>
        <v>0</v>
      </c>
      <c r="BN157" s="16">
        <f t="shared" si="83"/>
        <v>0</v>
      </c>
      <c r="BO157" s="16">
        <f t="shared" si="84"/>
        <v>0</v>
      </c>
      <c r="BP157" s="16">
        <f t="shared" si="85"/>
        <v>0</v>
      </c>
      <c r="BQ157" s="16">
        <f t="shared" si="86"/>
        <v>0</v>
      </c>
      <c r="BR157" s="16">
        <f t="shared" si="87"/>
        <v>0</v>
      </c>
      <c r="BS157" s="16">
        <f t="shared" si="88"/>
        <v>0</v>
      </c>
      <c r="BT157" s="22">
        <f t="shared" si="89"/>
        <v>0</v>
      </c>
    </row>
    <row r="158" spans="1:72" s="2167" customFormat="1" ht="12.75">
      <c r="A158" s="1274"/>
      <c r="B158" s="1274"/>
      <c r="C158" s="2153"/>
      <c r="D158" s="2954"/>
      <c r="E158" s="16">
        <f t="shared" si="90"/>
        <v>0</v>
      </c>
      <c r="F158" s="32"/>
      <c r="G158" s="33">
        <f t="shared" si="65"/>
        <v>0</v>
      </c>
      <c r="H158" s="20">
        <f t="shared" si="66"/>
        <v>0</v>
      </c>
      <c r="I158" s="2213"/>
      <c r="J158" s="2213"/>
      <c r="K158" s="2213"/>
      <c r="L158" s="2213"/>
      <c r="M158" s="2213"/>
      <c r="N158" s="2213"/>
      <c r="O158" s="2213"/>
      <c r="P158" s="2213"/>
      <c r="Q158" s="2213"/>
      <c r="R158" s="2213"/>
      <c r="S158" s="2213"/>
      <c r="T158" s="2213"/>
      <c r="U158" s="2213"/>
      <c r="V158" s="2213"/>
      <c r="W158" s="2213"/>
      <c r="X158" s="2213"/>
      <c r="Y158" s="2213"/>
      <c r="Z158" s="2213"/>
      <c r="AA158" s="2213"/>
      <c r="AB158" s="2213"/>
      <c r="AC158" s="16">
        <f t="shared" si="67"/>
        <v>0</v>
      </c>
      <c r="AD158" s="2214"/>
      <c r="AE158" s="2214"/>
      <c r="AF158" s="2214"/>
      <c r="AG158" s="2214"/>
      <c r="AH158" s="2214"/>
      <c r="AI158" s="2214"/>
      <c r="AJ158" s="2214"/>
      <c r="AK158" s="2214"/>
      <c r="AL158" s="2214"/>
      <c r="AM158" s="2214"/>
      <c r="AN158" s="2214"/>
      <c r="AO158" s="2214"/>
      <c r="AP158" s="2214"/>
      <c r="AQ158" s="2214"/>
      <c r="AR158" s="2214"/>
      <c r="AS158" s="2214"/>
      <c r="AT158" s="2215"/>
      <c r="AU158" s="2216"/>
      <c r="AV158" s="11">
        <f t="shared" si="91"/>
        <v>0</v>
      </c>
      <c r="AW158" s="11">
        <f t="shared" si="92"/>
        <v>0</v>
      </c>
      <c r="AX158" s="11">
        <f t="shared" si="93"/>
        <v>0</v>
      </c>
      <c r="AY158" s="2953">
        <f t="shared" si="68"/>
        <v>0</v>
      </c>
      <c r="AZ158" s="16">
        <f t="shared" si="69"/>
        <v>0</v>
      </c>
      <c r="BA158" s="16">
        <f t="shared" si="70"/>
        <v>0</v>
      </c>
      <c r="BB158" s="16">
        <f t="shared" si="71"/>
        <v>0</v>
      </c>
      <c r="BC158" s="16">
        <f t="shared" si="72"/>
        <v>0</v>
      </c>
      <c r="BD158" s="16">
        <f t="shared" si="73"/>
        <v>0</v>
      </c>
      <c r="BE158" s="16">
        <f t="shared" si="74"/>
        <v>0</v>
      </c>
      <c r="BF158" s="16">
        <f t="shared" si="75"/>
        <v>0</v>
      </c>
      <c r="BG158" s="16">
        <f t="shared" si="76"/>
        <v>0</v>
      </c>
      <c r="BH158" s="16">
        <f t="shared" si="77"/>
        <v>0</v>
      </c>
      <c r="BI158" s="16">
        <f t="shared" si="78"/>
        <v>0</v>
      </c>
      <c r="BJ158" s="16">
        <f t="shared" si="79"/>
        <v>0</v>
      </c>
      <c r="BK158" s="16">
        <f t="shared" si="80"/>
        <v>0</v>
      </c>
      <c r="BL158" s="16">
        <f t="shared" si="81"/>
        <v>0</v>
      </c>
      <c r="BM158" s="16">
        <f t="shared" si="82"/>
        <v>0</v>
      </c>
      <c r="BN158" s="16">
        <f t="shared" si="83"/>
        <v>0</v>
      </c>
      <c r="BO158" s="16">
        <f t="shared" si="84"/>
        <v>0</v>
      </c>
      <c r="BP158" s="16">
        <f t="shared" si="85"/>
        <v>0</v>
      </c>
      <c r="BQ158" s="16">
        <f t="shared" si="86"/>
        <v>0</v>
      </c>
      <c r="BR158" s="16">
        <f t="shared" si="87"/>
        <v>0</v>
      </c>
      <c r="BS158" s="16">
        <f t="shared" si="88"/>
        <v>0</v>
      </c>
      <c r="BT158" s="22">
        <f t="shared" si="89"/>
        <v>0</v>
      </c>
    </row>
    <row r="159" spans="1:72" s="2167" customFormat="1" ht="12.75">
      <c r="A159" s="1274"/>
      <c r="B159" s="1274"/>
      <c r="C159" s="2153"/>
      <c r="D159" s="2954"/>
      <c r="E159" s="16">
        <f t="shared" si="90"/>
        <v>0</v>
      </c>
      <c r="F159" s="32"/>
      <c r="G159" s="33">
        <f t="shared" si="65"/>
        <v>0</v>
      </c>
      <c r="H159" s="20">
        <f t="shared" si="66"/>
        <v>0</v>
      </c>
      <c r="I159" s="2213"/>
      <c r="J159" s="2213"/>
      <c r="K159" s="2213"/>
      <c r="L159" s="2213"/>
      <c r="M159" s="2213"/>
      <c r="N159" s="2213"/>
      <c r="O159" s="2213"/>
      <c r="P159" s="2213"/>
      <c r="Q159" s="2213"/>
      <c r="R159" s="2213"/>
      <c r="S159" s="2213"/>
      <c r="T159" s="2213"/>
      <c r="U159" s="2213"/>
      <c r="V159" s="2213"/>
      <c r="W159" s="2213"/>
      <c r="X159" s="2213"/>
      <c r="Y159" s="2213"/>
      <c r="Z159" s="2213"/>
      <c r="AA159" s="2213"/>
      <c r="AB159" s="2213"/>
      <c r="AC159" s="16">
        <f t="shared" si="67"/>
        <v>0</v>
      </c>
      <c r="AD159" s="2214"/>
      <c r="AE159" s="2214"/>
      <c r="AF159" s="2214"/>
      <c r="AG159" s="2214"/>
      <c r="AH159" s="2214"/>
      <c r="AI159" s="2214"/>
      <c r="AJ159" s="2214"/>
      <c r="AK159" s="2214"/>
      <c r="AL159" s="2214"/>
      <c r="AM159" s="2214"/>
      <c r="AN159" s="2214"/>
      <c r="AO159" s="2214"/>
      <c r="AP159" s="2214"/>
      <c r="AQ159" s="2214"/>
      <c r="AR159" s="2214"/>
      <c r="AS159" s="2214"/>
      <c r="AT159" s="2215"/>
      <c r="AU159" s="2216"/>
      <c r="AV159" s="11">
        <f t="shared" si="91"/>
        <v>0</v>
      </c>
      <c r="AW159" s="11">
        <f t="shared" si="92"/>
        <v>0</v>
      </c>
      <c r="AX159" s="11">
        <f t="shared" si="93"/>
        <v>0</v>
      </c>
      <c r="AY159" s="2953">
        <f t="shared" si="68"/>
        <v>0</v>
      </c>
      <c r="AZ159" s="16">
        <f t="shared" si="69"/>
        <v>0</v>
      </c>
      <c r="BA159" s="16">
        <f t="shared" si="70"/>
        <v>0</v>
      </c>
      <c r="BB159" s="16">
        <f t="shared" si="71"/>
        <v>0</v>
      </c>
      <c r="BC159" s="16">
        <f t="shared" si="72"/>
        <v>0</v>
      </c>
      <c r="BD159" s="16">
        <f t="shared" si="73"/>
        <v>0</v>
      </c>
      <c r="BE159" s="16">
        <f t="shared" si="74"/>
        <v>0</v>
      </c>
      <c r="BF159" s="16">
        <f t="shared" si="75"/>
        <v>0</v>
      </c>
      <c r="BG159" s="16">
        <f t="shared" si="76"/>
        <v>0</v>
      </c>
      <c r="BH159" s="16">
        <f t="shared" si="77"/>
        <v>0</v>
      </c>
      <c r="BI159" s="16">
        <f t="shared" si="78"/>
        <v>0</v>
      </c>
      <c r="BJ159" s="16">
        <f t="shared" si="79"/>
        <v>0</v>
      </c>
      <c r="BK159" s="16">
        <f t="shared" si="80"/>
        <v>0</v>
      </c>
      <c r="BL159" s="16">
        <f t="shared" si="81"/>
        <v>0</v>
      </c>
      <c r="BM159" s="16">
        <f t="shared" si="82"/>
        <v>0</v>
      </c>
      <c r="BN159" s="16">
        <f t="shared" si="83"/>
        <v>0</v>
      </c>
      <c r="BO159" s="16">
        <f t="shared" si="84"/>
        <v>0</v>
      </c>
      <c r="BP159" s="16">
        <f t="shared" si="85"/>
        <v>0</v>
      </c>
      <c r="BQ159" s="16">
        <f t="shared" si="86"/>
        <v>0</v>
      </c>
      <c r="BR159" s="16">
        <f t="shared" si="87"/>
        <v>0</v>
      </c>
      <c r="BS159" s="16">
        <f t="shared" si="88"/>
        <v>0</v>
      </c>
      <c r="BT159" s="22">
        <f t="shared" si="89"/>
        <v>0</v>
      </c>
    </row>
    <row r="160" spans="1:72" s="2167" customFormat="1" ht="12.75">
      <c r="A160" s="1274"/>
      <c r="B160" s="1274"/>
      <c r="C160" s="2153"/>
      <c r="D160" s="2954"/>
      <c r="E160" s="16">
        <f t="shared" si="90"/>
        <v>0</v>
      </c>
      <c r="F160" s="32"/>
      <c r="G160" s="33">
        <f t="shared" si="65"/>
        <v>0</v>
      </c>
      <c r="H160" s="20">
        <f t="shared" si="66"/>
        <v>0</v>
      </c>
      <c r="I160" s="2213"/>
      <c r="J160" s="2213"/>
      <c r="K160" s="2213"/>
      <c r="L160" s="2213"/>
      <c r="M160" s="2213"/>
      <c r="N160" s="2213"/>
      <c r="O160" s="2213"/>
      <c r="P160" s="2213"/>
      <c r="Q160" s="2213"/>
      <c r="R160" s="2213"/>
      <c r="S160" s="2213"/>
      <c r="T160" s="2213"/>
      <c r="U160" s="2213"/>
      <c r="V160" s="2213"/>
      <c r="W160" s="2213"/>
      <c r="X160" s="2213"/>
      <c r="Y160" s="2213"/>
      <c r="Z160" s="2213"/>
      <c r="AA160" s="2213"/>
      <c r="AB160" s="2213"/>
      <c r="AC160" s="16">
        <f t="shared" si="67"/>
        <v>0</v>
      </c>
      <c r="AD160" s="2214"/>
      <c r="AE160" s="2214"/>
      <c r="AF160" s="2214"/>
      <c r="AG160" s="2214"/>
      <c r="AH160" s="2214"/>
      <c r="AI160" s="2214"/>
      <c r="AJ160" s="2214"/>
      <c r="AK160" s="2214"/>
      <c r="AL160" s="2214"/>
      <c r="AM160" s="2214"/>
      <c r="AN160" s="2214"/>
      <c r="AO160" s="2214"/>
      <c r="AP160" s="2214"/>
      <c r="AQ160" s="2214"/>
      <c r="AR160" s="2214"/>
      <c r="AS160" s="2214"/>
      <c r="AT160" s="2215"/>
      <c r="AU160" s="2216"/>
      <c r="AV160" s="11">
        <f t="shared" si="91"/>
        <v>0</v>
      </c>
      <c r="AW160" s="11">
        <f t="shared" si="92"/>
        <v>0</v>
      </c>
      <c r="AX160" s="11">
        <f t="shared" si="93"/>
        <v>0</v>
      </c>
      <c r="AY160" s="2953">
        <f t="shared" si="68"/>
        <v>0</v>
      </c>
      <c r="AZ160" s="16">
        <f t="shared" si="69"/>
        <v>0</v>
      </c>
      <c r="BA160" s="16">
        <f t="shared" si="70"/>
        <v>0</v>
      </c>
      <c r="BB160" s="16">
        <f t="shared" si="71"/>
        <v>0</v>
      </c>
      <c r="BC160" s="16">
        <f t="shared" si="72"/>
        <v>0</v>
      </c>
      <c r="BD160" s="16">
        <f t="shared" si="73"/>
        <v>0</v>
      </c>
      <c r="BE160" s="16">
        <f t="shared" si="74"/>
        <v>0</v>
      </c>
      <c r="BF160" s="16">
        <f t="shared" si="75"/>
        <v>0</v>
      </c>
      <c r="BG160" s="16">
        <f t="shared" si="76"/>
        <v>0</v>
      </c>
      <c r="BH160" s="16">
        <f t="shared" si="77"/>
        <v>0</v>
      </c>
      <c r="BI160" s="16">
        <f t="shared" si="78"/>
        <v>0</v>
      </c>
      <c r="BJ160" s="16">
        <f t="shared" si="79"/>
        <v>0</v>
      </c>
      <c r="BK160" s="16">
        <f t="shared" si="80"/>
        <v>0</v>
      </c>
      <c r="BL160" s="16">
        <f t="shared" si="81"/>
        <v>0</v>
      </c>
      <c r="BM160" s="16">
        <f t="shared" si="82"/>
        <v>0</v>
      </c>
      <c r="BN160" s="16">
        <f t="shared" si="83"/>
        <v>0</v>
      </c>
      <c r="BO160" s="16">
        <f t="shared" si="84"/>
        <v>0</v>
      </c>
      <c r="BP160" s="16">
        <f t="shared" si="85"/>
        <v>0</v>
      </c>
      <c r="BQ160" s="16">
        <f t="shared" si="86"/>
        <v>0</v>
      </c>
      <c r="BR160" s="16">
        <f t="shared" si="87"/>
        <v>0</v>
      </c>
      <c r="BS160" s="16">
        <f t="shared" si="88"/>
        <v>0</v>
      </c>
      <c r="BT160" s="22">
        <f t="shared" si="89"/>
        <v>0</v>
      </c>
    </row>
    <row r="161" spans="1:72" s="2167" customFormat="1" ht="12.75">
      <c r="A161" s="1274"/>
      <c r="B161" s="1274"/>
      <c r="C161" s="2153"/>
      <c r="D161" s="2954"/>
      <c r="E161" s="16">
        <f t="shared" si="90"/>
        <v>0</v>
      </c>
      <c r="F161" s="32"/>
      <c r="G161" s="33">
        <f t="shared" si="65"/>
        <v>0</v>
      </c>
      <c r="H161" s="20">
        <f t="shared" si="66"/>
        <v>0</v>
      </c>
      <c r="I161" s="2213"/>
      <c r="J161" s="2213"/>
      <c r="K161" s="2213"/>
      <c r="L161" s="2213"/>
      <c r="M161" s="2213"/>
      <c r="N161" s="2213"/>
      <c r="O161" s="2213"/>
      <c r="P161" s="2213"/>
      <c r="Q161" s="2213"/>
      <c r="R161" s="2213"/>
      <c r="S161" s="2213"/>
      <c r="T161" s="2213"/>
      <c r="U161" s="2213"/>
      <c r="V161" s="2213"/>
      <c r="W161" s="2213"/>
      <c r="X161" s="2213"/>
      <c r="Y161" s="2213"/>
      <c r="Z161" s="2213"/>
      <c r="AA161" s="2213"/>
      <c r="AB161" s="2213"/>
      <c r="AC161" s="16">
        <f t="shared" si="67"/>
        <v>0</v>
      </c>
      <c r="AD161" s="2214"/>
      <c r="AE161" s="2214"/>
      <c r="AF161" s="2214"/>
      <c r="AG161" s="2214"/>
      <c r="AH161" s="2214"/>
      <c r="AI161" s="2214"/>
      <c r="AJ161" s="2214"/>
      <c r="AK161" s="2214"/>
      <c r="AL161" s="2214"/>
      <c r="AM161" s="2214"/>
      <c r="AN161" s="2214"/>
      <c r="AO161" s="2214"/>
      <c r="AP161" s="2214"/>
      <c r="AQ161" s="2214"/>
      <c r="AR161" s="2214"/>
      <c r="AS161" s="2214"/>
      <c r="AT161" s="2215"/>
      <c r="AU161" s="2216"/>
      <c r="AV161" s="11">
        <f t="shared" si="91"/>
        <v>0</v>
      </c>
      <c r="AW161" s="11">
        <f t="shared" si="92"/>
        <v>0</v>
      </c>
      <c r="AX161" s="11">
        <f t="shared" si="93"/>
        <v>0</v>
      </c>
      <c r="AY161" s="2953">
        <f t="shared" si="68"/>
        <v>0</v>
      </c>
      <c r="AZ161" s="16">
        <f t="shared" si="69"/>
        <v>0</v>
      </c>
      <c r="BA161" s="16">
        <f t="shared" si="70"/>
        <v>0</v>
      </c>
      <c r="BB161" s="16">
        <f t="shared" si="71"/>
        <v>0</v>
      </c>
      <c r="BC161" s="16">
        <f t="shared" si="72"/>
        <v>0</v>
      </c>
      <c r="BD161" s="16">
        <f t="shared" si="73"/>
        <v>0</v>
      </c>
      <c r="BE161" s="16">
        <f t="shared" si="74"/>
        <v>0</v>
      </c>
      <c r="BF161" s="16">
        <f t="shared" si="75"/>
        <v>0</v>
      </c>
      <c r="BG161" s="16">
        <f t="shared" si="76"/>
        <v>0</v>
      </c>
      <c r="BH161" s="16">
        <f t="shared" si="77"/>
        <v>0</v>
      </c>
      <c r="BI161" s="16">
        <f t="shared" si="78"/>
        <v>0</v>
      </c>
      <c r="BJ161" s="16">
        <f t="shared" si="79"/>
        <v>0</v>
      </c>
      <c r="BK161" s="16">
        <f t="shared" si="80"/>
        <v>0</v>
      </c>
      <c r="BL161" s="16">
        <f t="shared" si="81"/>
        <v>0</v>
      </c>
      <c r="BM161" s="16">
        <f t="shared" si="82"/>
        <v>0</v>
      </c>
      <c r="BN161" s="16">
        <f t="shared" si="83"/>
        <v>0</v>
      </c>
      <c r="BO161" s="16">
        <f t="shared" si="84"/>
        <v>0</v>
      </c>
      <c r="BP161" s="16">
        <f t="shared" si="85"/>
        <v>0</v>
      </c>
      <c r="BQ161" s="16">
        <f t="shared" si="86"/>
        <v>0</v>
      </c>
      <c r="BR161" s="16">
        <f t="shared" si="87"/>
        <v>0</v>
      </c>
      <c r="BS161" s="16">
        <f t="shared" si="88"/>
        <v>0</v>
      </c>
      <c r="BT161" s="22">
        <f t="shared" si="89"/>
        <v>0</v>
      </c>
    </row>
    <row r="162" spans="1:72" s="2167" customFormat="1" ht="12.75">
      <c r="A162" s="1274"/>
      <c r="B162" s="1274"/>
      <c r="C162" s="2153"/>
      <c r="D162" s="2954"/>
      <c r="E162" s="16">
        <f t="shared" si="90"/>
        <v>0</v>
      </c>
      <c r="F162" s="32"/>
      <c r="G162" s="33">
        <f t="shared" si="65"/>
        <v>0</v>
      </c>
      <c r="H162" s="20">
        <f t="shared" si="66"/>
        <v>0</v>
      </c>
      <c r="I162" s="2213"/>
      <c r="J162" s="2213"/>
      <c r="K162" s="2213"/>
      <c r="L162" s="2213"/>
      <c r="M162" s="2213"/>
      <c r="N162" s="2213"/>
      <c r="O162" s="2213"/>
      <c r="P162" s="2213"/>
      <c r="Q162" s="2213"/>
      <c r="R162" s="2213"/>
      <c r="S162" s="2213"/>
      <c r="T162" s="2213"/>
      <c r="U162" s="2213"/>
      <c r="V162" s="2213"/>
      <c r="W162" s="2213"/>
      <c r="X162" s="2213"/>
      <c r="Y162" s="2213"/>
      <c r="Z162" s="2213"/>
      <c r="AA162" s="2213"/>
      <c r="AB162" s="2213"/>
      <c r="AC162" s="16">
        <f t="shared" si="67"/>
        <v>0</v>
      </c>
      <c r="AD162" s="2214"/>
      <c r="AE162" s="2214"/>
      <c r="AF162" s="2214"/>
      <c r="AG162" s="2214"/>
      <c r="AH162" s="2214"/>
      <c r="AI162" s="2214"/>
      <c r="AJ162" s="2214"/>
      <c r="AK162" s="2214"/>
      <c r="AL162" s="2214"/>
      <c r="AM162" s="2214"/>
      <c r="AN162" s="2214"/>
      <c r="AO162" s="2214"/>
      <c r="AP162" s="2214"/>
      <c r="AQ162" s="2214"/>
      <c r="AR162" s="2214"/>
      <c r="AS162" s="2214"/>
      <c r="AT162" s="2215"/>
      <c r="AU162" s="2216"/>
      <c r="AV162" s="11">
        <f t="shared" si="91"/>
        <v>0</v>
      </c>
      <c r="AW162" s="11">
        <f t="shared" si="92"/>
        <v>0</v>
      </c>
      <c r="AX162" s="11">
        <f t="shared" si="93"/>
        <v>0</v>
      </c>
      <c r="AY162" s="2953">
        <f t="shared" si="68"/>
        <v>0</v>
      </c>
      <c r="AZ162" s="16">
        <f t="shared" si="69"/>
        <v>0</v>
      </c>
      <c r="BA162" s="16">
        <f t="shared" si="70"/>
        <v>0</v>
      </c>
      <c r="BB162" s="16">
        <f t="shared" si="71"/>
        <v>0</v>
      </c>
      <c r="BC162" s="16">
        <f t="shared" si="72"/>
        <v>0</v>
      </c>
      <c r="BD162" s="16">
        <f t="shared" si="73"/>
        <v>0</v>
      </c>
      <c r="BE162" s="16">
        <f t="shared" si="74"/>
        <v>0</v>
      </c>
      <c r="BF162" s="16">
        <f t="shared" si="75"/>
        <v>0</v>
      </c>
      <c r="BG162" s="16">
        <f t="shared" si="76"/>
        <v>0</v>
      </c>
      <c r="BH162" s="16">
        <f t="shared" si="77"/>
        <v>0</v>
      </c>
      <c r="BI162" s="16">
        <f t="shared" si="78"/>
        <v>0</v>
      </c>
      <c r="BJ162" s="16">
        <f t="shared" si="79"/>
        <v>0</v>
      </c>
      <c r="BK162" s="16">
        <f t="shared" si="80"/>
        <v>0</v>
      </c>
      <c r="BL162" s="16">
        <f t="shared" si="81"/>
        <v>0</v>
      </c>
      <c r="BM162" s="16">
        <f t="shared" si="82"/>
        <v>0</v>
      </c>
      <c r="BN162" s="16">
        <f t="shared" si="83"/>
        <v>0</v>
      </c>
      <c r="BO162" s="16">
        <f t="shared" si="84"/>
        <v>0</v>
      </c>
      <c r="BP162" s="16">
        <f t="shared" si="85"/>
        <v>0</v>
      </c>
      <c r="BQ162" s="16">
        <f t="shared" si="86"/>
        <v>0</v>
      </c>
      <c r="BR162" s="16">
        <f t="shared" si="87"/>
        <v>0</v>
      </c>
      <c r="BS162" s="16">
        <f t="shared" si="88"/>
        <v>0</v>
      </c>
      <c r="BT162" s="22">
        <f t="shared" si="89"/>
        <v>0</v>
      </c>
    </row>
    <row r="163" spans="1:72" s="2167" customFormat="1" ht="12.75">
      <c r="A163" s="1274"/>
      <c r="B163" s="1274"/>
      <c r="C163" s="2153"/>
      <c r="D163" s="2954"/>
      <c r="E163" s="16">
        <f t="shared" si="90"/>
        <v>0</v>
      </c>
      <c r="F163" s="32"/>
      <c r="G163" s="33">
        <f t="shared" si="65"/>
        <v>0</v>
      </c>
      <c r="H163" s="20">
        <f t="shared" si="66"/>
        <v>0</v>
      </c>
      <c r="I163" s="2213"/>
      <c r="J163" s="2213"/>
      <c r="K163" s="2213"/>
      <c r="L163" s="2213"/>
      <c r="M163" s="2213"/>
      <c r="N163" s="2213"/>
      <c r="O163" s="2213"/>
      <c r="P163" s="2213"/>
      <c r="Q163" s="2213"/>
      <c r="R163" s="2213"/>
      <c r="S163" s="2213"/>
      <c r="T163" s="2213"/>
      <c r="U163" s="2213"/>
      <c r="V163" s="2213"/>
      <c r="W163" s="2213"/>
      <c r="X163" s="2213"/>
      <c r="Y163" s="2213"/>
      <c r="Z163" s="2213"/>
      <c r="AA163" s="2213"/>
      <c r="AB163" s="2213"/>
      <c r="AC163" s="16">
        <f t="shared" si="67"/>
        <v>0</v>
      </c>
      <c r="AD163" s="2214"/>
      <c r="AE163" s="2214"/>
      <c r="AF163" s="2214"/>
      <c r="AG163" s="2214"/>
      <c r="AH163" s="2214"/>
      <c r="AI163" s="2214"/>
      <c r="AJ163" s="2214"/>
      <c r="AK163" s="2214"/>
      <c r="AL163" s="2214"/>
      <c r="AM163" s="2214"/>
      <c r="AN163" s="2214"/>
      <c r="AO163" s="2214"/>
      <c r="AP163" s="2214"/>
      <c r="AQ163" s="2214"/>
      <c r="AR163" s="2214"/>
      <c r="AS163" s="2214"/>
      <c r="AT163" s="2215"/>
      <c r="AU163" s="2216"/>
      <c r="AV163" s="11">
        <f t="shared" si="91"/>
        <v>0</v>
      </c>
      <c r="AW163" s="11">
        <f t="shared" si="92"/>
        <v>0</v>
      </c>
      <c r="AX163" s="11">
        <f t="shared" si="93"/>
        <v>0</v>
      </c>
      <c r="AY163" s="2953">
        <f t="shared" si="68"/>
        <v>0</v>
      </c>
      <c r="AZ163" s="16">
        <f t="shared" si="69"/>
        <v>0</v>
      </c>
      <c r="BA163" s="16">
        <f t="shared" si="70"/>
        <v>0</v>
      </c>
      <c r="BB163" s="16">
        <f t="shared" si="71"/>
        <v>0</v>
      </c>
      <c r="BC163" s="16">
        <f t="shared" si="72"/>
        <v>0</v>
      </c>
      <c r="BD163" s="16">
        <f t="shared" si="73"/>
        <v>0</v>
      </c>
      <c r="BE163" s="16">
        <f t="shared" si="74"/>
        <v>0</v>
      </c>
      <c r="BF163" s="16">
        <f t="shared" si="75"/>
        <v>0</v>
      </c>
      <c r="BG163" s="16">
        <f t="shared" si="76"/>
        <v>0</v>
      </c>
      <c r="BH163" s="16">
        <f t="shared" si="77"/>
        <v>0</v>
      </c>
      <c r="BI163" s="16">
        <f t="shared" si="78"/>
        <v>0</v>
      </c>
      <c r="BJ163" s="16">
        <f t="shared" si="79"/>
        <v>0</v>
      </c>
      <c r="BK163" s="16">
        <f t="shared" si="80"/>
        <v>0</v>
      </c>
      <c r="BL163" s="16">
        <f t="shared" si="81"/>
        <v>0</v>
      </c>
      <c r="BM163" s="16">
        <f t="shared" si="82"/>
        <v>0</v>
      </c>
      <c r="BN163" s="16">
        <f t="shared" si="83"/>
        <v>0</v>
      </c>
      <c r="BO163" s="16">
        <f t="shared" si="84"/>
        <v>0</v>
      </c>
      <c r="BP163" s="16">
        <f t="shared" si="85"/>
        <v>0</v>
      </c>
      <c r="BQ163" s="16">
        <f t="shared" si="86"/>
        <v>0</v>
      </c>
      <c r="BR163" s="16">
        <f t="shared" si="87"/>
        <v>0</v>
      </c>
      <c r="BS163" s="16">
        <f t="shared" si="88"/>
        <v>0</v>
      </c>
      <c r="BT163" s="22">
        <f t="shared" si="89"/>
        <v>0</v>
      </c>
    </row>
    <row r="164" spans="1:72" s="2167" customFormat="1" ht="12.75">
      <c r="A164" s="1274"/>
      <c r="B164" s="1274"/>
      <c r="C164" s="2153"/>
      <c r="D164" s="2954"/>
      <c r="E164" s="16">
        <f t="shared" si="90"/>
        <v>0</v>
      </c>
      <c r="F164" s="32"/>
      <c r="G164" s="33">
        <f t="shared" si="65"/>
        <v>0</v>
      </c>
      <c r="H164" s="20">
        <f t="shared" si="66"/>
        <v>0</v>
      </c>
      <c r="I164" s="2213"/>
      <c r="J164" s="2213"/>
      <c r="K164" s="2213"/>
      <c r="L164" s="2213"/>
      <c r="M164" s="2213"/>
      <c r="N164" s="2213"/>
      <c r="O164" s="2213"/>
      <c r="P164" s="2213"/>
      <c r="Q164" s="2213"/>
      <c r="R164" s="2213"/>
      <c r="S164" s="2213"/>
      <c r="T164" s="2213"/>
      <c r="U164" s="2213"/>
      <c r="V164" s="2213"/>
      <c r="W164" s="2213"/>
      <c r="X164" s="2213"/>
      <c r="Y164" s="2213"/>
      <c r="Z164" s="2213"/>
      <c r="AA164" s="2213"/>
      <c r="AB164" s="2213"/>
      <c r="AC164" s="16">
        <f t="shared" si="67"/>
        <v>0</v>
      </c>
      <c r="AD164" s="2214"/>
      <c r="AE164" s="2214"/>
      <c r="AF164" s="2214"/>
      <c r="AG164" s="2214"/>
      <c r="AH164" s="2214"/>
      <c r="AI164" s="2214"/>
      <c r="AJ164" s="2214"/>
      <c r="AK164" s="2214"/>
      <c r="AL164" s="2214"/>
      <c r="AM164" s="2214"/>
      <c r="AN164" s="2214"/>
      <c r="AO164" s="2214"/>
      <c r="AP164" s="2214"/>
      <c r="AQ164" s="2214"/>
      <c r="AR164" s="2214"/>
      <c r="AS164" s="2214"/>
      <c r="AT164" s="2215"/>
      <c r="AU164" s="2216"/>
      <c r="AV164" s="11">
        <f t="shared" si="91"/>
        <v>0</v>
      </c>
      <c r="AW164" s="11">
        <f t="shared" si="92"/>
        <v>0</v>
      </c>
      <c r="AX164" s="11">
        <f t="shared" si="93"/>
        <v>0</v>
      </c>
      <c r="AY164" s="2953">
        <f t="shared" si="68"/>
        <v>0</v>
      </c>
      <c r="AZ164" s="16">
        <f t="shared" si="69"/>
        <v>0</v>
      </c>
      <c r="BA164" s="16">
        <f t="shared" si="70"/>
        <v>0</v>
      </c>
      <c r="BB164" s="16">
        <f t="shared" si="71"/>
        <v>0</v>
      </c>
      <c r="BC164" s="16">
        <f t="shared" si="72"/>
        <v>0</v>
      </c>
      <c r="BD164" s="16">
        <f t="shared" si="73"/>
        <v>0</v>
      </c>
      <c r="BE164" s="16">
        <f t="shared" si="74"/>
        <v>0</v>
      </c>
      <c r="BF164" s="16">
        <f t="shared" si="75"/>
        <v>0</v>
      </c>
      <c r="BG164" s="16">
        <f t="shared" si="76"/>
        <v>0</v>
      </c>
      <c r="BH164" s="16">
        <f t="shared" si="77"/>
        <v>0</v>
      </c>
      <c r="BI164" s="16">
        <f t="shared" si="78"/>
        <v>0</v>
      </c>
      <c r="BJ164" s="16">
        <f t="shared" si="79"/>
        <v>0</v>
      </c>
      <c r="BK164" s="16">
        <f t="shared" si="80"/>
        <v>0</v>
      </c>
      <c r="BL164" s="16">
        <f t="shared" si="81"/>
        <v>0</v>
      </c>
      <c r="BM164" s="16">
        <f t="shared" si="82"/>
        <v>0</v>
      </c>
      <c r="BN164" s="16">
        <f t="shared" si="83"/>
        <v>0</v>
      </c>
      <c r="BO164" s="16">
        <f t="shared" si="84"/>
        <v>0</v>
      </c>
      <c r="BP164" s="16">
        <f t="shared" si="85"/>
        <v>0</v>
      </c>
      <c r="BQ164" s="16">
        <f t="shared" si="86"/>
        <v>0</v>
      </c>
      <c r="BR164" s="16">
        <f t="shared" si="87"/>
        <v>0</v>
      </c>
      <c r="BS164" s="16">
        <f t="shared" si="88"/>
        <v>0</v>
      </c>
      <c r="BT164" s="22">
        <f t="shared" si="89"/>
        <v>0</v>
      </c>
    </row>
    <row r="165" spans="1:72" s="2167" customFormat="1" ht="12.75">
      <c r="A165" s="1274"/>
      <c r="B165" s="1274"/>
      <c r="C165" s="2153"/>
      <c r="D165" s="2954"/>
      <c r="E165" s="16">
        <f t="shared" si="90"/>
        <v>0</v>
      </c>
      <c r="F165" s="32"/>
      <c r="G165" s="33">
        <f t="shared" si="65"/>
        <v>0</v>
      </c>
      <c r="H165" s="20">
        <f t="shared" si="66"/>
        <v>0</v>
      </c>
      <c r="I165" s="2213"/>
      <c r="J165" s="2213"/>
      <c r="K165" s="2213"/>
      <c r="L165" s="2213"/>
      <c r="M165" s="2213"/>
      <c r="N165" s="2213"/>
      <c r="O165" s="2213"/>
      <c r="P165" s="2213"/>
      <c r="Q165" s="2213"/>
      <c r="R165" s="2213"/>
      <c r="S165" s="2213"/>
      <c r="T165" s="2213"/>
      <c r="U165" s="2213"/>
      <c r="V165" s="2213"/>
      <c r="W165" s="2213"/>
      <c r="X165" s="2213"/>
      <c r="Y165" s="2213"/>
      <c r="Z165" s="2213"/>
      <c r="AA165" s="2213"/>
      <c r="AB165" s="2213"/>
      <c r="AC165" s="16">
        <f t="shared" si="67"/>
        <v>0</v>
      </c>
      <c r="AD165" s="2214"/>
      <c r="AE165" s="2214"/>
      <c r="AF165" s="2214"/>
      <c r="AG165" s="2214"/>
      <c r="AH165" s="2214"/>
      <c r="AI165" s="2214"/>
      <c r="AJ165" s="2214"/>
      <c r="AK165" s="2214"/>
      <c r="AL165" s="2214"/>
      <c r="AM165" s="2214"/>
      <c r="AN165" s="2214"/>
      <c r="AO165" s="2214"/>
      <c r="AP165" s="2214"/>
      <c r="AQ165" s="2214"/>
      <c r="AR165" s="2214"/>
      <c r="AS165" s="2214"/>
      <c r="AT165" s="2215"/>
      <c r="AU165" s="2216"/>
      <c r="AV165" s="11">
        <f t="shared" si="91"/>
        <v>0</v>
      </c>
      <c r="AW165" s="11">
        <f t="shared" si="92"/>
        <v>0</v>
      </c>
      <c r="AX165" s="11">
        <f t="shared" si="93"/>
        <v>0</v>
      </c>
      <c r="AY165" s="2953">
        <f t="shared" si="68"/>
        <v>0</v>
      </c>
      <c r="AZ165" s="16">
        <f t="shared" si="69"/>
        <v>0</v>
      </c>
      <c r="BA165" s="16">
        <f t="shared" si="70"/>
        <v>0</v>
      </c>
      <c r="BB165" s="16">
        <f t="shared" si="71"/>
        <v>0</v>
      </c>
      <c r="BC165" s="16">
        <f t="shared" si="72"/>
        <v>0</v>
      </c>
      <c r="BD165" s="16">
        <f t="shared" si="73"/>
        <v>0</v>
      </c>
      <c r="BE165" s="16">
        <f t="shared" si="74"/>
        <v>0</v>
      </c>
      <c r="BF165" s="16">
        <f t="shared" si="75"/>
        <v>0</v>
      </c>
      <c r="BG165" s="16">
        <f t="shared" si="76"/>
        <v>0</v>
      </c>
      <c r="BH165" s="16">
        <f t="shared" si="77"/>
        <v>0</v>
      </c>
      <c r="BI165" s="16">
        <f t="shared" si="78"/>
        <v>0</v>
      </c>
      <c r="BJ165" s="16">
        <f t="shared" si="79"/>
        <v>0</v>
      </c>
      <c r="BK165" s="16">
        <f t="shared" si="80"/>
        <v>0</v>
      </c>
      <c r="BL165" s="16">
        <f t="shared" si="81"/>
        <v>0</v>
      </c>
      <c r="BM165" s="16">
        <f t="shared" si="82"/>
        <v>0</v>
      </c>
      <c r="BN165" s="16">
        <f t="shared" si="83"/>
        <v>0</v>
      </c>
      <c r="BO165" s="16">
        <f t="shared" si="84"/>
        <v>0</v>
      </c>
      <c r="BP165" s="16">
        <f t="shared" si="85"/>
        <v>0</v>
      </c>
      <c r="BQ165" s="16">
        <f t="shared" si="86"/>
        <v>0</v>
      </c>
      <c r="BR165" s="16">
        <f t="shared" si="87"/>
        <v>0</v>
      </c>
      <c r="BS165" s="16">
        <f t="shared" si="88"/>
        <v>0</v>
      </c>
      <c r="BT165" s="22">
        <f t="shared" si="89"/>
        <v>0</v>
      </c>
    </row>
    <row r="166" spans="1:72" s="2167" customFormat="1" ht="12.75">
      <c r="A166" s="1274"/>
      <c r="B166" s="1274"/>
      <c r="C166" s="2153"/>
      <c r="D166" s="2954"/>
      <c r="E166" s="16">
        <f t="shared" si="90"/>
        <v>0</v>
      </c>
      <c r="F166" s="32"/>
      <c r="G166" s="33">
        <f t="shared" si="65"/>
        <v>0</v>
      </c>
      <c r="H166" s="20">
        <f t="shared" si="66"/>
        <v>0</v>
      </c>
      <c r="I166" s="2213"/>
      <c r="J166" s="2213"/>
      <c r="K166" s="2213"/>
      <c r="L166" s="2213"/>
      <c r="M166" s="2213"/>
      <c r="N166" s="2213"/>
      <c r="O166" s="2213"/>
      <c r="P166" s="2213"/>
      <c r="Q166" s="2213"/>
      <c r="R166" s="2213"/>
      <c r="S166" s="2213"/>
      <c r="T166" s="2213"/>
      <c r="U166" s="2213"/>
      <c r="V166" s="2213"/>
      <c r="W166" s="2213"/>
      <c r="X166" s="2213"/>
      <c r="Y166" s="2213"/>
      <c r="Z166" s="2213"/>
      <c r="AA166" s="2213"/>
      <c r="AB166" s="2213"/>
      <c r="AC166" s="16">
        <f t="shared" si="67"/>
        <v>0</v>
      </c>
      <c r="AD166" s="2214"/>
      <c r="AE166" s="2214"/>
      <c r="AF166" s="2214"/>
      <c r="AG166" s="2214"/>
      <c r="AH166" s="2214"/>
      <c r="AI166" s="2214"/>
      <c r="AJ166" s="2214"/>
      <c r="AK166" s="2214"/>
      <c r="AL166" s="2214"/>
      <c r="AM166" s="2214"/>
      <c r="AN166" s="2214"/>
      <c r="AO166" s="2214"/>
      <c r="AP166" s="2214"/>
      <c r="AQ166" s="2214"/>
      <c r="AR166" s="2214"/>
      <c r="AS166" s="2214"/>
      <c r="AT166" s="2215"/>
      <c r="AU166" s="2216"/>
      <c r="AV166" s="11">
        <f t="shared" si="91"/>
        <v>0</v>
      </c>
      <c r="AW166" s="11">
        <f t="shared" si="92"/>
        <v>0</v>
      </c>
      <c r="AX166" s="11">
        <f t="shared" si="93"/>
        <v>0</v>
      </c>
      <c r="AY166" s="2953">
        <f t="shared" si="68"/>
        <v>0</v>
      </c>
      <c r="AZ166" s="16">
        <f t="shared" si="69"/>
        <v>0</v>
      </c>
      <c r="BA166" s="16">
        <f t="shared" si="70"/>
        <v>0</v>
      </c>
      <c r="BB166" s="16">
        <f t="shared" si="71"/>
        <v>0</v>
      </c>
      <c r="BC166" s="16">
        <f t="shared" si="72"/>
        <v>0</v>
      </c>
      <c r="BD166" s="16">
        <f t="shared" si="73"/>
        <v>0</v>
      </c>
      <c r="BE166" s="16">
        <f t="shared" si="74"/>
        <v>0</v>
      </c>
      <c r="BF166" s="16">
        <f t="shared" si="75"/>
        <v>0</v>
      </c>
      <c r="BG166" s="16">
        <f t="shared" si="76"/>
        <v>0</v>
      </c>
      <c r="BH166" s="16">
        <f t="shared" si="77"/>
        <v>0</v>
      </c>
      <c r="BI166" s="16">
        <f t="shared" si="78"/>
        <v>0</v>
      </c>
      <c r="BJ166" s="16">
        <f t="shared" si="79"/>
        <v>0</v>
      </c>
      <c r="BK166" s="16">
        <f t="shared" si="80"/>
        <v>0</v>
      </c>
      <c r="BL166" s="16">
        <f t="shared" si="81"/>
        <v>0</v>
      </c>
      <c r="BM166" s="16">
        <f t="shared" si="82"/>
        <v>0</v>
      </c>
      <c r="BN166" s="16">
        <f t="shared" si="83"/>
        <v>0</v>
      </c>
      <c r="BO166" s="16">
        <f t="shared" si="84"/>
        <v>0</v>
      </c>
      <c r="BP166" s="16">
        <f t="shared" si="85"/>
        <v>0</v>
      </c>
      <c r="BQ166" s="16">
        <f t="shared" si="86"/>
        <v>0</v>
      </c>
      <c r="BR166" s="16">
        <f t="shared" si="87"/>
        <v>0</v>
      </c>
      <c r="BS166" s="16">
        <f t="shared" si="88"/>
        <v>0</v>
      </c>
      <c r="BT166" s="22">
        <f t="shared" si="89"/>
        <v>0</v>
      </c>
    </row>
    <row r="167" spans="1:72" s="2167" customFormat="1" ht="12.75">
      <c r="A167" s="1274"/>
      <c r="B167" s="1274"/>
      <c r="C167" s="2153"/>
      <c r="D167" s="2954"/>
      <c r="E167" s="16">
        <f t="shared" si="90"/>
        <v>0</v>
      </c>
      <c r="F167" s="32"/>
      <c r="G167" s="33">
        <f t="shared" si="65"/>
        <v>0</v>
      </c>
      <c r="H167" s="20">
        <f t="shared" si="66"/>
        <v>0</v>
      </c>
      <c r="I167" s="2213"/>
      <c r="J167" s="2213"/>
      <c r="K167" s="2213"/>
      <c r="L167" s="2213"/>
      <c r="M167" s="2213"/>
      <c r="N167" s="2213"/>
      <c r="O167" s="2213"/>
      <c r="P167" s="2213"/>
      <c r="Q167" s="2213"/>
      <c r="R167" s="2213"/>
      <c r="S167" s="2213"/>
      <c r="T167" s="2213"/>
      <c r="U167" s="2213"/>
      <c r="V167" s="2213"/>
      <c r="W167" s="2213"/>
      <c r="X167" s="2213"/>
      <c r="Y167" s="2213"/>
      <c r="Z167" s="2213"/>
      <c r="AA167" s="2213"/>
      <c r="AB167" s="2213"/>
      <c r="AC167" s="16">
        <f t="shared" si="67"/>
        <v>0</v>
      </c>
      <c r="AD167" s="2214"/>
      <c r="AE167" s="2214"/>
      <c r="AF167" s="2214"/>
      <c r="AG167" s="2214"/>
      <c r="AH167" s="2214"/>
      <c r="AI167" s="2214"/>
      <c r="AJ167" s="2214"/>
      <c r="AK167" s="2214"/>
      <c r="AL167" s="2214"/>
      <c r="AM167" s="2214"/>
      <c r="AN167" s="2214"/>
      <c r="AO167" s="2214"/>
      <c r="AP167" s="2214"/>
      <c r="AQ167" s="2214"/>
      <c r="AR167" s="2214"/>
      <c r="AS167" s="2214"/>
      <c r="AT167" s="2215"/>
      <c r="AU167" s="2216"/>
      <c r="AV167" s="11">
        <f t="shared" si="91"/>
        <v>0</v>
      </c>
      <c r="AW167" s="11">
        <f t="shared" si="92"/>
        <v>0</v>
      </c>
      <c r="AX167" s="11">
        <f t="shared" si="93"/>
        <v>0</v>
      </c>
      <c r="AY167" s="2953">
        <f t="shared" si="68"/>
        <v>0</v>
      </c>
      <c r="AZ167" s="16">
        <f t="shared" si="69"/>
        <v>0</v>
      </c>
      <c r="BA167" s="16">
        <f t="shared" si="70"/>
        <v>0</v>
      </c>
      <c r="BB167" s="16">
        <f t="shared" si="71"/>
        <v>0</v>
      </c>
      <c r="BC167" s="16">
        <f t="shared" si="72"/>
        <v>0</v>
      </c>
      <c r="BD167" s="16">
        <f t="shared" si="73"/>
        <v>0</v>
      </c>
      <c r="BE167" s="16">
        <f t="shared" si="74"/>
        <v>0</v>
      </c>
      <c r="BF167" s="16">
        <f t="shared" si="75"/>
        <v>0</v>
      </c>
      <c r="BG167" s="16">
        <f t="shared" si="76"/>
        <v>0</v>
      </c>
      <c r="BH167" s="16">
        <f t="shared" si="77"/>
        <v>0</v>
      </c>
      <c r="BI167" s="16">
        <f t="shared" si="78"/>
        <v>0</v>
      </c>
      <c r="BJ167" s="16">
        <f t="shared" si="79"/>
        <v>0</v>
      </c>
      <c r="BK167" s="16">
        <f t="shared" si="80"/>
        <v>0</v>
      </c>
      <c r="BL167" s="16">
        <f t="shared" si="81"/>
        <v>0</v>
      </c>
      <c r="BM167" s="16">
        <f t="shared" si="82"/>
        <v>0</v>
      </c>
      <c r="BN167" s="16">
        <f t="shared" si="83"/>
        <v>0</v>
      </c>
      <c r="BO167" s="16">
        <f t="shared" si="84"/>
        <v>0</v>
      </c>
      <c r="BP167" s="16">
        <f t="shared" si="85"/>
        <v>0</v>
      </c>
      <c r="BQ167" s="16">
        <f t="shared" si="86"/>
        <v>0</v>
      </c>
      <c r="BR167" s="16">
        <f t="shared" si="87"/>
        <v>0</v>
      </c>
      <c r="BS167" s="16">
        <f t="shared" si="88"/>
        <v>0</v>
      </c>
      <c r="BT167" s="22">
        <f t="shared" si="89"/>
        <v>0</v>
      </c>
    </row>
    <row r="168" spans="1:72" s="2167" customFormat="1" ht="12.75">
      <c r="A168" s="1274"/>
      <c r="B168" s="1274"/>
      <c r="C168" s="2153"/>
      <c r="D168" s="2954"/>
      <c r="E168" s="16">
        <f t="shared" si="90"/>
        <v>0</v>
      </c>
      <c r="F168" s="32"/>
      <c r="G168" s="33">
        <f t="shared" si="65"/>
        <v>0</v>
      </c>
      <c r="H168" s="20">
        <f t="shared" si="66"/>
        <v>0</v>
      </c>
      <c r="I168" s="2213"/>
      <c r="J168" s="2213"/>
      <c r="K168" s="2213"/>
      <c r="L168" s="2213"/>
      <c r="M168" s="2213"/>
      <c r="N168" s="2213"/>
      <c r="O168" s="2213"/>
      <c r="P168" s="2213"/>
      <c r="Q168" s="2213"/>
      <c r="R168" s="2213"/>
      <c r="S168" s="2213"/>
      <c r="T168" s="2213"/>
      <c r="U168" s="2213"/>
      <c r="V168" s="2213"/>
      <c r="W168" s="2213"/>
      <c r="X168" s="2213"/>
      <c r="Y168" s="2213"/>
      <c r="Z168" s="2213"/>
      <c r="AA168" s="2213"/>
      <c r="AB168" s="2213"/>
      <c r="AC168" s="16">
        <f t="shared" si="67"/>
        <v>0</v>
      </c>
      <c r="AD168" s="2214"/>
      <c r="AE168" s="2214"/>
      <c r="AF168" s="2214"/>
      <c r="AG168" s="2214"/>
      <c r="AH168" s="2214"/>
      <c r="AI168" s="2214"/>
      <c r="AJ168" s="2214"/>
      <c r="AK168" s="2214"/>
      <c r="AL168" s="2214"/>
      <c r="AM168" s="2214"/>
      <c r="AN168" s="2214"/>
      <c r="AO168" s="2214"/>
      <c r="AP168" s="2214"/>
      <c r="AQ168" s="2214"/>
      <c r="AR168" s="2214"/>
      <c r="AS168" s="2214"/>
      <c r="AT168" s="2215"/>
      <c r="AU168" s="2216"/>
      <c r="AV168" s="11">
        <f t="shared" si="91"/>
        <v>0</v>
      </c>
      <c r="AW168" s="11">
        <f t="shared" si="92"/>
        <v>0</v>
      </c>
      <c r="AX168" s="11">
        <f t="shared" si="93"/>
        <v>0</v>
      </c>
      <c r="AY168" s="2953">
        <f t="shared" si="68"/>
        <v>0</v>
      </c>
      <c r="AZ168" s="16">
        <f t="shared" si="69"/>
        <v>0</v>
      </c>
      <c r="BA168" s="16">
        <f t="shared" si="70"/>
        <v>0</v>
      </c>
      <c r="BB168" s="16">
        <f t="shared" si="71"/>
        <v>0</v>
      </c>
      <c r="BC168" s="16">
        <f t="shared" si="72"/>
        <v>0</v>
      </c>
      <c r="BD168" s="16">
        <f t="shared" si="73"/>
        <v>0</v>
      </c>
      <c r="BE168" s="16">
        <f t="shared" si="74"/>
        <v>0</v>
      </c>
      <c r="BF168" s="16">
        <f t="shared" si="75"/>
        <v>0</v>
      </c>
      <c r="BG168" s="16">
        <f t="shared" si="76"/>
        <v>0</v>
      </c>
      <c r="BH168" s="16">
        <f t="shared" si="77"/>
        <v>0</v>
      </c>
      <c r="BI168" s="16">
        <f t="shared" si="78"/>
        <v>0</v>
      </c>
      <c r="BJ168" s="16">
        <f t="shared" si="79"/>
        <v>0</v>
      </c>
      <c r="BK168" s="16">
        <f t="shared" si="80"/>
        <v>0</v>
      </c>
      <c r="BL168" s="16">
        <f t="shared" si="81"/>
        <v>0</v>
      </c>
      <c r="BM168" s="16">
        <f t="shared" si="82"/>
        <v>0</v>
      </c>
      <c r="BN168" s="16">
        <f t="shared" si="83"/>
        <v>0</v>
      </c>
      <c r="BO168" s="16">
        <f t="shared" si="84"/>
        <v>0</v>
      </c>
      <c r="BP168" s="16">
        <f t="shared" si="85"/>
        <v>0</v>
      </c>
      <c r="BQ168" s="16">
        <f t="shared" si="86"/>
        <v>0</v>
      </c>
      <c r="BR168" s="16">
        <f t="shared" si="87"/>
        <v>0</v>
      </c>
      <c r="BS168" s="16">
        <f t="shared" si="88"/>
        <v>0</v>
      </c>
      <c r="BT168" s="22">
        <f t="shared" si="89"/>
        <v>0</v>
      </c>
    </row>
    <row r="169" spans="1:72" s="2167" customFormat="1" ht="12.75">
      <c r="A169" s="1274"/>
      <c r="B169" s="1274"/>
      <c r="C169" s="2153"/>
      <c r="D169" s="2954"/>
      <c r="E169" s="16">
        <f t="shared" si="90"/>
        <v>0</v>
      </c>
      <c r="F169" s="32"/>
      <c r="G169" s="33">
        <f t="shared" si="65"/>
        <v>0</v>
      </c>
      <c r="H169" s="20">
        <f t="shared" si="66"/>
        <v>0</v>
      </c>
      <c r="I169" s="2213"/>
      <c r="J169" s="2213"/>
      <c r="K169" s="2213"/>
      <c r="L169" s="2213"/>
      <c r="M169" s="2213"/>
      <c r="N169" s="2213"/>
      <c r="O169" s="2213"/>
      <c r="P169" s="2213"/>
      <c r="Q169" s="2213"/>
      <c r="R169" s="2213"/>
      <c r="S169" s="2213"/>
      <c r="T169" s="2213"/>
      <c r="U169" s="2213"/>
      <c r="V169" s="2213"/>
      <c r="W169" s="2213"/>
      <c r="X169" s="2213"/>
      <c r="Y169" s="2213"/>
      <c r="Z169" s="2213"/>
      <c r="AA169" s="2213"/>
      <c r="AB169" s="2213"/>
      <c r="AC169" s="16">
        <f t="shared" si="67"/>
        <v>0</v>
      </c>
      <c r="AD169" s="2214"/>
      <c r="AE169" s="2214"/>
      <c r="AF169" s="2214"/>
      <c r="AG169" s="2214"/>
      <c r="AH169" s="2214"/>
      <c r="AI169" s="2214"/>
      <c r="AJ169" s="2214"/>
      <c r="AK169" s="2214"/>
      <c r="AL169" s="2214"/>
      <c r="AM169" s="2214"/>
      <c r="AN169" s="2214"/>
      <c r="AO169" s="2214"/>
      <c r="AP169" s="2214"/>
      <c r="AQ169" s="2214"/>
      <c r="AR169" s="2214"/>
      <c r="AS169" s="2214"/>
      <c r="AT169" s="2215"/>
      <c r="AU169" s="2216"/>
      <c r="AV169" s="11">
        <f t="shared" si="91"/>
        <v>0</v>
      </c>
      <c r="AW169" s="11">
        <f t="shared" si="92"/>
        <v>0</v>
      </c>
      <c r="AX169" s="11">
        <f t="shared" si="93"/>
        <v>0</v>
      </c>
      <c r="AY169" s="2953">
        <f t="shared" si="68"/>
        <v>0</v>
      </c>
      <c r="AZ169" s="16">
        <f t="shared" si="69"/>
        <v>0</v>
      </c>
      <c r="BA169" s="16">
        <f t="shared" si="70"/>
        <v>0</v>
      </c>
      <c r="BB169" s="16">
        <f t="shared" si="71"/>
        <v>0</v>
      </c>
      <c r="BC169" s="16">
        <f t="shared" si="72"/>
        <v>0</v>
      </c>
      <c r="BD169" s="16">
        <f t="shared" si="73"/>
        <v>0</v>
      </c>
      <c r="BE169" s="16">
        <f t="shared" si="74"/>
        <v>0</v>
      </c>
      <c r="BF169" s="16">
        <f t="shared" si="75"/>
        <v>0</v>
      </c>
      <c r="BG169" s="16">
        <f t="shared" si="76"/>
        <v>0</v>
      </c>
      <c r="BH169" s="16">
        <f t="shared" si="77"/>
        <v>0</v>
      </c>
      <c r="BI169" s="16">
        <f t="shared" si="78"/>
        <v>0</v>
      </c>
      <c r="BJ169" s="16">
        <f t="shared" si="79"/>
        <v>0</v>
      </c>
      <c r="BK169" s="16">
        <f t="shared" si="80"/>
        <v>0</v>
      </c>
      <c r="BL169" s="16">
        <f t="shared" si="81"/>
        <v>0</v>
      </c>
      <c r="BM169" s="16">
        <f t="shared" si="82"/>
        <v>0</v>
      </c>
      <c r="BN169" s="16">
        <f t="shared" si="83"/>
        <v>0</v>
      </c>
      <c r="BO169" s="16">
        <f t="shared" si="84"/>
        <v>0</v>
      </c>
      <c r="BP169" s="16">
        <f t="shared" si="85"/>
        <v>0</v>
      </c>
      <c r="BQ169" s="16">
        <f t="shared" si="86"/>
        <v>0</v>
      </c>
      <c r="BR169" s="16">
        <f t="shared" si="87"/>
        <v>0</v>
      </c>
      <c r="BS169" s="16">
        <f t="shared" si="88"/>
        <v>0</v>
      </c>
      <c r="BT169" s="22">
        <f t="shared" si="89"/>
        <v>0</v>
      </c>
    </row>
    <row r="170" spans="1:72" s="2167" customFormat="1" ht="12.75">
      <c r="A170" s="1274"/>
      <c r="B170" s="1274"/>
      <c r="C170" s="2153"/>
      <c r="D170" s="2954"/>
      <c r="E170" s="16">
        <f t="shared" si="90"/>
        <v>0</v>
      </c>
      <c r="F170" s="32"/>
      <c r="G170" s="33">
        <f t="shared" si="65"/>
        <v>0</v>
      </c>
      <c r="H170" s="20">
        <f t="shared" si="66"/>
        <v>0</v>
      </c>
      <c r="I170" s="2213"/>
      <c r="J170" s="2213"/>
      <c r="K170" s="2213"/>
      <c r="L170" s="2213"/>
      <c r="M170" s="2213"/>
      <c r="N170" s="2213"/>
      <c r="O170" s="2213"/>
      <c r="P170" s="2213"/>
      <c r="Q170" s="2213"/>
      <c r="R170" s="2213"/>
      <c r="S170" s="2213"/>
      <c r="T170" s="2213"/>
      <c r="U170" s="2213"/>
      <c r="V170" s="2213"/>
      <c r="W170" s="2213"/>
      <c r="X170" s="2213"/>
      <c r="Y170" s="2213"/>
      <c r="Z170" s="2213"/>
      <c r="AA170" s="2213"/>
      <c r="AB170" s="2213"/>
      <c r="AC170" s="16">
        <f t="shared" si="67"/>
        <v>0</v>
      </c>
      <c r="AD170" s="2214"/>
      <c r="AE170" s="2214"/>
      <c r="AF170" s="2214"/>
      <c r="AG170" s="2214"/>
      <c r="AH170" s="2214"/>
      <c r="AI170" s="2214"/>
      <c r="AJ170" s="2214"/>
      <c r="AK170" s="2214"/>
      <c r="AL170" s="2214"/>
      <c r="AM170" s="2214"/>
      <c r="AN170" s="2214"/>
      <c r="AO170" s="2214"/>
      <c r="AP170" s="2214"/>
      <c r="AQ170" s="2214"/>
      <c r="AR170" s="2214"/>
      <c r="AS170" s="2214"/>
      <c r="AT170" s="2215"/>
      <c r="AU170" s="2216"/>
      <c r="AV170" s="11">
        <f t="shared" si="91"/>
        <v>0</v>
      </c>
      <c r="AW170" s="11">
        <f t="shared" si="92"/>
        <v>0</v>
      </c>
      <c r="AX170" s="11">
        <f t="shared" si="93"/>
        <v>0</v>
      </c>
      <c r="AY170" s="2953">
        <f t="shared" si="68"/>
        <v>0</v>
      </c>
      <c r="AZ170" s="16">
        <f t="shared" si="69"/>
        <v>0</v>
      </c>
      <c r="BA170" s="16">
        <f t="shared" si="70"/>
        <v>0</v>
      </c>
      <c r="BB170" s="16">
        <f t="shared" si="71"/>
        <v>0</v>
      </c>
      <c r="BC170" s="16">
        <f t="shared" si="72"/>
        <v>0</v>
      </c>
      <c r="BD170" s="16">
        <f t="shared" si="73"/>
        <v>0</v>
      </c>
      <c r="BE170" s="16">
        <f t="shared" si="74"/>
        <v>0</v>
      </c>
      <c r="BF170" s="16">
        <f t="shared" si="75"/>
        <v>0</v>
      </c>
      <c r="BG170" s="16">
        <f t="shared" si="76"/>
        <v>0</v>
      </c>
      <c r="BH170" s="16">
        <f t="shared" si="77"/>
        <v>0</v>
      </c>
      <c r="BI170" s="16">
        <f t="shared" si="78"/>
        <v>0</v>
      </c>
      <c r="BJ170" s="16">
        <f t="shared" si="79"/>
        <v>0</v>
      </c>
      <c r="BK170" s="16">
        <f t="shared" si="80"/>
        <v>0</v>
      </c>
      <c r="BL170" s="16">
        <f t="shared" si="81"/>
        <v>0</v>
      </c>
      <c r="BM170" s="16">
        <f t="shared" si="82"/>
        <v>0</v>
      </c>
      <c r="BN170" s="16">
        <f t="shared" si="83"/>
        <v>0</v>
      </c>
      <c r="BO170" s="16">
        <f t="shared" si="84"/>
        <v>0</v>
      </c>
      <c r="BP170" s="16">
        <f t="shared" si="85"/>
        <v>0</v>
      </c>
      <c r="BQ170" s="16">
        <f t="shared" si="86"/>
        <v>0</v>
      </c>
      <c r="BR170" s="16">
        <f t="shared" si="87"/>
        <v>0</v>
      </c>
      <c r="BS170" s="16">
        <f t="shared" si="88"/>
        <v>0</v>
      </c>
      <c r="BT170" s="22">
        <f t="shared" si="89"/>
        <v>0</v>
      </c>
    </row>
    <row r="171" spans="1:72" s="2167" customFormat="1" ht="12.75">
      <c r="A171" s="1274"/>
      <c r="B171" s="1274"/>
      <c r="C171" s="2153"/>
      <c r="D171" s="2954"/>
      <c r="E171" s="16">
        <f t="shared" si="90"/>
        <v>0</v>
      </c>
      <c r="F171" s="32"/>
      <c r="G171" s="33">
        <f t="shared" si="65"/>
        <v>0</v>
      </c>
      <c r="H171" s="20">
        <f t="shared" si="66"/>
        <v>0</v>
      </c>
      <c r="I171" s="2213"/>
      <c r="J171" s="2213"/>
      <c r="K171" s="2213"/>
      <c r="L171" s="2213"/>
      <c r="M171" s="2213"/>
      <c r="N171" s="2213"/>
      <c r="O171" s="2213"/>
      <c r="P171" s="2213"/>
      <c r="Q171" s="2213"/>
      <c r="R171" s="2213"/>
      <c r="S171" s="2213"/>
      <c r="T171" s="2213"/>
      <c r="U171" s="2213"/>
      <c r="V171" s="2213"/>
      <c r="W171" s="2213"/>
      <c r="X171" s="2213"/>
      <c r="Y171" s="2213"/>
      <c r="Z171" s="2213"/>
      <c r="AA171" s="2213"/>
      <c r="AB171" s="2213"/>
      <c r="AC171" s="16">
        <f t="shared" si="67"/>
        <v>0</v>
      </c>
      <c r="AD171" s="2214"/>
      <c r="AE171" s="2214"/>
      <c r="AF171" s="2214"/>
      <c r="AG171" s="2214"/>
      <c r="AH171" s="2214"/>
      <c r="AI171" s="2214"/>
      <c r="AJ171" s="2214"/>
      <c r="AK171" s="2214"/>
      <c r="AL171" s="2214"/>
      <c r="AM171" s="2214"/>
      <c r="AN171" s="2214"/>
      <c r="AO171" s="2214"/>
      <c r="AP171" s="2214"/>
      <c r="AQ171" s="2214"/>
      <c r="AR171" s="2214"/>
      <c r="AS171" s="2214"/>
      <c r="AT171" s="2215"/>
      <c r="AU171" s="2216"/>
      <c r="AV171" s="11">
        <f t="shared" si="91"/>
        <v>0</v>
      </c>
      <c r="AW171" s="11">
        <f t="shared" si="92"/>
        <v>0</v>
      </c>
      <c r="AX171" s="11">
        <f t="shared" si="93"/>
        <v>0</v>
      </c>
      <c r="AY171" s="2953">
        <f t="shared" si="68"/>
        <v>0</v>
      </c>
      <c r="AZ171" s="16">
        <f t="shared" si="69"/>
        <v>0</v>
      </c>
      <c r="BA171" s="16">
        <f t="shared" si="70"/>
        <v>0</v>
      </c>
      <c r="BB171" s="16">
        <f t="shared" si="71"/>
        <v>0</v>
      </c>
      <c r="BC171" s="16">
        <f t="shared" si="72"/>
        <v>0</v>
      </c>
      <c r="BD171" s="16">
        <f t="shared" si="73"/>
        <v>0</v>
      </c>
      <c r="BE171" s="16">
        <f t="shared" si="74"/>
        <v>0</v>
      </c>
      <c r="BF171" s="16">
        <f t="shared" si="75"/>
        <v>0</v>
      </c>
      <c r="BG171" s="16">
        <f t="shared" si="76"/>
        <v>0</v>
      </c>
      <c r="BH171" s="16">
        <f t="shared" si="77"/>
        <v>0</v>
      </c>
      <c r="BI171" s="16">
        <f t="shared" si="78"/>
        <v>0</v>
      </c>
      <c r="BJ171" s="16">
        <f t="shared" si="79"/>
        <v>0</v>
      </c>
      <c r="BK171" s="16">
        <f t="shared" si="80"/>
        <v>0</v>
      </c>
      <c r="BL171" s="16">
        <f t="shared" si="81"/>
        <v>0</v>
      </c>
      <c r="BM171" s="16">
        <f t="shared" si="82"/>
        <v>0</v>
      </c>
      <c r="BN171" s="16">
        <f t="shared" si="83"/>
        <v>0</v>
      </c>
      <c r="BO171" s="16">
        <f t="shared" si="84"/>
        <v>0</v>
      </c>
      <c r="BP171" s="16">
        <f t="shared" si="85"/>
        <v>0</v>
      </c>
      <c r="BQ171" s="16">
        <f t="shared" si="86"/>
        <v>0</v>
      </c>
      <c r="BR171" s="16">
        <f t="shared" si="87"/>
        <v>0</v>
      </c>
      <c r="BS171" s="16">
        <f t="shared" si="88"/>
        <v>0</v>
      </c>
      <c r="BT171" s="22">
        <f t="shared" si="89"/>
        <v>0</v>
      </c>
    </row>
    <row r="172" spans="1:72" s="2167" customFormat="1" ht="12.75">
      <c r="A172" s="1274"/>
      <c r="B172" s="1274"/>
      <c r="C172" s="2153"/>
      <c r="D172" s="2954"/>
      <c r="E172" s="16">
        <f t="shared" si="90"/>
        <v>0</v>
      </c>
      <c r="F172" s="32"/>
      <c r="G172" s="33">
        <f t="shared" si="65"/>
        <v>0</v>
      </c>
      <c r="H172" s="20">
        <f t="shared" si="66"/>
        <v>0</v>
      </c>
      <c r="I172" s="2213"/>
      <c r="J172" s="2213"/>
      <c r="K172" s="2213"/>
      <c r="L172" s="2213"/>
      <c r="M172" s="2213"/>
      <c r="N172" s="2213"/>
      <c r="O172" s="2213"/>
      <c r="P172" s="2213"/>
      <c r="Q172" s="2213"/>
      <c r="R172" s="2213"/>
      <c r="S172" s="2213"/>
      <c r="T172" s="2213"/>
      <c r="U172" s="2213"/>
      <c r="V172" s="2213"/>
      <c r="W172" s="2213"/>
      <c r="X172" s="2213"/>
      <c r="Y172" s="2213"/>
      <c r="Z172" s="2213"/>
      <c r="AA172" s="2213"/>
      <c r="AB172" s="2213"/>
      <c r="AC172" s="16">
        <f t="shared" si="67"/>
        <v>0</v>
      </c>
      <c r="AD172" s="2214"/>
      <c r="AE172" s="2214"/>
      <c r="AF172" s="2214"/>
      <c r="AG172" s="2214"/>
      <c r="AH172" s="2214"/>
      <c r="AI172" s="2214"/>
      <c r="AJ172" s="2214"/>
      <c r="AK172" s="2214"/>
      <c r="AL172" s="2214"/>
      <c r="AM172" s="2214"/>
      <c r="AN172" s="2214"/>
      <c r="AO172" s="2214"/>
      <c r="AP172" s="2214"/>
      <c r="AQ172" s="2214"/>
      <c r="AR172" s="2214"/>
      <c r="AS172" s="2214"/>
      <c r="AT172" s="2215"/>
      <c r="AU172" s="2216"/>
      <c r="AV172" s="11">
        <f t="shared" si="91"/>
        <v>0</v>
      </c>
      <c r="AW172" s="11">
        <f t="shared" si="92"/>
        <v>0</v>
      </c>
      <c r="AX172" s="11">
        <f t="shared" si="93"/>
        <v>0</v>
      </c>
      <c r="AY172" s="2953">
        <f t="shared" si="68"/>
        <v>0</v>
      </c>
      <c r="AZ172" s="16">
        <f t="shared" si="69"/>
        <v>0</v>
      </c>
      <c r="BA172" s="16">
        <f t="shared" si="70"/>
        <v>0</v>
      </c>
      <c r="BB172" s="16">
        <f t="shared" si="71"/>
        <v>0</v>
      </c>
      <c r="BC172" s="16">
        <f t="shared" si="72"/>
        <v>0</v>
      </c>
      <c r="BD172" s="16">
        <f t="shared" si="73"/>
        <v>0</v>
      </c>
      <c r="BE172" s="16">
        <f t="shared" si="74"/>
        <v>0</v>
      </c>
      <c r="BF172" s="16">
        <f t="shared" si="75"/>
        <v>0</v>
      </c>
      <c r="BG172" s="16">
        <f t="shared" si="76"/>
        <v>0</v>
      </c>
      <c r="BH172" s="16">
        <f t="shared" si="77"/>
        <v>0</v>
      </c>
      <c r="BI172" s="16">
        <f t="shared" si="78"/>
        <v>0</v>
      </c>
      <c r="BJ172" s="16">
        <f t="shared" si="79"/>
        <v>0</v>
      </c>
      <c r="BK172" s="16">
        <f t="shared" si="80"/>
        <v>0</v>
      </c>
      <c r="BL172" s="16">
        <f t="shared" si="81"/>
        <v>0</v>
      </c>
      <c r="BM172" s="16">
        <f t="shared" si="82"/>
        <v>0</v>
      </c>
      <c r="BN172" s="16">
        <f t="shared" si="83"/>
        <v>0</v>
      </c>
      <c r="BO172" s="16">
        <f t="shared" si="84"/>
        <v>0</v>
      </c>
      <c r="BP172" s="16">
        <f t="shared" si="85"/>
        <v>0</v>
      </c>
      <c r="BQ172" s="16">
        <f t="shared" si="86"/>
        <v>0</v>
      </c>
      <c r="BR172" s="16">
        <f t="shared" si="87"/>
        <v>0</v>
      </c>
      <c r="BS172" s="16">
        <f t="shared" si="88"/>
        <v>0</v>
      </c>
      <c r="BT172" s="22">
        <f t="shared" si="89"/>
        <v>0</v>
      </c>
    </row>
    <row r="173" spans="1:72" s="2167" customFormat="1" ht="12.75">
      <c r="A173" s="1274"/>
      <c r="B173" s="1274"/>
      <c r="C173" s="2153"/>
      <c r="D173" s="2954"/>
      <c r="E173" s="16">
        <f t="shared" si="90"/>
        <v>0</v>
      </c>
      <c r="F173" s="32"/>
      <c r="G173" s="33">
        <f t="shared" si="65"/>
        <v>0</v>
      </c>
      <c r="H173" s="20">
        <f t="shared" si="66"/>
        <v>0</v>
      </c>
      <c r="I173" s="2213"/>
      <c r="J173" s="2213"/>
      <c r="K173" s="2213"/>
      <c r="L173" s="2213"/>
      <c r="M173" s="2213"/>
      <c r="N173" s="2213"/>
      <c r="O173" s="2213"/>
      <c r="P173" s="2213"/>
      <c r="Q173" s="2213"/>
      <c r="R173" s="2213"/>
      <c r="S173" s="2213"/>
      <c r="T173" s="2213"/>
      <c r="U173" s="2213"/>
      <c r="V173" s="2213"/>
      <c r="W173" s="2213"/>
      <c r="X173" s="2213"/>
      <c r="Y173" s="2213"/>
      <c r="Z173" s="2213"/>
      <c r="AA173" s="2213"/>
      <c r="AB173" s="2213"/>
      <c r="AC173" s="16">
        <f t="shared" si="67"/>
        <v>0</v>
      </c>
      <c r="AD173" s="2214"/>
      <c r="AE173" s="2214"/>
      <c r="AF173" s="2214"/>
      <c r="AG173" s="2214"/>
      <c r="AH173" s="2214"/>
      <c r="AI173" s="2214"/>
      <c r="AJ173" s="2214"/>
      <c r="AK173" s="2214"/>
      <c r="AL173" s="2214"/>
      <c r="AM173" s="2214"/>
      <c r="AN173" s="2214"/>
      <c r="AO173" s="2214"/>
      <c r="AP173" s="2214"/>
      <c r="AQ173" s="2214"/>
      <c r="AR173" s="2214"/>
      <c r="AS173" s="2214"/>
      <c r="AT173" s="2215"/>
      <c r="AU173" s="2216"/>
      <c r="AV173" s="11">
        <f t="shared" si="91"/>
        <v>0</v>
      </c>
      <c r="AW173" s="11">
        <f t="shared" si="92"/>
        <v>0</v>
      </c>
      <c r="AX173" s="11">
        <f t="shared" si="93"/>
        <v>0</v>
      </c>
      <c r="AY173" s="2953">
        <f t="shared" si="68"/>
        <v>0</v>
      </c>
      <c r="AZ173" s="16">
        <f t="shared" si="69"/>
        <v>0</v>
      </c>
      <c r="BA173" s="16">
        <f t="shared" si="70"/>
        <v>0</v>
      </c>
      <c r="BB173" s="16">
        <f t="shared" si="71"/>
        <v>0</v>
      </c>
      <c r="BC173" s="16">
        <f t="shared" si="72"/>
        <v>0</v>
      </c>
      <c r="BD173" s="16">
        <f t="shared" si="73"/>
        <v>0</v>
      </c>
      <c r="BE173" s="16">
        <f t="shared" si="74"/>
        <v>0</v>
      </c>
      <c r="BF173" s="16">
        <f t="shared" si="75"/>
        <v>0</v>
      </c>
      <c r="BG173" s="16">
        <f t="shared" si="76"/>
        <v>0</v>
      </c>
      <c r="BH173" s="16">
        <f t="shared" si="77"/>
        <v>0</v>
      </c>
      <c r="BI173" s="16">
        <f t="shared" si="78"/>
        <v>0</v>
      </c>
      <c r="BJ173" s="16">
        <f t="shared" si="79"/>
        <v>0</v>
      </c>
      <c r="BK173" s="16">
        <f t="shared" si="80"/>
        <v>0</v>
      </c>
      <c r="BL173" s="16">
        <f t="shared" si="81"/>
        <v>0</v>
      </c>
      <c r="BM173" s="16">
        <f t="shared" si="82"/>
        <v>0</v>
      </c>
      <c r="BN173" s="16">
        <f t="shared" si="83"/>
        <v>0</v>
      </c>
      <c r="BO173" s="16">
        <f t="shared" si="84"/>
        <v>0</v>
      </c>
      <c r="BP173" s="16">
        <f t="shared" si="85"/>
        <v>0</v>
      </c>
      <c r="BQ173" s="16">
        <f t="shared" si="86"/>
        <v>0</v>
      </c>
      <c r="BR173" s="16">
        <f t="shared" si="87"/>
        <v>0</v>
      </c>
      <c r="BS173" s="16">
        <f t="shared" si="88"/>
        <v>0</v>
      </c>
      <c r="BT173" s="22">
        <f t="shared" si="89"/>
        <v>0</v>
      </c>
    </row>
    <row r="174" spans="1:72" s="2167" customFormat="1" ht="12.75">
      <c r="A174" s="1274"/>
      <c r="B174" s="1274"/>
      <c r="C174" s="2153"/>
      <c r="D174" s="2954"/>
      <c r="E174" s="16">
        <f t="shared" si="90"/>
        <v>0</v>
      </c>
      <c r="F174" s="32"/>
      <c r="G174" s="33">
        <f t="shared" ref="G174:G205" si="94">H174+AC174+AT174</f>
        <v>0</v>
      </c>
      <c r="H174" s="20">
        <f t="shared" ref="H174:H205" si="95">SUMIF(I$12:AB$12,"总值",I174:AB174)</f>
        <v>0</v>
      </c>
      <c r="I174" s="2213"/>
      <c r="J174" s="2213"/>
      <c r="K174" s="2213"/>
      <c r="L174" s="2213"/>
      <c r="M174" s="2213"/>
      <c r="N174" s="2213"/>
      <c r="O174" s="2213"/>
      <c r="P174" s="2213"/>
      <c r="Q174" s="2213"/>
      <c r="R174" s="2213"/>
      <c r="S174" s="2213"/>
      <c r="T174" s="2213"/>
      <c r="U174" s="2213"/>
      <c r="V174" s="2213"/>
      <c r="W174" s="2213"/>
      <c r="X174" s="2213"/>
      <c r="Y174" s="2213"/>
      <c r="Z174" s="2213"/>
      <c r="AA174" s="2213"/>
      <c r="AB174" s="2213"/>
      <c r="AC174" s="16">
        <f t="shared" ref="AC174:AC205" si="96">SUMIF(AD$12:AS$12,"总值",AD174:AS174)</f>
        <v>0</v>
      </c>
      <c r="AD174" s="2214"/>
      <c r="AE174" s="2214"/>
      <c r="AF174" s="2214"/>
      <c r="AG174" s="2214"/>
      <c r="AH174" s="2214"/>
      <c r="AI174" s="2214"/>
      <c r="AJ174" s="2214"/>
      <c r="AK174" s="2214"/>
      <c r="AL174" s="2214"/>
      <c r="AM174" s="2214"/>
      <c r="AN174" s="2214"/>
      <c r="AO174" s="2214"/>
      <c r="AP174" s="2214"/>
      <c r="AQ174" s="2214"/>
      <c r="AR174" s="2214"/>
      <c r="AS174" s="2214"/>
      <c r="AT174" s="2215"/>
      <c r="AU174" s="2216"/>
      <c r="AV174" s="11">
        <f t="shared" si="91"/>
        <v>0</v>
      </c>
      <c r="AW174" s="11">
        <f t="shared" si="92"/>
        <v>0</v>
      </c>
      <c r="AX174" s="11">
        <f t="shared" si="93"/>
        <v>0</v>
      </c>
      <c r="AY174" s="2953">
        <f t="shared" ref="AY174:AY205" si="97">ROUND($AY$6*AZ174/$AZ$5,2)</f>
        <v>0</v>
      </c>
      <c r="AZ174" s="16">
        <f t="shared" ref="AZ174:AZ205" si="98">BA174+BL174</f>
        <v>0</v>
      </c>
      <c r="BA174" s="16">
        <f t="shared" ref="BA174:BA205" si="99">SUM(BB174:BK174)</f>
        <v>0</v>
      </c>
      <c r="BB174" s="16">
        <f t="shared" ref="BB174:BB207" si="100">IF($D174="是",I174-J174,0)</f>
        <v>0</v>
      </c>
      <c r="BC174" s="16">
        <f t="shared" ref="BC174:BC207" si="101">IF($D174="是",K174-L174,0)</f>
        <v>0</v>
      </c>
      <c r="BD174" s="16">
        <f t="shared" ref="BD174:BD207" si="102">IF($D174="是",M174-N174,0)</f>
        <v>0</v>
      </c>
      <c r="BE174" s="16">
        <f t="shared" ref="BE174:BE207" si="103">IF($D174="是",O174-P174,0)</f>
        <v>0</v>
      </c>
      <c r="BF174" s="16">
        <f t="shared" ref="BF174:BF207" si="104">IF($D174="是",Q174-R174,0)</f>
        <v>0</v>
      </c>
      <c r="BG174" s="16">
        <f t="shared" ref="BG174:BG207" si="105">IF($D174="是",S174-T174,0)</f>
        <v>0</v>
      </c>
      <c r="BH174" s="16">
        <f t="shared" ref="BH174:BH207" si="106">IF($D174="是",U174-V174,0)</f>
        <v>0</v>
      </c>
      <c r="BI174" s="16">
        <f t="shared" ref="BI174:BI207" si="107">IF($D174="是",W174-X174,0)</f>
        <v>0</v>
      </c>
      <c r="BJ174" s="16">
        <f t="shared" ref="BJ174:BJ207" si="108">IF($D174="是",Y174-Z174,0)</f>
        <v>0</v>
      </c>
      <c r="BK174" s="16">
        <f t="shared" ref="BK174:BK207" si="109">IF($D174="是",AA174-AB174,0)</f>
        <v>0</v>
      </c>
      <c r="BL174" s="16">
        <f t="shared" ref="BL174:BL205" si="110">SUM(BM174:BT174)</f>
        <v>0</v>
      </c>
      <c r="BM174" s="16">
        <f t="shared" ref="BM174:BM207" si="111">IF($D174="是",AD174-AE174,0)</f>
        <v>0</v>
      </c>
      <c r="BN174" s="16">
        <f t="shared" ref="BN174:BN207" si="112">IF($D174="是",AF174-AG174,0)</f>
        <v>0</v>
      </c>
      <c r="BO174" s="16">
        <f t="shared" ref="BO174:BO207" si="113">IF($D174="是",AH174-AI174,0)</f>
        <v>0</v>
      </c>
      <c r="BP174" s="16">
        <f t="shared" ref="BP174:BP207" si="114">IF($D174="是",AJ174-AK174,0)</f>
        <v>0</v>
      </c>
      <c r="BQ174" s="16">
        <f t="shared" ref="BQ174:BQ207" si="115">IF($D174="是",AL174-AM174,0)</f>
        <v>0</v>
      </c>
      <c r="BR174" s="16">
        <f t="shared" ref="BR174:BR207" si="116">IF($D174="是",AN174-AO174,0)</f>
        <v>0</v>
      </c>
      <c r="BS174" s="16">
        <f t="shared" ref="BS174:BS207" si="117">IF($D174="是",AP174-AQ174,0)</f>
        <v>0</v>
      </c>
      <c r="BT174" s="22">
        <f t="shared" ref="BT174:BT207" si="118">IF($D174="是",AR174-AS174,0)</f>
        <v>0</v>
      </c>
    </row>
    <row r="175" spans="1:72" s="2167" customFormat="1" ht="12.75">
      <c r="A175" s="1274"/>
      <c r="B175" s="1274"/>
      <c r="C175" s="2153"/>
      <c r="D175" s="2954"/>
      <c r="E175" s="16">
        <f t="shared" si="90"/>
        <v>0</v>
      </c>
      <c r="F175" s="32"/>
      <c r="G175" s="33">
        <f t="shared" si="94"/>
        <v>0</v>
      </c>
      <c r="H175" s="20">
        <f t="shared" si="95"/>
        <v>0</v>
      </c>
      <c r="I175" s="2213"/>
      <c r="J175" s="2213"/>
      <c r="K175" s="2213"/>
      <c r="L175" s="2213"/>
      <c r="M175" s="2213"/>
      <c r="N175" s="2213"/>
      <c r="O175" s="2213"/>
      <c r="P175" s="2213"/>
      <c r="Q175" s="2213"/>
      <c r="R175" s="2213"/>
      <c r="S175" s="2213"/>
      <c r="T175" s="2213"/>
      <c r="U175" s="2213"/>
      <c r="V175" s="2213"/>
      <c r="W175" s="2213"/>
      <c r="X175" s="2213"/>
      <c r="Y175" s="2213"/>
      <c r="Z175" s="2213"/>
      <c r="AA175" s="2213"/>
      <c r="AB175" s="2213"/>
      <c r="AC175" s="16">
        <f t="shared" si="96"/>
        <v>0</v>
      </c>
      <c r="AD175" s="2214"/>
      <c r="AE175" s="2214"/>
      <c r="AF175" s="2214"/>
      <c r="AG175" s="2214"/>
      <c r="AH175" s="2214"/>
      <c r="AI175" s="2214"/>
      <c r="AJ175" s="2214"/>
      <c r="AK175" s="2214"/>
      <c r="AL175" s="2214"/>
      <c r="AM175" s="2214"/>
      <c r="AN175" s="2214"/>
      <c r="AO175" s="2214"/>
      <c r="AP175" s="2214"/>
      <c r="AQ175" s="2214"/>
      <c r="AR175" s="2214"/>
      <c r="AS175" s="2214"/>
      <c r="AT175" s="2215"/>
      <c r="AU175" s="2216"/>
      <c r="AV175" s="11">
        <f t="shared" si="91"/>
        <v>0</v>
      </c>
      <c r="AW175" s="11">
        <f t="shared" si="92"/>
        <v>0</v>
      </c>
      <c r="AX175" s="11">
        <f t="shared" si="93"/>
        <v>0</v>
      </c>
      <c r="AY175" s="2953">
        <f t="shared" si="97"/>
        <v>0</v>
      </c>
      <c r="AZ175" s="16">
        <f t="shared" si="98"/>
        <v>0</v>
      </c>
      <c r="BA175" s="16">
        <f t="shared" si="99"/>
        <v>0</v>
      </c>
      <c r="BB175" s="16">
        <f t="shared" si="100"/>
        <v>0</v>
      </c>
      <c r="BC175" s="16">
        <f t="shared" si="101"/>
        <v>0</v>
      </c>
      <c r="BD175" s="16">
        <f t="shared" si="102"/>
        <v>0</v>
      </c>
      <c r="BE175" s="16">
        <f t="shared" si="103"/>
        <v>0</v>
      </c>
      <c r="BF175" s="16">
        <f t="shared" si="104"/>
        <v>0</v>
      </c>
      <c r="BG175" s="16">
        <f t="shared" si="105"/>
        <v>0</v>
      </c>
      <c r="BH175" s="16">
        <f t="shared" si="106"/>
        <v>0</v>
      </c>
      <c r="BI175" s="16">
        <f t="shared" si="107"/>
        <v>0</v>
      </c>
      <c r="BJ175" s="16">
        <f t="shared" si="108"/>
        <v>0</v>
      </c>
      <c r="BK175" s="16">
        <f t="shared" si="109"/>
        <v>0</v>
      </c>
      <c r="BL175" s="16">
        <f t="shared" si="110"/>
        <v>0</v>
      </c>
      <c r="BM175" s="16">
        <f t="shared" si="111"/>
        <v>0</v>
      </c>
      <c r="BN175" s="16">
        <f t="shared" si="112"/>
        <v>0</v>
      </c>
      <c r="BO175" s="16">
        <f t="shared" si="113"/>
        <v>0</v>
      </c>
      <c r="BP175" s="16">
        <f t="shared" si="114"/>
        <v>0</v>
      </c>
      <c r="BQ175" s="16">
        <f t="shared" si="115"/>
        <v>0</v>
      </c>
      <c r="BR175" s="16">
        <f t="shared" si="116"/>
        <v>0</v>
      </c>
      <c r="BS175" s="16">
        <f t="shared" si="117"/>
        <v>0</v>
      </c>
      <c r="BT175" s="22">
        <f t="shared" si="118"/>
        <v>0</v>
      </c>
    </row>
    <row r="176" spans="1:72" s="2167" customFormat="1" ht="12.75">
      <c r="A176" s="1274"/>
      <c r="B176" s="1274"/>
      <c r="C176" s="2153"/>
      <c r="D176" s="2954"/>
      <c r="E176" s="16">
        <f t="shared" si="90"/>
        <v>0</v>
      </c>
      <c r="F176" s="32"/>
      <c r="G176" s="33">
        <f t="shared" si="94"/>
        <v>0</v>
      </c>
      <c r="H176" s="20">
        <f t="shared" si="95"/>
        <v>0</v>
      </c>
      <c r="I176" s="2213"/>
      <c r="J176" s="2213"/>
      <c r="K176" s="2213"/>
      <c r="L176" s="2213"/>
      <c r="M176" s="2213"/>
      <c r="N176" s="2213"/>
      <c r="O176" s="2213"/>
      <c r="P176" s="2213"/>
      <c r="Q176" s="2213"/>
      <c r="R176" s="2213"/>
      <c r="S176" s="2213"/>
      <c r="T176" s="2213"/>
      <c r="U176" s="2213"/>
      <c r="V176" s="2213"/>
      <c r="W176" s="2213"/>
      <c r="X176" s="2213"/>
      <c r="Y176" s="2213"/>
      <c r="Z176" s="2213"/>
      <c r="AA176" s="2213"/>
      <c r="AB176" s="2213"/>
      <c r="AC176" s="16">
        <f t="shared" si="96"/>
        <v>0</v>
      </c>
      <c r="AD176" s="2214"/>
      <c r="AE176" s="2214"/>
      <c r="AF176" s="2214"/>
      <c r="AG176" s="2214"/>
      <c r="AH176" s="2214"/>
      <c r="AI176" s="2214"/>
      <c r="AJ176" s="2214"/>
      <c r="AK176" s="2214"/>
      <c r="AL176" s="2214"/>
      <c r="AM176" s="2214"/>
      <c r="AN176" s="2214"/>
      <c r="AO176" s="2214"/>
      <c r="AP176" s="2214"/>
      <c r="AQ176" s="2214"/>
      <c r="AR176" s="2214"/>
      <c r="AS176" s="2214"/>
      <c r="AT176" s="2215"/>
      <c r="AU176" s="2216"/>
      <c r="AV176" s="11">
        <f t="shared" si="91"/>
        <v>0</v>
      </c>
      <c r="AW176" s="11">
        <f t="shared" si="92"/>
        <v>0</v>
      </c>
      <c r="AX176" s="11">
        <f t="shared" si="93"/>
        <v>0</v>
      </c>
      <c r="AY176" s="2953">
        <f t="shared" si="97"/>
        <v>0</v>
      </c>
      <c r="AZ176" s="16">
        <f t="shared" si="98"/>
        <v>0</v>
      </c>
      <c r="BA176" s="16">
        <f t="shared" si="99"/>
        <v>0</v>
      </c>
      <c r="BB176" s="16">
        <f t="shared" si="100"/>
        <v>0</v>
      </c>
      <c r="BC176" s="16">
        <f t="shared" si="101"/>
        <v>0</v>
      </c>
      <c r="BD176" s="16">
        <f t="shared" si="102"/>
        <v>0</v>
      </c>
      <c r="BE176" s="16">
        <f t="shared" si="103"/>
        <v>0</v>
      </c>
      <c r="BF176" s="16">
        <f t="shared" si="104"/>
        <v>0</v>
      </c>
      <c r="BG176" s="16">
        <f t="shared" si="105"/>
        <v>0</v>
      </c>
      <c r="BH176" s="16">
        <f t="shared" si="106"/>
        <v>0</v>
      </c>
      <c r="BI176" s="16">
        <f t="shared" si="107"/>
        <v>0</v>
      </c>
      <c r="BJ176" s="16">
        <f t="shared" si="108"/>
        <v>0</v>
      </c>
      <c r="BK176" s="16">
        <f t="shared" si="109"/>
        <v>0</v>
      </c>
      <c r="BL176" s="16">
        <f t="shared" si="110"/>
        <v>0</v>
      </c>
      <c r="BM176" s="16">
        <f t="shared" si="111"/>
        <v>0</v>
      </c>
      <c r="BN176" s="16">
        <f t="shared" si="112"/>
        <v>0</v>
      </c>
      <c r="BO176" s="16">
        <f t="shared" si="113"/>
        <v>0</v>
      </c>
      <c r="BP176" s="16">
        <f t="shared" si="114"/>
        <v>0</v>
      </c>
      <c r="BQ176" s="16">
        <f t="shared" si="115"/>
        <v>0</v>
      </c>
      <c r="BR176" s="16">
        <f t="shared" si="116"/>
        <v>0</v>
      </c>
      <c r="BS176" s="16">
        <f t="shared" si="117"/>
        <v>0</v>
      </c>
      <c r="BT176" s="22">
        <f t="shared" si="118"/>
        <v>0</v>
      </c>
    </row>
    <row r="177" spans="1:72" s="2167" customFormat="1" ht="12.75">
      <c r="A177" s="1274"/>
      <c r="B177" s="1274"/>
      <c r="C177" s="2153"/>
      <c r="D177" s="2954"/>
      <c r="E177" s="16">
        <f t="shared" ref="E177:E207" si="119">IF($C$3="是",ROUND($A$3*G177/$B$3,2),ROUND($A$3*(G177-AT177)/$B$3,2))</f>
        <v>0</v>
      </c>
      <c r="F177" s="32"/>
      <c r="G177" s="33">
        <f t="shared" si="94"/>
        <v>0</v>
      </c>
      <c r="H177" s="20">
        <f t="shared" si="95"/>
        <v>0</v>
      </c>
      <c r="I177" s="2213"/>
      <c r="J177" s="2213"/>
      <c r="K177" s="2213"/>
      <c r="L177" s="2213"/>
      <c r="M177" s="2213"/>
      <c r="N177" s="2213"/>
      <c r="O177" s="2213"/>
      <c r="P177" s="2213"/>
      <c r="Q177" s="2213"/>
      <c r="R177" s="2213"/>
      <c r="S177" s="2213"/>
      <c r="T177" s="2213"/>
      <c r="U177" s="2213"/>
      <c r="V177" s="2213"/>
      <c r="W177" s="2213"/>
      <c r="X177" s="2213"/>
      <c r="Y177" s="2213"/>
      <c r="Z177" s="2213"/>
      <c r="AA177" s="2213"/>
      <c r="AB177" s="2213"/>
      <c r="AC177" s="16">
        <f t="shared" si="96"/>
        <v>0</v>
      </c>
      <c r="AD177" s="2214"/>
      <c r="AE177" s="2214"/>
      <c r="AF177" s="2214"/>
      <c r="AG177" s="2214"/>
      <c r="AH177" s="2214"/>
      <c r="AI177" s="2214"/>
      <c r="AJ177" s="2214"/>
      <c r="AK177" s="2214"/>
      <c r="AL177" s="2214"/>
      <c r="AM177" s="2214"/>
      <c r="AN177" s="2214"/>
      <c r="AO177" s="2214"/>
      <c r="AP177" s="2214"/>
      <c r="AQ177" s="2214"/>
      <c r="AR177" s="2214"/>
      <c r="AS177" s="2214"/>
      <c r="AT177" s="2215"/>
      <c r="AU177" s="2216"/>
      <c r="AV177" s="11">
        <f t="shared" ref="AV177:AV207" si="120">A177</f>
        <v>0</v>
      </c>
      <c r="AW177" s="11">
        <f t="shared" ref="AW177:AW207" si="121">B177</f>
        <v>0</v>
      </c>
      <c r="AX177" s="11">
        <f t="shared" ref="AX177:AX207" si="122">C177</f>
        <v>0</v>
      </c>
      <c r="AY177" s="2953">
        <f t="shared" si="97"/>
        <v>0</v>
      </c>
      <c r="AZ177" s="16">
        <f t="shared" si="98"/>
        <v>0</v>
      </c>
      <c r="BA177" s="16">
        <f t="shared" si="99"/>
        <v>0</v>
      </c>
      <c r="BB177" s="16">
        <f t="shared" si="100"/>
        <v>0</v>
      </c>
      <c r="BC177" s="16">
        <f t="shared" si="101"/>
        <v>0</v>
      </c>
      <c r="BD177" s="16">
        <f t="shared" si="102"/>
        <v>0</v>
      </c>
      <c r="BE177" s="16">
        <f t="shared" si="103"/>
        <v>0</v>
      </c>
      <c r="BF177" s="16">
        <f t="shared" si="104"/>
        <v>0</v>
      </c>
      <c r="BG177" s="16">
        <f t="shared" si="105"/>
        <v>0</v>
      </c>
      <c r="BH177" s="16">
        <f t="shared" si="106"/>
        <v>0</v>
      </c>
      <c r="BI177" s="16">
        <f t="shared" si="107"/>
        <v>0</v>
      </c>
      <c r="BJ177" s="16">
        <f t="shared" si="108"/>
        <v>0</v>
      </c>
      <c r="BK177" s="16">
        <f t="shared" si="109"/>
        <v>0</v>
      </c>
      <c r="BL177" s="16">
        <f t="shared" si="110"/>
        <v>0</v>
      </c>
      <c r="BM177" s="16">
        <f t="shared" si="111"/>
        <v>0</v>
      </c>
      <c r="BN177" s="16">
        <f t="shared" si="112"/>
        <v>0</v>
      </c>
      <c r="BO177" s="16">
        <f t="shared" si="113"/>
        <v>0</v>
      </c>
      <c r="BP177" s="16">
        <f t="shared" si="114"/>
        <v>0</v>
      </c>
      <c r="BQ177" s="16">
        <f t="shared" si="115"/>
        <v>0</v>
      </c>
      <c r="BR177" s="16">
        <f t="shared" si="116"/>
        <v>0</v>
      </c>
      <c r="BS177" s="16">
        <f t="shared" si="117"/>
        <v>0</v>
      </c>
      <c r="BT177" s="22">
        <f t="shared" si="118"/>
        <v>0</v>
      </c>
    </row>
    <row r="178" spans="1:72" s="2167" customFormat="1" ht="12.75">
      <c r="A178" s="1274"/>
      <c r="B178" s="1274"/>
      <c r="C178" s="2153"/>
      <c r="D178" s="2954"/>
      <c r="E178" s="16">
        <f t="shared" si="119"/>
        <v>0</v>
      </c>
      <c r="F178" s="32"/>
      <c r="G178" s="33">
        <f t="shared" si="94"/>
        <v>0</v>
      </c>
      <c r="H178" s="20">
        <f t="shared" si="95"/>
        <v>0</v>
      </c>
      <c r="I178" s="2213"/>
      <c r="J178" s="2213"/>
      <c r="K178" s="2213"/>
      <c r="L178" s="2213"/>
      <c r="M178" s="2213"/>
      <c r="N178" s="2213"/>
      <c r="O178" s="2213"/>
      <c r="P178" s="2213"/>
      <c r="Q178" s="2213"/>
      <c r="R178" s="2213"/>
      <c r="S178" s="2213"/>
      <c r="T178" s="2213"/>
      <c r="U178" s="2213"/>
      <c r="V178" s="2213"/>
      <c r="W178" s="2213"/>
      <c r="X178" s="2213"/>
      <c r="Y178" s="2213"/>
      <c r="Z178" s="2213"/>
      <c r="AA178" s="2213"/>
      <c r="AB178" s="2213"/>
      <c r="AC178" s="16">
        <f t="shared" si="96"/>
        <v>0</v>
      </c>
      <c r="AD178" s="2214"/>
      <c r="AE178" s="2214"/>
      <c r="AF178" s="2214"/>
      <c r="AG178" s="2214"/>
      <c r="AH178" s="2214"/>
      <c r="AI178" s="2214"/>
      <c r="AJ178" s="2214"/>
      <c r="AK178" s="2214"/>
      <c r="AL178" s="2214"/>
      <c r="AM178" s="2214"/>
      <c r="AN178" s="2214"/>
      <c r="AO178" s="2214"/>
      <c r="AP178" s="2214"/>
      <c r="AQ178" s="2214"/>
      <c r="AR178" s="2214"/>
      <c r="AS178" s="2214"/>
      <c r="AT178" s="2215"/>
      <c r="AU178" s="2216"/>
      <c r="AV178" s="11">
        <f t="shared" si="120"/>
        <v>0</v>
      </c>
      <c r="AW178" s="11">
        <f t="shared" si="121"/>
        <v>0</v>
      </c>
      <c r="AX178" s="11">
        <f t="shared" si="122"/>
        <v>0</v>
      </c>
      <c r="AY178" s="2953">
        <f t="shared" si="97"/>
        <v>0</v>
      </c>
      <c r="AZ178" s="16">
        <f t="shared" si="98"/>
        <v>0</v>
      </c>
      <c r="BA178" s="16">
        <f t="shared" si="99"/>
        <v>0</v>
      </c>
      <c r="BB178" s="16">
        <f t="shared" si="100"/>
        <v>0</v>
      </c>
      <c r="BC178" s="16">
        <f t="shared" si="101"/>
        <v>0</v>
      </c>
      <c r="BD178" s="16">
        <f t="shared" si="102"/>
        <v>0</v>
      </c>
      <c r="BE178" s="16">
        <f t="shared" si="103"/>
        <v>0</v>
      </c>
      <c r="BF178" s="16">
        <f t="shared" si="104"/>
        <v>0</v>
      </c>
      <c r="BG178" s="16">
        <f t="shared" si="105"/>
        <v>0</v>
      </c>
      <c r="BH178" s="16">
        <f t="shared" si="106"/>
        <v>0</v>
      </c>
      <c r="BI178" s="16">
        <f t="shared" si="107"/>
        <v>0</v>
      </c>
      <c r="BJ178" s="16">
        <f t="shared" si="108"/>
        <v>0</v>
      </c>
      <c r="BK178" s="16">
        <f t="shared" si="109"/>
        <v>0</v>
      </c>
      <c r="BL178" s="16">
        <f t="shared" si="110"/>
        <v>0</v>
      </c>
      <c r="BM178" s="16">
        <f t="shared" si="111"/>
        <v>0</v>
      </c>
      <c r="BN178" s="16">
        <f t="shared" si="112"/>
        <v>0</v>
      </c>
      <c r="BO178" s="16">
        <f t="shared" si="113"/>
        <v>0</v>
      </c>
      <c r="BP178" s="16">
        <f t="shared" si="114"/>
        <v>0</v>
      </c>
      <c r="BQ178" s="16">
        <f t="shared" si="115"/>
        <v>0</v>
      </c>
      <c r="BR178" s="16">
        <f t="shared" si="116"/>
        <v>0</v>
      </c>
      <c r="BS178" s="16">
        <f t="shared" si="117"/>
        <v>0</v>
      </c>
      <c r="BT178" s="22">
        <f t="shared" si="118"/>
        <v>0</v>
      </c>
    </row>
    <row r="179" spans="1:72" s="2167" customFormat="1" ht="12.75">
      <c r="A179" s="1274"/>
      <c r="B179" s="1274"/>
      <c r="C179" s="2153"/>
      <c r="D179" s="2954"/>
      <c r="E179" s="16">
        <f t="shared" si="119"/>
        <v>0</v>
      </c>
      <c r="F179" s="32"/>
      <c r="G179" s="33">
        <f t="shared" si="94"/>
        <v>0</v>
      </c>
      <c r="H179" s="20">
        <f t="shared" si="95"/>
        <v>0</v>
      </c>
      <c r="I179" s="2213"/>
      <c r="J179" s="2213"/>
      <c r="K179" s="2213"/>
      <c r="L179" s="2213"/>
      <c r="M179" s="2213"/>
      <c r="N179" s="2213"/>
      <c r="O179" s="2213"/>
      <c r="P179" s="2213"/>
      <c r="Q179" s="2213"/>
      <c r="R179" s="2213"/>
      <c r="S179" s="2213"/>
      <c r="T179" s="2213"/>
      <c r="U179" s="2213"/>
      <c r="V179" s="2213"/>
      <c r="W179" s="2213"/>
      <c r="X179" s="2213"/>
      <c r="Y179" s="2213"/>
      <c r="Z179" s="2213"/>
      <c r="AA179" s="2213"/>
      <c r="AB179" s="2213"/>
      <c r="AC179" s="16">
        <f t="shared" si="96"/>
        <v>0</v>
      </c>
      <c r="AD179" s="2214"/>
      <c r="AE179" s="2214"/>
      <c r="AF179" s="2214"/>
      <c r="AG179" s="2214"/>
      <c r="AH179" s="2214"/>
      <c r="AI179" s="2214"/>
      <c r="AJ179" s="2214"/>
      <c r="AK179" s="2214"/>
      <c r="AL179" s="2214"/>
      <c r="AM179" s="2214"/>
      <c r="AN179" s="2214"/>
      <c r="AO179" s="2214"/>
      <c r="AP179" s="2214"/>
      <c r="AQ179" s="2214"/>
      <c r="AR179" s="2214"/>
      <c r="AS179" s="2214"/>
      <c r="AT179" s="2215"/>
      <c r="AU179" s="2216"/>
      <c r="AV179" s="11">
        <f t="shared" si="120"/>
        <v>0</v>
      </c>
      <c r="AW179" s="11">
        <f t="shared" si="121"/>
        <v>0</v>
      </c>
      <c r="AX179" s="11">
        <f t="shared" si="122"/>
        <v>0</v>
      </c>
      <c r="AY179" s="2953">
        <f t="shared" si="97"/>
        <v>0</v>
      </c>
      <c r="AZ179" s="16">
        <f t="shared" si="98"/>
        <v>0</v>
      </c>
      <c r="BA179" s="16">
        <f t="shared" si="99"/>
        <v>0</v>
      </c>
      <c r="BB179" s="16">
        <f t="shared" si="100"/>
        <v>0</v>
      </c>
      <c r="BC179" s="16">
        <f t="shared" si="101"/>
        <v>0</v>
      </c>
      <c r="BD179" s="16">
        <f t="shared" si="102"/>
        <v>0</v>
      </c>
      <c r="BE179" s="16">
        <f t="shared" si="103"/>
        <v>0</v>
      </c>
      <c r="BF179" s="16">
        <f t="shared" si="104"/>
        <v>0</v>
      </c>
      <c r="BG179" s="16">
        <f t="shared" si="105"/>
        <v>0</v>
      </c>
      <c r="BH179" s="16">
        <f t="shared" si="106"/>
        <v>0</v>
      </c>
      <c r="BI179" s="16">
        <f t="shared" si="107"/>
        <v>0</v>
      </c>
      <c r="BJ179" s="16">
        <f t="shared" si="108"/>
        <v>0</v>
      </c>
      <c r="BK179" s="16">
        <f t="shared" si="109"/>
        <v>0</v>
      </c>
      <c r="BL179" s="16">
        <f t="shared" si="110"/>
        <v>0</v>
      </c>
      <c r="BM179" s="16">
        <f t="shared" si="111"/>
        <v>0</v>
      </c>
      <c r="BN179" s="16">
        <f t="shared" si="112"/>
        <v>0</v>
      </c>
      <c r="BO179" s="16">
        <f t="shared" si="113"/>
        <v>0</v>
      </c>
      <c r="BP179" s="16">
        <f t="shared" si="114"/>
        <v>0</v>
      </c>
      <c r="BQ179" s="16">
        <f t="shared" si="115"/>
        <v>0</v>
      </c>
      <c r="BR179" s="16">
        <f t="shared" si="116"/>
        <v>0</v>
      </c>
      <c r="BS179" s="16">
        <f t="shared" si="117"/>
        <v>0</v>
      </c>
      <c r="BT179" s="22">
        <f t="shared" si="118"/>
        <v>0</v>
      </c>
    </row>
    <row r="180" spans="1:72" s="2167" customFormat="1" ht="12.75">
      <c r="A180" s="1274"/>
      <c r="B180" s="1274"/>
      <c r="C180" s="2153"/>
      <c r="D180" s="2954"/>
      <c r="E180" s="16">
        <f t="shared" si="119"/>
        <v>0</v>
      </c>
      <c r="F180" s="32"/>
      <c r="G180" s="33">
        <f t="shared" si="94"/>
        <v>0</v>
      </c>
      <c r="H180" s="20">
        <f t="shared" si="95"/>
        <v>0</v>
      </c>
      <c r="I180" s="2213"/>
      <c r="J180" s="2213"/>
      <c r="K180" s="2213"/>
      <c r="L180" s="2213"/>
      <c r="M180" s="2213"/>
      <c r="N180" s="2213"/>
      <c r="O180" s="2213"/>
      <c r="P180" s="2213"/>
      <c r="Q180" s="2213"/>
      <c r="R180" s="2213"/>
      <c r="S180" s="2213"/>
      <c r="T180" s="2213"/>
      <c r="U180" s="2213"/>
      <c r="V180" s="2213"/>
      <c r="W180" s="2213"/>
      <c r="X180" s="2213"/>
      <c r="Y180" s="2213"/>
      <c r="Z180" s="2213"/>
      <c r="AA180" s="2213"/>
      <c r="AB180" s="2213"/>
      <c r="AC180" s="16">
        <f t="shared" si="96"/>
        <v>0</v>
      </c>
      <c r="AD180" s="2214"/>
      <c r="AE180" s="2214"/>
      <c r="AF180" s="2214"/>
      <c r="AG180" s="2214"/>
      <c r="AH180" s="2214"/>
      <c r="AI180" s="2214"/>
      <c r="AJ180" s="2214"/>
      <c r="AK180" s="2214"/>
      <c r="AL180" s="2214"/>
      <c r="AM180" s="2214"/>
      <c r="AN180" s="2214"/>
      <c r="AO180" s="2214"/>
      <c r="AP180" s="2214"/>
      <c r="AQ180" s="2214"/>
      <c r="AR180" s="2214"/>
      <c r="AS180" s="2214"/>
      <c r="AT180" s="2215"/>
      <c r="AU180" s="2216"/>
      <c r="AV180" s="11">
        <f t="shared" si="120"/>
        <v>0</v>
      </c>
      <c r="AW180" s="11">
        <f t="shared" si="121"/>
        <v>0</v>
      </c>
      <c r="AX180" s="11">
        <f t="shared" si="122"/>
        <v>0</v>
      </c>
      <c r="AY180" s="2953">
        <f t="shared" si="97"/>
        <v>0</v>
      </c>
      <c r="AZ180" s="16">
        <f t="shared" si="98"/>
        <v>0</v>
      </c>
      <c r="BA180" s="16">
        <f t="shared" si="99"/>
        <v>0</v>
      </c>
      <c r="BB180" s="16">
        <f t="shared" si="100"/>
        <v>0</v>
      </c>
      <c r="BC180" s="16">
        <f t="shared" si="101"/>
        <v>0</v>
      </c>
      <c r="BD180" s="16">
        <f t="shared" si="102"/>
        <v>0</v>
      </c>
      <c r="BE180" s="16">
        <f t="shared" si="103"/>
        <v>0</v>
      </c>
      <c r="BF180" s="16">
        <f t="shared" si="104"/>
        <v>0</v>
      </c>
      <c r="BG180" s="16">
        <f t="shared" si="105"/>
        <v>0</v>
      </c>
      <c r="BH180" s="16">
        <f t="shared" si="106"/>
        <v>0</v>
      </c>
      <c r="BI180" s="16">
        <f t="shared" si="107"/>
        <v>0</v>
      </c>
      <c r="BJ180" s="16">
        <f t="shared" si="108"/>
        <v>0</v>
      </c>
      <c r="BK180" s="16">
        <f t="shared" si="109"/>
        <v>0</v>
      </c>
      <c r="BL180" s="16">
        <f t="shared" si="110"/>
        <v>0</v>
      </c>
      <c r="BM180" s="16">
        <f t="shared" si="111"/>
        <v>0</v>
      </c>
      <c r="BN180" s="16">
        <f t="shared" si="112"/>
        <v>0</v>
      </c>
      <c r="BO180" s="16">
        <f t="shared" si="113"/>
        <v>0</v>
      </c>
      <c r="BP180" s="16">
        <f t="shared" si="114"/>
        <v>0</v>
      </c>
      <c r="BQ180" s="16">
        <f t="shared" si="115"/>
        <v>0</v>
      </c>
      <c r="BR180" s="16">
        <f t="shared" si="116"/>
        <v>0</v>
      </c>
      <c r="BS180" s="16">
        <f t="shared" si="117"/>
        <v>0</v>
      </c>
      <c r="BT180" s="22">
        <f t="shared" si="118"/>
        <v>0</v>
      </c>
    </row>
    <row r="181" spans="1:72" s="2167" customFormat="1" ht="12.75">
      <c r="A181" s="1274"/>
      <c r="B181" s="1274"/>
      <c r="C181" s="2153"/>
      <c r="D181" s="2954"/>
      <c r="E181" s="16">
        <f t="shared" si="119"/>
        <v>0</v>
      </c>
      <c r="F181" s="32"/>
      <c r="G181" s="33">
        <f t="shared" si="94"/>
        <v>0</v>
      </c>
      <c r="H181" s="20">
        <f t="shared" si="95"/>
        <v>0</v>
      </c>
      <c r="I181" s="2213"/>
      <c r="J181" s="2213"/>
      <c r="K181" s="2213"/>
      <c r="L181" s="2213"/>
      <c r="M181" s="2213"/>
      <c r="N181" s="2213"/>
      <c r="O181" s="2213"/>
      <c r="P181" s="2213"/>
      <c r="Q181" s="2213"/>
      <c r="R181" s="2213"/>
      <c r="S181" s="2213"/>
      <c r="T181" s="2213"/>
      <c r="U181" s="2213"/>
      <c r="V181" s="2213"/>
      <c r="W181" s="2213"/>
      <c r="X181" s="2213"/>
      <c r="Y181" s="2213"/>
      <c r="Z181" s="2213"/>
      <c r="AA181" s="2213"/>
      <c r="AB181" s="2213"/>
      <c r="AC181" s="16">
        <f t="shared" si="96"/>
        <v>0</v>
      </c>
      <c r="AD181" s="2214"/>
      <c r="AE181" s="2214"/>
      <c r="AF181" s="2214"/>
      <c r="AG181" s="2214"/>
      <c r="AH181" s="2214"/>
      <c r="AI181" s="2214"/>
      <c r="AJ181" s="2214"/>
      <c r="AK181" s="2214"/>
      <c r="AL181" s="2214"/>
      <c r="AM181" s="2214"/>
      <c r="AN181" s="2214"/>
      <c r="AO181" s="2214"/>
      <c r="AP181" s="2214"/>
      <c r="AQ181" s="2214"/>
      <c r="AR181" s="2214"/>
      <c r="AS181" s="2214"/>
      <c r="AT181" s="2215"/>
      <c r="AU181" s="2216"/>
      <c r="AV181" s="11">
        <f t="shared" si="120"/>
        <v>0</v>
      </c>
      <c r="AW181" s="11">
        <f t="shared" si="121"/>
        <v>0</v>
      </c>
      <c r="AX181" s="11">
        <f t="shared" si="122"/>
        <v>0</v>
      </c>
      <c r="AY181" s="2953">
        <f t="shared" si="97"/>
        <v>0</v>
      </c>
      <c r="AZ181" s="16">
        <f t="shared" si="98"/>
        <v>0</v>
      </c>
      <c r="BA181" s="16">
        <f t="shared" si="99"/>
        <v>0</v>
      </c>
      <c r="BB181" s="16">
        <f t="shared" si="100"/>
        <v>0</v>
      </c>
      <c r="BC181" s="16">
        <f t="shared" si="101"/>
        <v>0</v>
      </c>
      <c r="BD181" s="16">
        <f t="shared" si="102"/>
        <v>0</v>
      </c>
      <c r="BE181" s="16">
        <f t="shared" si="103"/>
        <v>0</v>
      </c>
      <c r="BF181" s="16">
        <f t="shared" si="104"/>
        <v>0</v>
      </c>
      <c r="BG181" s="16">
        <f t="shared" si="105"/>
        <v>0</v>
      </c>
      <c r="BH181" s="16">
        <f t="shared" si="106"/>
        <v>0</v>
      </c>
      <c r="BI181" s="16">
        <f t="shared" si="107"/>
        <v>0</v>
      </c>
      <c r="BJ181" s="16">
        <f t="shared" si="108"/>
        <v>0</v>
      </c>
      <c r="BK181" s="16">
        <f t="shared" si="109"/>
        <v>0</v>
      </c>
      <c r="BL181" s="16">
        <f t="shared" si="110"/>
        <v>0</v>
      </c>
      <c r="BM181" s="16">
        <f t="shared" si="111"/>
        <v>0</v>
      </c>
      <c r="BN181" s="16">
        <f t="shared" si="112"/>
        <v>0</v>
      </c>
      <c r="BO181" s="16">
        <f t="shared" si="113"/>
        <v>0</v>
      </c>
      <c r="BP181" s="16">
        <f t="shared" si="114"/>
        <v>0</v>
      </c>
      <c r="BQ181" s="16">
        <f t="shared" si="115"/>
        <v>0</v>
      </c>
      <c r="BR181" s="16">
        <f t="shared" si="116"/>
        <v>0</v>
      </c>
      <c r="BS181" s="16">
        <f t="shared" si="117"/>
        <v>0</v>
      </c>
      <c r="BT181" s="22">
        <f t="shared" si="118"/>
        <v>0</v>
      </c>
    </row>
    <row r="182" spans="1:72" s="2167" customFormat="1" ht="12.75">
      <c r="A182" s="1274"/>
      <c r="B182" s="1274"/>
      <c r="C182" s="2153"/>
      <c r="D182" s="2954"/>
      <c r="E182" s="16">
        <f t="shared" si="119"/>
        <v>0</v>
      </c>
      <c r="F182" s="32"/>
      <c r="G182" s="33">
        <f t="shared" si="94"/>
        <v>0</v>
      </c>
      <c r="H182" s="20">
        <f t="shared" si="95"/>
        <v>0</v>
      </c>
      <c r="I182" s="2213"/>
      <c r="J182" s="2213"/>
      <c r="K182" s="2213"/>
      <c r="L182" s="2213"/>
      <c r="M182" s="2213"/>
      <c r="N182" s="2213"/>
      <c r="O182" s="2213"/>
      <c r="P182" s="2213"/>
      <c r="Q182" s="2213"/>
      <c r="R182" s="2213"/>
      <c r="S182" s="2213"/>
      <c r="T182" s="2213"/>
      <c r="U182" s="2213"/>
      <c r="V182" s="2213"/>
      <c r="W182" s="2213"/>
      <c r="X182" s="2213"/>
      <c r="Y182" s="2213"/>
      <c r="Z182" s="2213"/>
      <c r="AA182" s="2213"/>
      <c r="AB182" s="2213"/>
      <c r="AC182" s="16">
        <f t="shared" si="96"/>
        <v>0</v>
      </c>
      <c r="AD182" s="2214"/>
      <c r="AE182" s="2214"/>
      <c r="AF182" s="2214"/>
      <c r="AG182" s="2214"/>
      <c r="AH182" s="2214"/>
      <c r="AI182" s="2214"/>
      <c r="AJ182" s="2214"/>
      <c r="AK182" s="2214"/>
      <c r="AL182" s="2214"/>
      <c r="AM182" s="2214"/>
      <c r="AN182" s="2214"/>
      <c r="AO182" s="2214"/>
      <c r="AP182" s="2214"/>
      <c r="AQ182" s="2214"/>
      <c r="AR182" s="2214"/>
      <c r="AS182" s="2214"/>
      <c r="AT182" s="2215"/>
      <c r="AU182" s="2216"/>
      <c r="AV182" s="11">
        <f t="shared" si="120"/>
        <v>0</v>
      </c>
      <c r="AW182" s="11">
        <f t="shared" si="121"/>
        <v>0</v>
      </c>
      <c r="AX182" s="11">
        <f t="shared" si="122"/>
        <v>0</v>
      </c>
      <c r="AY182" s="2953">
        <f t="shared" si="97"/>
        <v>0</v>
      </c>
      <c r="AZ182" s="16">
        <f t="shared" si="98"/>
        <v>0</v>
      </c>
      <c r="BA182" s="16">
        <f t="shared" si="99"/>
        <v>0</v>
      </c>
      <c r="BB182" s="16">
        <f t="shared" si="100"/>
        <v>0</v>
      </c>
      <c r="BC182" s="16">
        <f t="shared" si="101"/>
        <v>0</v>
      </c>
      <c r="BD182" s="16">
        <f t="shared" si="102"/>
        <v>0</v>
      </c>
      <c r="BE182" s="16">
        <f t="shared" si="103"/>
        <v>0</v>
      </c>
      <c r="BF182" s="16">
        <f t="shared" si="104"/>
        <v>0</v>
      </c>
      <c r="BG182" s="16">
        <f t="shared" si="105"/>
        <v>0</v>
      </c>
      <c r="BH182" s="16">
        <f t="shared" si="106"/>
        <v>0</v>
      </c>
      <c r="BI182" s="16">
        <f t="shared" si="107"/>
        <v>0</v>
      </c>
      <c r="BJ182" s="16">
        <f t="shared" si="108"/>
        <v>0</v>
      </c>
      <c r="BK182" s="16">
        <f t="shared" si="109"/>
        <v>0</v>
      </c>
      <c r="BL182" s="16">
        <f t="shared" si="110"/>
        <v>0</v>
      </c>
      <c r="BM182" s="16">
        <f t="shared" si="111"/>
        <v>0</v>
      </c>
      <c r="BN182" s="16">
        <f t="shared" si="112"/>
        <v>0</v>
      </c>
      <c r="BO182" s="16">
        <f t="shared" si="113"/>
        <v>0</v>
      </c>
      <c r="BP182" s="16">
        <f t="shared" si="114"/>
        <v>0</v>
      </c>
      <c r="BQ182" s="16">
        <f t="shared" si="115"/>
        <v>0</v>
      </c>
      <c r="BR182" s="16">
        <f t="shared" si="116"/>
        <v>0</v>
      </c>
      <c r="BS182" s="16">
        <f t="shared" si="117"/>
        <v>0</v>
      </c>
      <c r="BT182" s="22">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28.5">
      <c r="A3" s="3055"/>
      <c r="B3" s="3055"/>
      <c r="C3" s="3055"/>
      <c r="D3" s="3056"/>
      <c r="E3" s="30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topLeftCell="A12" workbookViewId="0">
      <selection activeCell="D2" sqref="D2:D50"/>
    </sheetView>
  </sheetViews>
  <sheetFormatPr defaultRowHeight="13.5"/>
  <cols>
    <col min="1" max="1" width="35" customWidth="1"/>
    <col min="2" max="2" width="16" customWidth="1"/>
  </cols>
  <sheetData>
    <row r="1" spans="1:6">
      <c r="A1" s="2970" t="s">
        <v>3258</v>
      </c>
      <c r="B1" s="2970" t="s">
        <v>3257</v>
      </c>
      <c r="C1" s="2970" t="s">
        <v>3254</v>
      </c>
      <c r="D1" s="2970" t="s">
        <v>3255</v>
      </c>
      <c r="E1" s="2970" t="s">
        <v>3256</v>
      </c>
      <c r="F1" s="2970" t="s">
        <v>3261</v>
      </c>
    </row>
    <row r="2" spans="1:6">
      <c r="A2" s="2970" t="s">
        <v>3443</v>
      </c>
      <c r="B2" s="2970" t="s">
        <v>3444</v>
      </c>
      <c r="C2" s="2971">
        <v>249.95</v>
      </c>
      <c r="D2" s="2971">
        <v>114.7</v>
      </c>
      <c r="E2" s="2970">
        <v>1</v>
      </c>
      <c r="F2" s="2970">
        <v>6</v>
      </c>
    </row>
    <row r="3" spans="1:6">
      <c r="A3" s="2970" t="s">
        <v>3259</v>
      </c>
      <c r="B3" s="2970" t="s">
        <v>3260</v>
      </c>
      <c r="C3" s="2971">
        <v>500.22</v>
      </c>
      <c r="D3" s="2971">
        <v>229.55</v>
      </c>
      <c r="E3" s="2971">
        <v>1</v>
      </c>
      <c r="F3" s="2970">
        <v>6</v>
      </c>
    </row>
    <row r="4" spans="1:6">
      <c r="A4" s="2970" t="s">
        <v>3262</v>
      </c>
      <c r="B4" s="2970" t="s">
        <v>3263</v>
      </c>
      <c r="C4" s="2971">
        <v>367.74</v>
      </c>
      <c r="D4" s="2971">
        <v>168.75</v>
      </c>
      <c r="E4" s="2970">
        <v>1</v>
      </c>
      <c r="F4" s="2970">
        <v>6</v>
      </c>
    </row>
    <row r="5" spans="1:6">
      <c r="A5" s="2970" t="s">
        <v>3264</v>
      </c>
      <c r="B5" s="2970" t="s">
        <v>3265</v>
      </c>
      <c r="C5" s="2971">
        <v>276.88</v>
      </c>
      <c r="D5" s="2971">
        <v>127.06</v>
      </c>
      <c r="E5" s="2971">
        <v>1</v>
      </c>
      <c r="F5" s="2970">
        <v>6</v>
      </c>
    </row>
    <row r="6" spans="1:6">
      <c r="A6" s="2970" t="s">
        <v>3279</v>
      </c>
      <c r="B6" s="2970" t="s">
        <v>3266</v>
      </c>
      <c r="C6" s="2971">
        <v>344.6</v>
      </c>
      <c r="D6" s="2971">
        <v>158.13</v>
      </c>
      <c r="E6" s="2970">
        <v>1</v>
      </c>
      <c r="F6" s="2970">
        <v>6</v>
      </c>
    </row>
    <row r="7" spans="1:6">
      <c r="A7" s="2970" t="s">
        <v>3280</v>
      </c>
      <c r="B7" s="2970" t="s">
        <v>3267</v>
      </c>
      <c r="C7" s="2971">
        <v>173.92</v>
      </c>
      <c r="D7" s="2971">
        <v>79.81</v>
      </c>
      <c r="E7" s="2971">
        <v>1</v>
      </c>
      <c r="F7" s="2970">
        <v>6</v>
      </c>
    </row>
    <row r="8" spans="1:6">
      <c r="A8" s="2970" t="s">
        <v>3281</v>
      </c>
      <c r="B8" s="2970" t="s">
        <v>3268</v>
      </c>
      <c r="C8" s="2971">
        <v>158.53</v>
      </c>
      <c r="D8" s="2971">
        <v>72.75</v>
      </c>
      <c r="E8" s="2970">
        <v>1</v>
      </c>
      <c r="F8" s="2970">
        <v>6</v>
      </c>
    </row>
    <row r="9" spans="1:6">
      <c r="A9" s="2970" t="s">
        <v>3282</v>
      </c>
      <c r="B9" s="2970" t="s">
        <v>3269</v>
      </c>
      <c r="C9" s="2971">
        <v>319.99</v>
      </c>
      <c r="D9" s="2971">
        <v>146.84</v>
      </c>
      <c r="E9" s="2971">
        <v>1</v>
      </c>
      <c r="F9" s="2970">
        <v>6</v>
      </c>
    </row>
    <row r="10" spans="1:6">
      <c r="A10" s="2970" t="s">
        <v>3283</v>
      </c>
      <c r="B10" s="2970" t="s">
        <v>3270</v>
      </c>
      <c r="C10" s="2971">
        <v>153.97</v>
      </c>
      <c r="D10" s="2971">
        <v>70.66</v>
      </c>
      <c r="E10" s="2970">
        <v>1</v>
      </c>
      <c r="F10" s="2970">
        <v>6</v>
      </c>
    </row>
    <row r="11" spans="1:6">
      <c r="A11" s="2970" t="s">
        <v>3284</v>
      </c>
      <c r="B11" s="2970" t="s">
        <v>3271</v>
      </c>
      <c r="C11" s="2971">
        <v>153.97</v>
      </c>
      <c r="D11" s="2971">
        <v>70.66</v>
      </c>
      <c r="E11" s="2971">
        <v>1</v>
      </c>
      <c r="F11" s="2970">
        <v>6</v>
      </c>
    </row>
    <row r="12" spans="1:6">
      <c r="A12" s="2970" t="s">
        <v>3285</v>
      </c>
      <c r="B12" s="2970" t="s">
        <v>3272</v>
      </c>
      <c r="C12" s="2971">
        <v>401.93</v>
      </c>
      <c r="D12" s="2971">
        <v>184.44</v>
      </c>
      <c r="E12" s="2970">
        <v>1</v>
      </c>
      <c r="F12" s="2970">
        <v>6</v>
      </c>
    </row>
    <row r="13" spans="1:6">
      <c r="A13" s="2970" t="s">
        <v>3286</v>
      </c>
      <c r="B13" s="2970" t="s">
        <v>3273</v>
      </c>
      <c r="C13" s="2971">
        <v>366.93</v>
      </c>
      <c r="D13" s="2971">
        <v>168.38</v>
      </c>
      <c r="E13" s="2971">
        <v>1</v>
      </c>
      <c r="F13" s="2970">
        <v>6</v>
      </c>
    </row>
    <row r="14" spans="1:6">
      <c r="A14" s="2970" t="s">
        <v>3287</v>
      </c>
      <c r="B14" s="2970" t="s">
        <v>3274</v>
      </c>
      <c r="C14" s="2971">
        <v>622.17999999999995</v>
      </c>
      <c r="D14" s="2971">
        <v>285.51</v>
      </c>
      <c r="E14" s="2970">
        <v>1</v>
      </c>
      <c r="F14" s="2970">
        <v>6</v>
      </c>
    </row>
    <row r="15" spans="1:6">
      <c r="A15" s="2970" t="s">
        <v>3288</v>
      </c>
      <c r="B15" s="2970" t="s">
        <v>3275</v>
      </c>
      <c r="C15" s="2971">
        <v>161.94</v>
      </c>
      <c r="D15" s="2971">
        <v>74.31</v>
      </c>
      <c r="E15" s="2971">
        <v>1</v>
      </c>
      <c r="F15" s="2970">
        <v>6</v>
      </c>
    </row>
    <row r="16" spans="1:6">
      <c r="A16" s="2970" t="s">
        <v>3289</v>
      </c>
      <c r="B16" s="2970" t="s">
        <v>3276</v>
      </c>
      <c r="C16" s="2971">
        <v>281.02</v>
      </c>
      <c r="D16" s="2971">
        <v>128.96</v>
      </c>
      <c r="E16" s="2970">
        <v>1</v>
      </c>
      <c r="F16" s="2970">
        <v>6</v>
      </c>
    </row>
    <row r="17" spans="1:6">
      <c r="A17" s="2970" t="s">
        <v>3290</v>
      </c>
      <c r="B17" s="2970" t="s">
        <v>3277</v>
      </c>
      <c r="C17" s="2971">
        <v>442.38</v>
      </c>
      <c r="D17" s="2971">
        <v>203</v>
      </c>
      <c r="E17" s="2971">
        <v>1</v>
      </c>
      <c r="F17" s="2970">
        <v>6</v>
      </c>
    </row>
    <row r="18" spans="1:6">
      <c r="A18" s="2970" t="s">
        <v>3291</v>
      </c>
      <c r="B18" s="2970" t="s">
        <v>3278</v>
      </c>
      <c r="C18" s="2971">
        <v>385.33</v>
      </c>
      <c r="D18" s="2971">
        <v>176.82</v>
      </c>
      <c r="E18" s="2970">
        <v>1</v>
      </c>
      <c r="F18" s="2970">
        <v>6</v>
      </c>
    </row>
    <row r="19" spans="1:6">
      <c r="A19" s="2970" t="s">
        <v>3296</v>
      </c>
      <c r="B19" s="2970" t="s">
        <v>3292</v>
      </c>
      <c r="C19" s="2971">
        <v>432.32</v>
      </c>
      <c r="D19" s="2971">
        <v>198.39</v>
      </c>
      <c r="E19" s="2971">
        <v>1</v>
      </c>
      <c r="F19" s="2970">
        <v>6</v>
      </c>
    </row>
    <row r="20" spans="1:6">
      <c r="A20" s="2970" t="s">
        <v>3297</v>
      </c>
      <c r="B20" s="2970" t="s">
        <v>3293</v>
      </c>
      <c r="C20" s="2971">
        <v>394.24</v>
      </c>
      <c r="D20" s="2971">
        <v>180.91</v>
      </c>
      <c r="E20" s="2970">
        <v>1</v>
      </c>
      <c r="F20" s="2970">
        <v>6</v>
      </c>
    </row>
    <row r="21" spans="1:6">
      <c r="A21" s="2970" t="s">
        <v>3298</v>
      </c>
      <c r="B21" s="2970" t="s">
        <v>3294</v>
      </c>
      <c r="C21" s="2971">
        <v>483.15</v>
      </c>
      <c r="D21" s="2971">
        <v>221.71</v>
      </c>
      <c r="E21" s="2971">
        <v>1</v>
      </c>
      <c r="F21" s="2970">
        <v>6</v>
      </c>
    </row>
    <row r="22" spans="1:6">
      <c r="A22" s="2970" t="s">
        <v>3299</v>
      </c>
      <c r="B22" s="2970" t="s">
        <v>3295</v>
      </c>
      <c r="C22" s="2971">
        <v>94.29</v>
      </c>
      <c r="D22" s="2971">
        <v>43.27</v>
      </c>
      <c r="E22" s="2970">
        <v>1</v>
      </c>
      <c r="F22" s="2970">
        <v>6</v>
      </c>
    </row>
    <row r="23" spans="1:6">
      <c r="A23" s="2970" t="s">
        <v>3300</v>
      </c>
      <c r="B23" s="2970" t="s">
        <v>3302</v>
      </c>
      <c r="C23" s="2971">
        <v>641.16999999999996</v>
      </c>
      <c r="D23" s="2971">
        <v>294.23</v>
      </c>
      <c r="E23" s="2971">
        <v>2</v>
      </c>
      <c r="F23" s="2970">
        <v>6</v>
      </c>
    </row>
    <row r="24" spans="1:6">
      <c r="A24" s="2970" t="s">
        <v>3323</v>
      </c>
      <c r="B24" s="2970" t="s">
        <v>3303</v>
      </c>
      <c r="C24" s="2971">
        <v>237.42</v>
      </c>
      <c r="D24" s="2971">
        <v>108.95</v>
      </c>
      <c r="E24" s="2971">
        <v>2</v>
      </c>
      <c r="F24" s="2970">
        <v>6</v>
      </c>
    </row>
    <row r="25" spans="1:6">
      <c r="A25" s="2970" t="s">
        <v>3324</v>
      </c>
      <c r="B25" s="2970" t="s">
        <v>3304</v>
      </c>
      <c r="C25" s="2971">
        <v>474.42</v>
      </c>
      <c r="D25" s="2971">
        <v>217.71</v>
      </c>
      <c r="E25" s="2971">
        <v>2</v>
      </c>
      <c r="F25" s="2970">
        <v>6</v>
      </c>
    </row>
    <row r="26" spans="1:6">
      <c r="A26" s="2970" t="s">
        <v>3325</v>
      </c>
      <c r="B26" s="2970" t="s">
        <v>3305</v>
      </c>
      <c r="C26" s="2971">
        <v>407.01</v>
      </c>
      <c r="D26" s="2971">
        <v>186.77</v>
      </c>
      <c r="E26" s="2971">
        <v>2</v>
      </c>
      <c r="F26" s="2970">
        <v>6</v>
      </c>
    </row>
    <row r="27" spans="1:6">
      <c r="A27" s="2970" t="s">
        <v>3326</v>
      </c>
      <c r="B27" s="2970" t="s">
        <v>3306</v>
      </c>
      <c r="C27" s="2971">
        <v>262.60000000000002</v>
      </c>
      <c r="D27" s="2971">
        <v>120.5</v>
      </c>
      <c r="E27" s="2971">
        <v>2</v>
      </c>
      <c r="F27" s="2970">
        <v>6</v>
      </c>
    </row>
    <row r="28" spans="1:6">
      <c r="A28" s="2970" t="s">
        <v>3327</v>
      </c>
      <c r="B28" s="2970" t="s">
        <v>3307</v>
      </c>
      <c r="C28" s="2971">
        <v>337.69</v>
      </c>
      <c r="D28" s="2971">
        <v>154.96</v>
      </c>
      <c r="E28" s="2971">
        <v>2</v>
      </c>
      <c r="F28" s="2970">
        <v>6</v>
      </c>
    </row>
    <row r="29" spans="1:6">
      <c r="A29" s="2970" t="s">
        <v>3328</v>
      </c>
      <c r="B29" s="2970" t="s">
        <v>3308</v>
      </c>
      <c r="C29" s="2971">
        <v>223.24</v>
      </c>
      <c r="D29" s="2971">
        <v>102.44</v>
      </c>
      <c r="E29" s="2971">
        <v>2</v>
      </c>
      <c r="F29" s="2970">
        <v>6</v>
      </c>
    </row>
    <row r="30" spans="1:6">
      <c r="A30" s="2970" t="s">
        <v>3329</v>
      </c>
      <c r="B30" s="2970" t="s">
        <v>3309</v>
      </c>
      <c r="C30" s="2971">
        <v>188.24</v>
      </c>
      <c r="D30" s="2971">
        <v>86.38</v>
      </c>
      <c r="E30" s="2971">
        <v>2</v>
      </c>
      <c r="F30" s="2970">
        <v>6</v>
      </c>
    </row>
    <row r="31" spans="1:6">
      <c r="A31" s="2970" t="s">
        <v>3330</v>
      </c>
      <c r="B31" s="2970" t="s">
        <v>3310</v>
      </c>
      <c r="C31" s="2971">
        <v>293.43</v>
      </c>
      <c r="D31" s="2971">
        <v>134.65</v>
      </c>
      <c r="E31" s="2971">
        <v>2</v>
      </c>
      <c r="F31" s="2970">
        <v>6</v>
      </c>
    </row>
    <row r="32" spans="1:6">
      <c r="A32" s="2970" t="s">
        <v>3331</v>
      </c>
      <c r="B32" s="2970" t="s">
        <v>3311</v>
      </c>
      <c r="C32" s="2971">
        <v>146.03</v>
      </c>
      <c r="D32" s="2971">
        <v>67.010000000000005</v>
      </c>
      <c r="E32" s="2971">
        <v>2</v>
      </c>
      <c r="F32" s="2970">
        <v>6</v>
      </c>
    </row>
    <row r="33" spans="1:9">
      <c r="A33" s="2970" t="s">
        <v>3332</v>
      </c>
      <c r="B33" s="2970" t="s">
        <v>3312</v>
      </c>
      <c r="C33" s="2971">
        <v>146.03</v>
      </c>
      <c r="D33" s="2971">
        <v>67.010000000000005</v>
      </c>
      <c r="E33" s="2971">
        <v>2</v>
      </c>
      <c r="F33" s="2970">
        <v>6</v>
      </c>
    </row>
    <row r="34" spans="1:9">
      <c r="A34" s="2970" t="s">
        <v>3333</v>
      </c>
      <c r="B34" s="2970" t="s">
        <v>3313</v>
      </c>
      <c r="C34" s="2971">
        <v>381.2</v>
      </c>
      <c r="D34" s="2971">
        <v>174.93</v>
      </c>
      <c r="E34" s="2971">
        <v>2</v>
      </c>
      <c r="F34" s="2970">
        <v>6</v>
      </c>
    </row>
    <row r="35" spans="1:9">
      <c r="A35" s="2970" t="s">
        <v>3334</v>
      </c>
      <c r="B35" s="2970" t="s">
        <v>3314</v>
      </c>
      <c r="C35" s="2971">
        <v>357.37</v>
      </c>
      <c r="D35" s="2971">
        <v>163.99</v>
      </c>
      <c r="E35" s="2971">
        <v>2</v>
      </c>
      <c r="F35" s="2970">
        <v>6</v>
      </c>
    </row>
    <row r="36" spans="1:9">
      <c r="A36" s="2970" t="s">
        <v>3335</v>
      </c>
      <c r="B36" s="2970" t="s">
        <v>3315</v>
      </c>
      <c r="C36" s="2971">
        <v>628.79999999999995</v>
      </c>
      <c r="D36" s="2971">
        <v>288.55</v>
      </c>
      <c r="E36" s="2971">
        <v>2</v>
      </c>
      <c r="F36" s="2970">
        <v>6</v>
      </c>
    </row>
    <row r="37" spans="1:9">
      <c r="A37" s="2970" t="s">
        <v>3336</v>
      </c>
      <c r="B37" s="2970" t="s">
        <v>3316</v>
      </c>
      <c r="C37" s="2971">
        <v>153.59</v>
      </c>
      <c r="D37" s="2971">
        <v>70.48</v>
      </c>
      <c r="E37" s="2971">
        <v>2</v>
      </c>
      <c r="F37" s="2970">
        <v>6</v>
      </c>
    </row>
    <row r="38" spans="1:9">
      <c r="A38" s="2970" t="s">
        <v>3337</v>
      </c>
      <c r="B38" s="2970" t="s">
        <v>3317</v>
      </c>
      <c r="C38" s="2971">
        <v>355.79</v>
      </c>
      <c r="D38" s="2971">
        <v>163.27000000000001</v>
      </c>
      <c r="E38" s="2971">
        <v>2</v>
      </c>
      <c r="F38" s="2970">
        <v>6</v>
      </c>
    </row>
    <row r="39" spans="1:9">
      <c r="A39" s="2970" t="s">
        <v>3338</v>
      </c>
      <c r="B39" s="2970" t="s">
        <v>3318</v>
      </c>
      <c r="C39" s="2971">
        <v>419.63</v>
      </c>
      <c r="D39" s="2971">
        <v>192.56</v>
      </c>
      <c r="E39" s="2971">
        <v>2</v>
      </c>
      <c r="F39" s="2970">
        <v>6</v>
      </c>
    </row>
    <row r="40" spans="1:9">
      <c r="A40" s="2970" t="s">
        <v>3339</v>
      </c>
      <c r="B40" s="2970" t="s">
        <v>3319</v>
      </c>
      <c r="C40" s="2971">
        <v>372.21</v>
      </c>
      <c r="D40" s="2971">
        <v>170.8</v>
      </c>
      <c r="E40" s="2971">
        <v>2</v>
      </c>
      <c r="F40" s="2970">
        <v>6</v>
      </c>
    </row>
    <row r="41" spans="1:9">
      <c r="A41" s="2970" t="s">
        <v>3340</v>
      </c>
      <c r="B41" s="2970" t="s">
        <v>3320</v>
      </c>
      <c r="C41" s="2971">
        <v>409.93</v>
      </c>
      <c r="D41" s="2971">
        <v>188.11</v>
      </c>
      <c r="E41" s="2971">
        <v>2</v>
      </c>
      <c r="F41" s="2970">
        <v>6</v>
      </c>
    </row>
    <row r="42" spans="1:9">
      <c r="A42" s="2970" t="s">
        <v>3341</v>
      </c>
      <c r="B42" s="2970" t="s">
        <v>3321</v>
      </c>
      <c r="C42" s="2971">
        <v>373.9</v>
      </c>
      <c r="D42" s="2971">
        <v>171.58</v>
      </c>
      <c r="E42" s="2971">
        <v>2</v>
      </c>
      <c r="F42" s="2970">
        <v>6</v>
      </c>
    </row>
    <row r="43" spans="1:9">
      <c r="A43" s="2970" t="s">
        <v>3342</v>
      </c>
      <c r="B43" s="2970" t="s">
        <v>3322</v>
      </c>
      <c r="C43" s="2971">
        <v>569.6</v>
      </c>
      <c r="D43" s="2971">
        <v>261.38</v>
      </c>
      <c r="E43" s="2971">
        <v>2</v>
      </c>
      <c r="F43" s="2970">
        <v>6</v>
      </c>
      <c r="I43" s="2969" t="s">
        <v>3369</v>
      </c>
    </row>
    <row r="44" spans="1:9">
      <c r="A44" s="2970" t="s">
        <v>3450</v>
      </c>
      <c r="B44" s="2970" t="s">
        <v>3344</v>
      </c>
      <c r="C44" s="2971">
        <v>1439.25</v>
      </c>
      <c r="D44" s="2971">
        <v>566.79999999999995</v>
      </c>
      <c r="E44" s="2971">
        <v>3</v>
      </c>
      <c r="F44" s="2970">
        <v>6</v>
      </c>
      <c r="G44" s="2969" t="s">
        <v>3345</v>
      </c>
    </row>
    <row r="45" spans="1:9">
      <c r="A45" s="2970" t="s">
        <v>3346</v>
      </c>
      <c r="B45" s="2970" t="s">
        <v>3348</v>
      </c>
      <c r="C45" s="2971">
        <v>1501</v>
      </c>
      <c r="D45" s="2971">
        <v>591.1</v>
      </c>
      <c r="E45" s="2971">
        <v>3</v>
      </c>
      <c r="F45" s="2970">
        <v>6</v>
      </c>
      <c r="G45" s="2969" t="s">
        <v>3352</v>
      </c>
    </row>
    <row r="46" spans="1:9">
      <c r="A46" s="2970" t="s">
        <v>3349</v>
      </c>
      <c r="B46" s="2970" t="s">
        <v>3351</v>
      </c>
      <c r="C46" s="2971">
        <v>1441.56</v>
      </c>
      <c r="D46" s="2971">
        <v>567.70000000000005</v>
      </c>
      <c r="E46" s="2971">
        <v>4</v>
      </c>
      <c r="F46" s="2970">
        <v>6</v>
      </c>
      <c r="G46" s="2969" t="s">
        <v>3353</v>
      </c>
    </row>
    <row r="47" spans="1:9">
      <c r="A47" s="2970" t="s">
        <v>3357</v>
      </c>
      <c r="B47" s="2970" t="s">
        <v>3358</v>
      </c>
      <c r="C47" s="2971">
        <v>1377.12</v>
      </c>
      <c r="D47" s="2971">
        <v>542.29999999999995</v>
      </c>
      <c r="E47" s="2971">
        <v>4</v>
      </c>
      <c r="F47" s="2970">
        <v>6</v>
      </c>
      <c r="G47" s="2969" t="s">
        <v>3354</v>
      </c>
    </row>
    <row r="48" spans="1:9">
      <c r="A48" s="2970" t="s">
        <v>3359</v>
      </c>
      <c r="B48" s="2970" t="s">
        <v>3361</v>
      </c>
      <c r="C48" s="2971">
        <v>1440.56</v>
      </c>
      <c r="D48" s="2971">
        <v>567.29999999999995</v>
      </c>
      <c r="E48" s="2971">
        <v>5</v>
      </c>
      <c r="F48" s="2970">
        <v>6</v>
      </c>
      <c r="G48" s="2969" t="s">
        <v>3355</v>
      </c>
    </row>
    <row r="49" spans="1:9">
      <c r="A49" s="2970" t="s">
        <v>3362</v>
      </c>
      <c r="B49" s="2970" t="s">
        <v>3364</v>
      </c>
      <c r="C49" s="2971">
        <v>1377.12</v>
      </c>
      <c r="D49" s="2971">
        <v>542.29999999999995</v>
      </c>
      <c r="E49" s="2971">
        <v>5</v>
      </c>
      <c r="F49" s="2970">
        <v>6</v>
      </c>
      <c r="G49" s="2969" t="s">
        <v>3356</v>
      </c>
    </row>
    <row r="50" spans="1:9">
      <c r="A50" s="2970" t="s">
        <v>3365</v>
      </c>
      <c r="B50" s="2970" t="s">
        <v>3367</v>
      </c>
      <c r="C50" s="2971">
        <v>8081.16</v>
      </c>
      <c r="D50" s="2971">
        <v>4339.2</v>
      </c>
      <c r="E50" s="2970" t="s">
        <v>3371</v>
      </c>
      <c r="F50" s="2970">
        <v>2</v>
      </c>
      <c r="G50" s="2969" t="s">
        <v>3368</v>
      </c>
      <c r="I50" s="2969" t="s">
        <v>3370</v>
      </c>
    </row>
    <row r="51" spans="1:9">
      <c r="A51" s="2972" t="s">
        <v>3372</v>
      </c>
      <c r="B51" s="2972"/>
      <c r="C51" s="2972">
        <f>SUM(C2:C50)</f>
        <v>30802.55</v>
      </c>
      <c r="D51" s="2972">
        <f>SUM(D2:D50)</f>
        <v>14207.57</v>
      </c>
      <c r="E51" s="2972"/>
      <c r="F51" s="2972"/>
    </row>
  </sheetData>
  <phoneticPr fontId="14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1939</v>
      </c>
      <c r="B1" s="1394"/>
      <c r="C1" s="1394"/>
      <c r="D1" s="1394"/>
      <c r="E1" s="1394"/>
      <c r="F1" s="1394"/>
      <c r="G1" s="1394"/>
      <c r="H1" s="1394"/>
      <c r="I1" s="1394"/>
      <c r="J1" s="1394"/>
      <c r="K1" s="1394"/>
      <c r="L1" s="1394"/>
      <c r="M1" s="1394"/>
      <c r="N1" s="1394"/>
      <c r="O1" s="1394"/>
      <c r="P1" s="1394"/>
    </row>
    <row r="2" spans="1:16" ht="15">
      <c r="A2" s="3066" t="s">
        <v>1940</v>
      </c>
      <c r="B2" s="3066"/>
      <c r="C2" s="3066"/>
      <c r="D2" s="969" t="s">
        <v>1916</v>
      </c>
      <c r="E2" s="2226" t="s">
        <v>1917</v>
      </c>
      <c r="F2" s="1394"/>
      <c r="G2" s="2227"/>
      <c r="H2" s="2228"/>
      <c r="I2" s="2229" t="s">
        <v>1941</v>
      </c>
      <c r="J2" s="1394"/>
      <c r="K2" s="1394"/>
      <c r="L2" s="1394"/>
      <c r="M2" s="1394"/>
      <c r="N2" s="1429"/>
      <c r="O2" s="1394"/>
      <c r="P2" s="1394"/>
    </row>
    <row r="3" spans="1:16" ht="15.75" thickBot="1">
      <c r="A3" s="3067" t="s">
        <v>1914</v>
      </c>
      <c r="B3" s="3067"/>
      <c r="C3" s="3067"/>
      <c r="D3" s="46">
        <f>'数据-基础表'!AY6</f>
        <v>114.7</v>
      </c>
      <c r="E3" s="46">
        <f>'数据-基础表'!AZ5</f>
        <v>249.95</v>
      </c>
      <c r="F3" s="1394"/>
      <c r="G3" s="1401"/>
      <c r="H3" s="1249" t="s">
        <v>1915</v>
      </c>
      <c r="I3" s="55">
        <f>ROUND('数据-基础表'!B3/'数据-基础表'!A3,2)</f>
        <v>2.1800000000000002</v>
      </c>
      <c r="J3" s="1394"/>
      <c r="K3" s="1394"/>
      <c r="L3" s="1394"/>
      <c r="M3" s="1394"/>
      <c r="N3" s="1429"/>
      <c r="O3" s="1394"/>
      <c r="P3" s="1394"/>
    </row>
    <row r="4" spans="1:16" ht="15">
      <c r="A4" s="3068"/>
      <c r="B4" s="3069"/>
      <c r="C4" s="3070"/>
      <c r="D4" s="2230" t="s">
        <v>1916</v>
      </c>
      <c r="E4" s="2231" t="s">
        <v>1917</v>
      </c>
      <c r="F4" s="1394"/>
      <c r="G4" s="2232" t="s">
        <v>1942</v>
      </c>
      <c r="H4" s="1249" t="s">
        <v>1922</v>
      </c>
      <c r="I4" s="55">
        <f>ROUND(SUMIF('数据-基础表'!I9:AS9,"地上",'数据-基础表'!I5:AS5)/'数据-基础表'!A3,2)</f>
        <v>2.1800000000000002</v>
      </c>
      <c r="J4" s="1394"/>
      <c r="K4" s="1394"/>
      <c r="L4" s="1394"/>
      <c r="M4" s="1394"/>
      <c r="N4" s="1429"/>
      <c r="O4" s="1394"/>
      <c r="P4" s="1394"/>
    </row>
    <row r="5" spans="1:16">
      <c r="A5" s="47" t="s">
        <v>1918</v>
      </c>
      <c r="B5" s="3071" t="s">
        <v>1919</v>
      </c>
      <c r="C5" s="3071"/>
      <c r="D5" s="48">
        <f>ROUND($D$3*E5/$E$3,2)</f>
        <v>0</v>
      </c>
      <c r="E5" s="49">
        <f>SUMIF('数据-基础表'!$11:$11,"住宅",'数据-基础表'!$5:$5)</f>
        <v>0</v>
      </c>
      <c r="F5" s="1394"/>
      <c r="G5" s="1401"/>
      <c r="H5" s="1249" t="s">
        <v>1915</v>
      </c>
      <c r="I5" s="55">
        <f>ROUND(E31/D31,2)</f>
        <v>2.1800000000000002</v>
      </c>
      <c r="J5" s="1394"/>
      <c r="K5" s="1394"/>
      <c r="L5" s="1394"/>
      <c r="M5" s="1394"/>
      <c r="N5" s="1394"/>
      <c r="O5" s="1394"/>
      <c r="P5" s="1394"/>
    </row>
    <row r="6" spans="1:16" ht="15" thickBot="1">
      <c r="A6" s="2233"/>
      <c r="B6" s="3071" t="s">
        <v>1920</v>
      </c>
      <c r="C6" s="3071"/>
      <c r="D6" s="48">
        <f>ROUND($D$3*E6/$E$3,2)</f>
        <v>114.7</v>
      </c>
      <c r="E6" s="49">
        <f>E3-E5</f>
        <v>249.95</v>
      </c>
      <c r="F6" s="1394"/>
      <c r="G6" s="2234" t="s">
        <v>1921</v>
      </c>
      <c r="H6" s="1401" t="s">
        <v>1922</v>
      </c>
      <c r="I6" s="941">
        <f>ROUND(F31/D31,2)</f>
        <v>2.1800000000000002</v>
      </c>
      <c r="J6" s="1394"/>
      <c r="K6" s="1394"/>
      <c r="L6" s="1394"/>
      <c r="M6" s="1394"/>
      <c r="N6" s="1394"/>
      <c r="O6" s="1394"/>
      <c r="P6" s="1394"/>
    </row>
    <row r="7" spans="1:16" ht="15">
      <c r="A7" s="3063"/>
      <c r="B7" s="3064"/>
      <c r="C7" s="3065"/>
      <c r="D7" s="2230" t="s">
        <v>1916</v>
      </c>
      <c r="E7" s="2235" t="s">
        <v>1923</v>
      </c>
      <c r="F7" s="1394"/>
      <c r="G7" s="2227" t="s">
        <v>1924</v>
      </c>
      <c r="H7" s="64"/>
      <c r="I7" s="420"/>
      <c r="J7" s="1394"/>
      <c r="K7" s="1394"/>
      <c r="L7" s="1394"/>
      <c r="M7" s="1394"/>
      <c r="N7" s="1394"/>
      <c r="O7" s="1394"/>
      <c r="P7" s="1394"/>
    </row>
    <row r="8" spans="1:16">
      <c r="A8" s="47" t="s">
        <v>1925</v>
      </c>
      <c r="B8" s="50" t="s">
        <v>1926</v>
      </c>
      <c r="C8" s="48" t="s">
        <v>1927</v>
      </c>
      <c r="D8" s="48">
        <f t="shared" ref="D8:D15" si="0">ROUND($D$3*E8/$E$3,2)</f>
        <v>114.7</v>
      </c>
      <c r="E8" s="51">
        <f>SUMIF('数据-基础表'!BB10:BK10,"地上",'数据-基础表'!BB5:BK5)</f>
        <v>249.95</v>
      </c>
      <c r="F8" s="1394"/>
      <c r="G8" s="2236"/>
      <c r="H8" s="2236"/>
      <c r="I8" s="1394"/>
      <c r="J8" s="1394"/>
      <c r="K8" s="1394"/>
      <c r="L8" s="1394"/>
      <c r="M8" s="1394"/>
      <c r="N8" s="1394"/>
      <c r="O8" s="1394"/>
      <c r="P8" s="1394"/>
    </row>
    <row r="9" spans="1:16">
      <c r="A9" s="2237"/>
      <c r="B9" s="2238"/>
      <c r="C9" s="48" t="s">
        <v>1928</v>
      </c>
      <c r="D9" s="48">
        <f t="shared" si="0"/>
        <v>0</v>
      </c>
      <c r="E9" s="52">
        <v>0</v>
      </c>
      <c r="F9" s="1394"/>
      <c r="G9" s="2236"/>
      <c r="H9" s="2236"/>
      <c r="I9" s="1394"/>
      <c r="J9" s="1394"/>
      <c r="K9" s="1394"/>
      <c r="L9" s="1394"/>
      <c r="M9" s="1394"/>
      <c r="N9" s="1394"/>
      <c r="O9" s="1394"/>
      <c r="P9" s="1394"/>
    </row>
    <row r="10" spans="1:16">
      <c r="A10" s="2237"/>
      <c r="B10" s="2238"/>
      <c r="C10" s="48" t="s">
        <v>1937</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1929</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1930</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1931</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1943</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1938</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1932</v>
      </c>
      <c r="D16" s="50">
        <f>SUM(D8:D15)</f>
        <v>114.7</v>
      </c>
      <c r="E16" s="53">
        <f>SUM(E8:E15)</f>
        <v>249.95</v>
      </c>
      <c r="F16" s="1394"/>
      <c r="G16" s="2236"/>
      <c r="H16" s="2239" t="s">
        <v>1944</v>
      </c>
      <c r="I16" s="2240"/>
      <c r="J16" s="1394"/>
      <c r="K16" s="3060" t="s">
        <v>1944</v>
      </c>
      <c r="L16" s="3061"/>
      <c r="M16" s="3061"/>
      <c r="N16" s="3061"/>
      <c r="O16" s="3061"/>
      <c r="P16" s="3062"/>
    </row>
    <row r="17" spans="1:19" ht="15">
      <c r="A17" s="2241" t="s">
        <v>1945</v>
      </c>
      <c r="B17" s="2242" t="s">
        <v>1946</v>
      </c>
      <c r="C17" s="2243" t="s">
        <v>1947</v>
      </c>
      <c r="D17" s="2244" t="s">
        <v>1935</v>
      </c>
      <c r="E17" s="2245" t="s">
        <v>1936</v>
      </c>
      <c r="F17" s="2246"/>
      <c r="G17" s="2247"/>
      <c r="H17" s="2248" t="s">
        <v>1948</v>
      </c>
      <c r="I17" s="2249" t="s">
        <v>1933</v>
      </c>
      <c r="J17" s="1394"/>
      <c r="K17" s="3057" t="s">
        <v>1949</v>
      </c>
      <c r="L17" s="3058"/>
      <c r="M17" s="3059"/>
      <c r="N17" s="3057" t="s">
        <v>1950</v>
      </c>
      <c r="O17" s="3058"/>
      <c r="P17" s="3059"/>
      <c r="R17" s="2227" t="s">
        <v>1951</v>
      </c>
      <c r="S17" s="64"/>
    </row>
    <row r="18" spans="1:19" ht="15">
      <c r="A18" s="2237"/>
      <c r="B18" s="2250"/>
      <c r="C18" s="2251"/>
      <c r="D18" s="2252"/>
      <c r="E18" s="2253" t="s">
        <v>1952</v>
      </c>
      <c r="F18" s="2254" t="s">
        <v>1953</v>
      </c>
      <c r="G18" s="2255" t="s">
        <v>1954</v>
      </c>
      <c r="H18" s="1264" t="s">
        <v>1955</v>
      </c>
      <c r="I18" s="2256" t="s">
        <v>1956</v>
      </c>
      <c r="J18" s="1394"/>
      <c r="K18" s="1264" t="s">
        <v>1957</v>
      </c>
      <c r="L18" s="2257" t="s">
        <v>1958</v>
      </c>
      <c r="M18" s="1048" t="s">
        <v>1959</v>
      </c>
      <c r="N18" s="1264" t="s">
        <v>1957</v>
      </c>
      <c r="O18" s="2257" t="s">
        <v>1958</v>
      </c>
      <c r="P18" s="1048" t="s">
        <v>1959</v>
      </c>
      <c r="R18" s="1249" t="s">
        <v>1960</v>
      </c>
      <c r="S18" s="1249" t="s">
        <v>1961</v>
      </c>
    </row>
    <row r="19" spans="1:19">
      <c r="A19" s="2258"/>
      <c r="B19" s="50" t="s">
        <v>1934</v>
      </c>
      <c r="C19" s="2964" t="s">
        <v>3377</v>
      </c>
      <c r="D19" s="48">
        <f>ROUND($D$3*E19/$E$3,2)</f>
        <v>114.7</v>
      </c>
      <c r="E19" s="56">
        <f t="shared" ref="E19:E26" si="1">SUM(F19:G19)</f>
        <v>249.95</v>
      </c>
      <c r="F19" s="57">
        <f>'数据-基础表'!I13</f>
        <v>249.95</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114.7</v>
      </c>
      <c r="S19" s="1250">
        <f t="shared" si="5"/>
        <v>249.95</v>
      </c>
    </row>
    <row r="20" spans="1:19">
      <c r="A20" s="2262"/>
      <c r="B20" s="50" t="s">
        <v>1962</v>
      </c>
      <c r="C20" s="2964"/>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0"/>
      <c r="O20" s="2261"/>
      <c r="P20" s="1405">
        <f t="shared" ref="P20:P26" si="9">N20+O20</f>
        <v>0</v>
      </c>
      <c r="R20" s="1249">
        <f t="shared" si="5"/>
        <v>0</v>
      </c>
      <c r="S20" s="1250">
        <f t="shared" si="5"/>
        <v>0</v>
      </c>
    </row>
    <row r="21" spans="1:19">
      <c r="A21" s="2262"/>
      <c r="B21" s="50" t="s">
        <v>1962</v>
      </c>
      <c r="C21" s="2259"/>
      <c r="D21" s="48">
        <f t="shared" si="6"/>
        <v>0</v>
      </c>
      <c r="E21" s="56">
        <f t="shared" si="1"/>
        <v>0</v>
      </c>
      <c r="F21" s="57"/>
      <c r="G21" s="58"/>
      <c r="H21" s="722">
        <f t="shared" si="7"/>
        <v>0</v>
      </c>
      <c r="I21" s="51">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50" t="s">
        <v>1962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50" t="s">
        <v>1962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50" t="s">
        <v>1962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3"/>
      <c r="O26" s="2264"/>
      <c r="P26" s="67">
        <f t="shared" si="9"/>
        <v>0</v>
      </c>
      <c r="R26" s="1249">
        <f t="shared" si="5"/>
        <v>0</v>
      </c>
      <c r="S26" s="1250">
        <f t="shared" si="5"/>
        <v>0</v>
      </c>
    </row>
    <row r="27" spans="1:19" ht="15.75" thickBot="1">
      <c r="A27" s="2262"/>
      <c r="B27" s="48"/>
      <c r="C27" s="2265" t="s">
        <v>1963</v>
      </c>
      <c r="D27" s="1395">
        <f>SUM(D19:D26)</f>
        <v>114.7</v>
      </c>
      <c r="E27" s="1396">
        <f>IF(SUM(E19:E26)='数据-基础表'!BA5,SUM(E19:E26),IF(F27="地上面积有误","面积有误","地下面积有误"))</f>
        <v>249.95</v>
      </c>
      <c r="F27" s="1395">
        <f>IF(SUM(F19:F26)=E8,SUM(F19:F26),"地上面积有误")</f>
        <v>249.95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114.7</v>
      </c>
      <c r="S27" s="1249">
        <f>IF(SUM(S19:S26)=$E$3,SUM(S19:S26),SUM(S19:S26)&amp;"误差"&amp;ROUND(SUM(S19:S26)-E3,2))</f>
        <v>249.95</v>
      </c>
    </row>
    <row r="28" spans="1:19">
      <c r="A28" s="2262"/>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2"/>
      <c r="B29" s="50" t="s">
        <v>1964</v>
      </c>
      <c r="C29" s="2266"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2"/>
      <c r="B30" s="50"/>
      <c r="C30" s="2267"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1967</v>
      </c>
      <c r="D31" s="728">
        <f>D27+D30</f>
        <v>114.7</v>
      </c>
      <c r="E31" s="728">
        <f>E27+E30</f>
        <v>249.95</v>
      </c>
      <c r="F31" s="729">
        <f>F27+F30</f>
        <v>249.95</v>
      </c>
      <c r="G31" s="730">
        <f>G27+G30</f>
        <v>0</v>
      </c>
      <c r="H31" s="1394"/>
      <c r="I31" s="1394"/>
      <c r="J31" s="1394"/>
      <c r="K31" s="1394"/>
      <c r="L31" s="1394"/>
      <c r="M31" s="1394"/>
      <c r="N31" s="1394"/>
      <c r="O31" s="1394"/>
      <c r="P31" s="1394"/>
    </row>
    <row r="32" spans="1:19">
      <c r="A32" s="2232"/>
      <c r="B32" s="2232" t="s">
        <v>1968</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AN15" sqref="AN15"/>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1969</v>
      </c>
      <c r="B1" s="731"/>
      <c r="C1" s="1583"/>
      <c r="D1" s="2272"/>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1" customFormat="1" ht="15.75" thickBot="1">
      <c r="A2" s="2275" t="s">
        <v>1970</v>
      </c>
      <c r="B2" s="1268">
        <f>项目基本情况!D3</f>
        <v>43296</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1" customFormat="1" ht="15" thickBot="1">
      <c r="A3" s="2029"/>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1" customFormat="1" ht="15" thickBot="1">
      <c r="A4" s="68" t="s">
        <v>1971</v>
      </c>
      <c r="B4" s="2280"/>
      <c r="C4" s="2281"/>
      <c r="D4" s="2282"/>
      <c r="E4" s="2281" t="s">
        <v>1972</v>
      </c>
      <c r="F4" s="2281"/>
      <c r="G4" s="2281"/>
      <c r="H4" s="2281"/>
      <c r="I4" s="2281"/>
      <c r="J4" s="2283"/>
      <c r="K4" s="2284"/>
      <c r="L4" s="2285"/>
      <c r="M4" s="2281"/>
      <c r="N4" s="2281" t="s">
        <v>1973</v>
      </c>
      <c r="O4" s="2281"/>
      <c r="P4" s="2281"/>
      <c r="Q4" s="2281"/>
      <c r="R4" s="2281"/>
      <c r="S4" s="2283"/>
      <c r="T4" s="2286" t="str">
        <f>'数据-汇总表'!I17</f>
        <v>按面积比例</v>
      </c>
      <c r="U4" s="2280" t="s">
        <v>1974</v>
      </c>
      <c r="V4" s="2281"/>
      <c r="W4" s="2281"/>
      <c r="X4" s="2281"/>
      <c r="Y4" s="2283"/>
      <c r="Z4" s="2243" t="s">
        <v>1975</v>
      </c>
      <c r="AA4" s="2243"/>
      <c r="AB4" s="2243"/>
      <c r="AC4" s="2243"/>
      <c r="AD4" s="2243"/>
      <c r="AE4" s="2241" t="s">
        <v>1976</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2" customFormat="1" ht="42">
      <c r="A5" s="2288" t="s">
        <v>1977</v>
      </c>
      <c r="B5" s="2289" t="s">
        <v>1978</v>
      </c>
      <c r="C5" s="2290" t="s">
        <v>1979</v>
      </c>
      <c r="D5" s="2291" t="s">
        <v>1980</v>
      </c>
      <c r="E5" s="1270" t="s">
        <v>1981</v>
      </c>
      <c r="F5" s="2292" t="s">
        <v>1982</v>
      </c>
      <c r="G5" s="1270" t="s">
        <v>1983</v>
      </c>
      <c r="H5" s="1270" t="s">
        <v>1984</v>
      </c>
      <c r="I5" s="1270" t="s">
        <v>1985</v>
      </c>
      <c r="J5" s="2293" t="s">
        <v>1986</v>
      </c>
      <c r="K5" s="2294" t="s">
        <v>1987</v>
      </c>
      <c r="L5" s="2295" t="s">
        <v>1988</v>
      </c>
      <c r="M5" s="2296" t="s">
        <v>1989</v>
      </c>
      <c r="N5" s="2297" t="s">
        <v>3237</v>
      </c>
      <c r="O5" s="2295" t="s">
        <v>1990</v>
      </c>
      <c r="P5" s="2298" t="s">
        <v>1991</v>
      </c>
      <c r="Q5" s="69" t="s">
        <v>1992</v>
      </c>
      <c r="R5" s="2299" t="s">
        <v>1993</v>
      </c>
      <c r="S5" s="2300" t="s">
        <v>1994</v>
      </c>
      <c r="T5" s="2301" t="s">
        <v>1995</v>
      </c>
      <c r="U5" s="1269" t="s">
        <v>1996</v>
      </c>
      <c r="V5" s="1270" t="s">
        <v>1997</v>
      </c>
      <c r="W5" s="1270" t="s">
        <v>1998</v>
      </c>
      <c r="X5" s="71"/>
      <c r="Y5" s="70" t="s">
        <v>1999</v>
      </c>
      <c r="Z5" s="2302" t="s">
        <v>1996</v>
      </c>
      <c r="AA5" s="1270" t="s">
        <v>1997</v>
      </c>
      <c r="AB5" s="1270" t="s">
        <v>1998</v>
      </c>
      <c r="AC5" s="71"/>
      <c r="AD5" s="71" t="s">
        <v>1999</v>
      </c>
      <c r="AE5" s="1269" t="s">
        <v>2000</v>
      </c>
      <c r="AF5" s="1270" t="s">
        <v>2001</v>
      </c>
      <c r="AG5" s="70" t="s">
        <v>2002</v>
      </c>
      <c r="AH5" s="1269" t="s">
        <v>2003</v>
      </c>
      <c r="AI5" s="2302" t="s">
        <v>2004</v>
      </c>
      <c r="AJ5" s="2302" t="s">
        <v>2005</v>
      </c>
      <c r="AK5" s="1270" t="s">
        <v>2006</v>
      </c>
      <c r="AL5" s="1270" t="s">
        <v>2007</v>
      </c>
      <c r="AM5" s="70" t="s">
        <v>2008</v>
      </c>
      <c r="AN5" s="2303" t="s">
        <v>2009</v>
      </c>
      <c r="AO5" s="2074" t="s">
        <v>2010</v>
      </c>
      <c r="AP5" s="1251" t="s">
        <v>2011</v>
      </c>
      <c r="AQ5" s="2304" t="s">
        <v>2012</v>
      </c>
      <c r="AR5" s="2304"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5" t="str">
        <f>'数据-汇总表'!C19</f>
        <v>商业用房</v>
      </c>
      <c r="B6" s="2306" t="str">
        <f>IF(A6=0,"","经营性")</f>
        <v>经营性</v>
      </c>
      <c r="C6" s="2307" t="s">
        <v>1377</v>
      </c>
      <c r="D6" s="1053">
        <f>SUMIF(项目基本情况!D$12:I$12,C6,项目基本情况!D$14:I$14)</f>
        <v>40</v>
      </c>
      <c r="E6" s="1050">
        <f>IF(B6="","",SUMIF(项目基本情况!D$12:I$12,C6,项目基本情况!D$13:I$13))</f>
        <v>55130</v>
      </c>
      <c r="F6" s="72">
        <f>SUMIF(项目基本情况!D$12:I$12,C6,项目基本情况!D$15:I$15)</f>
        <v>32.42</v>
      </c>
      <c r="G6" s="73">
        <f>IF(ISERROR(ROUND(POWER(1+H6,D6-F6)*(POWER(1+H6,F6)-1)/(POWER(1+H6,D6)-1),3)),0,ROUND(POWER(1+H6,D6-F6)*(POWER(1+H6,F6)-1)/(POWER(1+H6,D6)-1),3))</f>
        <v>0.92600000000000005</v>
      </c>
      <c r="H6" s="801">
        <v>0.05</v>
      </c>
      <c r="I6" s="801">
        <v>5.5E-2</v>
      </c>
      <c r="J6" s="74">
        <v>8.5000000000000006E-2</v>
      </c>
      <c r="K6" s="1253">
        <f>SUMIF('数据-汇总表'!C$19:C$33,A6,'数据-汇总表'!E$19:E$33)</f>
        <v>249.95</v>
      </c>
      <c r="L6" s="802">
        <v>2800</v>
      </c>
      <c r="M6" s="75">
        <f t="shared" ref="M6:M14" si="0">ROUND(K6*L6/10000,0)</f>
        <v>70</v>
      </c>
      <c r="N6" s="800">
        <f>N20</f>
        <v>0.94</v>
      </c>
      <c r="O6" s="75" t="str">
        <f>IF($N$5="成新度","——",ROUND(M6*N6,0))</f>
        <v>——</v>
      </c>
      <c r="P6" s="76" t="str">
        <f>IF($N$5="成新度","——",M6-O6)</f>
        <v>——</v>
      </c>
      <c r="Q6" s="803">
        <v>0.25</v>
      </c>
      <c r="R6" s="77">
        <f ca="1">SUMIF('数据-汇总表'!C$19:C$33,A6,'数据-汇总表'!R$19:R$27)</f>
        <v>114.7</v>
      </c>
      <c r="S6" s="54">
        <f>IF('数据-汇总表'!$I$17="按面积比例",SUMIF('数据-汇总表'!C$19:C$33,A6,'数据-汇总表'!K$19:K$33),SUMIF('数据-汇总表'!C$19:C$33,A6,'数据-汇总表'!N$19:N$33))</f>
        <v>0</v>
      </c>
      <c r="T6" s="1445">
        <f>ROUND($L$14*S6/10000,0)</f>
        <v>0</v>
      </c>
      <c r="U6" s="78">
        <v>2.5</v>
      </c>
      <c r="V6" s="79">
        <v>0.03</v>
      </c>
      <c r="W6" s="79">
        <v>0.1</v>
      </c>
      <c r="X6" s="1263"/>
      <c r="Y6" s="80">
        <f>N6</f>
        <v>0.94</v>
      </c>
      <c r="Z6" s="81"/>
      <c r="AA6" s="74"/>
      <c r="AB6" s="74"/>
      <c r="AC6" s="1263"/>
      <c r="AD6" s="82"/>
      <c r="AE6" s="1264">
        <f ca="1">IF(AN6="",0,SUMIF(INDIRECT("'"&amp;AN6&amp;"'"&amp;"!E:E"),$AE$5,INDIRECT("'"&amp;AN6&amp;"'"&amp;"!F:F")))</f>
        <v>32.42</v>
      </c>
      <c r="AF6" s="1804"/>
      <c r="AG6" s="147">
        <f>IF(AF6="",0,AE6-AF6)</f>
        <v>0</v>
      </c>
      <c r="AH6" s="83"/>
      <c r="AI6" s="85">
        <v>365</v>
      </c>
      <c r="AJ6" s="86"/>
      <c r="AK6" s="87">
        <v>1.4999999999999999E-2</v>
      </c>
      <c r="AL6" s="88">
        <v>1.5E-3</v>
      </c>
      <c r="AM6" s="89">
        <v>0.01</v>
      </c>
      <c r="AN6" s="2308" t="s">
        <v>3461</v>
      </c>
      <c r="AO6" s="55">
        <f ca="1">SUMIF(INDIRECT("'"&amp;AN6&amp;"'"&amp;"!A:A"),"总价",INDIRECT("'"&amp;AN6&amp;"'"&amp;"!B:B"))</f>
        <v>324</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1" customFormat="1" ht="14.25">
      <c r="A7" s="2305">
        <f>'数据-汇总表'!C20</f>
        <v>0</v>
      </c>
      <c r="B7" s="2306" t="str">
        <f t="shared" ref="B7:B13" si="1">IF(A7=0,"","经营性")</f>
        <v/>
      </c>
      <c r="C7" s="2307"/>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4"/>
      <c r="AG7" s="147">
        <f t="shared" ref="AG7:AG13" si="7">IF(AF7="",0,AE7-AF7)</f>
        <v>0</v>
      </c>
      <c r="AH7" s="83"/>
      <c r="AI7" s="85">
        <v>365</v>
      </c>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1" customFormat="1" ht="14.25">
      <c r="A8" s="2305">
        <f>'数据-汇总表'!C21</f>
        <v>0</v>
      </c>
      <c r="B8" s="2306" t="str">
        <f t="shared" si="1"/>
        <v/>
      </c>
      <c r="C8" s="2307"/>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4"/>
      <c r="AG8" s="147">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1" customFormat="1" ht="14.25">
      <c r="A9" s="2305">
        <f>'数据-汇总表'!C22</f>
        <v>0</v>
      </c>
      <c r="B9" s="2306" t="str">
        <f t="shared" si="1"/>
        <v/>
      </c>
      <c r="C9" s="2307"/>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1"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1"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1"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1"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1" customFormat="1" ht="14.25">
      <c r="A14" s="2310" t="s">
        <v>2014</v>
      </c>
      <c r="B14" s="2306" t="s">
        <v>2015</v>
      </c>
      <c r="C14" s="2311" t="s">
        <v>2014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5"/>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1" customFormat="1" ht="27">
      <c r="A15" s="2310" t="s">
        <v>2016</v>
      </c>
      <c r="B15" s="2306" t="s">
        <v>2015</v>
      </c>
      <c r="C15" s="2311"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5"/>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1" customFormat="1" ht="15.75" thickBot="1">
      <c r="A16" s="2312" t="s">
        <v>2018</v>
      </c>
      <c r="B16" s="97"/>
      <c r="C16" s="1007"/>
      <c r="D16" s="2313"/>
      <c r="E16" s="97"/>
      <c r="F16" s="97"/>
      <c r="G16" s="98">
        <f>ROUND(SUMPRODUCT(G6:G13,K6:K13)/SUMPRODUCT((G6:G13&gt;0)*(K6:K13)),3)</f>
        <v>0.92600000000000005</v>
      </c>
      <c r="H16" s="99">
        <f>ROUND(SUMPRODUCT(H6:H13,K6:K13)/SUMPRODUCT((H6:H13&gt;0)*(K6:K13)),3)</f>
        <v>0.05</v>
      </c>
      <c r="I16" s="100"/>
      <c r="J16" s="100"/>
      <c r="K16" s="101">
        <f>SUM(K6:K15)</f>
        <v>249.95</v>
      </c>
      <c r="L16" s="102">
        <f>ROUND(M16*10000/SUM(K6:K14),0)</f>
        <v>2801</v>
      </c>
      <c r="M16" s="102">
        <f>SUM(M6:M14)</f>
        <v>70</v>
      </c>
      <c r="N16" s="103">
        <f>ROUND(SUMPRODUCT(M6:M14,N6:N14)/M16,3)</f>
        <v>0.94</v>
      </c>
      <c r="O16" s="102">
        <f>SUM(O6:O14)</f>
        <v>0</v>
      </c>
      <c r="P16" s="102">
        <f>SUM(P6:P14)</f>
        <v>0</v>
      </c>
      <c r="Q16" s="104">
        <f>ROUND(SUMPRODUCT(Q6:Q13,K6:K13)/SUMPRODUCT((Q6:Q13&gt;0)*(K6:K13)),2)</f>
        <v>0.25</v>
      </c>
      <c r="R16" s="1257">
        <f ca="1">SUM(R6:R13)</f>
        <v>114.7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3"/>
      <c r="D17" s="2272"/>
      <c r="E17" s="2272"/>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79"/>
      <c r="C18" s="2276"/>
      <c r="D18" s="2277"/>
      <c r="E18" s="2276"/>
      <c r="F18" s="2276"/>
      <c r="G18" s="2276"/>
      <c r="H18" s="2276"/>
      <c r="I18" s="2276"/>
      <c r="J18" s="2276"/>
      <c r="K18" s="168"/>
      <c r="L18" s="168"/>
      <c r="M18" s="1583"/>
      <c r="N18" s="2965">
        <v>0.92</v>
      </c>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2020</v>
      </c>
      <c r="B19" s="112">
        <v>0</v>
      </c>
      <c r="C19" s="2276" t="s">
        <v>2021</v>
      </c>
      <c r="D19" s="2277"/>
      <c r="E19" s="2276"/>
      <c r="F19" s="2276"/>
      <c r="G19" s="2276"/>
      <c r="H19" s="2276"/>
      <c r="I19" s="2276"/>
      <c r="J19" s="2276"/>
      <c r="K19" s="168"/>
      <c r="L19" s="168"/>
      <c r="M19" s="1583"/>
      <c r="N19" s="2965">
        <v>0.95</v>
      </c>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2022</v>
      </c>
      <c r="B20" s="113">
        <v>2</v>
      </c>
      <c r="C20" s="2276" t="s">
        <v>2023</v>
      </c>
      <c r="D20" s="2277"/>
      <c r="E20" s="2276"/>
      <c r="F20" s="2276"/>
      <c r="G20" s="2276"/>
      <c r="H20" s="2276"/>
      <c r="I20" s="2276"/>
      <c r="J20" s="2276"/>
      <c r="K20" s="168"/>
      <c r="L20" s="168"/>
      <c r="M20" s="1583"/>
      <c r="N20" s="1583">
        <f>ROUND(N18*0.5+N19*0.5,2)</f>
        <v>0.94</v>
      </c>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2024</v>
      </c>
      <c r="B21" s="113">
        <v>2</v>
      </c>
      <c r="C21" s="2276"/>
      <c r="D21" s="2277"/>
      <c r="E21" s="2276"/>
      <c r="F21" s="2276"/>
      <c r="G21" s="2276"/>
      <c r="H21" s="2276"/>
      <c r="I21" s="2276"/>
      <c r="J21" s="2276"/>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2025</v>
      </c>
      <c r="B22" s="114">
        <f>B19+B20</f>
        <v>2</v>
      </c>
      <c r="C22" s="2276"/>
      <c r="D22" s="2277"/>
      <c r="E22" s="2276"/>
      <c r="F22" s="2276"/>
      <c r="G22" s="2276"/>
      <c r="H22" s="2276"/>
      <c r="I22" s="2276"/>
      <c r="J22" s="2276"/>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2026</v>
      </c>
      <c r="B23" s="114">
        <f>B19+B21</f>
        <v>2</v>
      </c>
      <c r="C23" s="2276"/>
      <c r="D23" s="2277"/>
      <c r="E23" s="2276"/>
      <c r="F23" s="2276"/>
      <c r="G23" s="2276"/>
      <c r="H23" s="2276"/>
      <c r="I23" s="2276"/>
      <c r="J23" s="2276"/>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2027</v>
      </c>
      <c r="B24" s="115">
        <f>B20-B21</f>
        <v>0</v>
      </c>
      <c r="C24" s="2276"/>
      <c r="D24" s="2277"/>
      <c r="E24" s="2276"/>
      <c r="F24" s="2276"/>
      <c r="G24" s="2276"/>
      <c r="H24" s="2276"/>
      <c r="I24" s="2276"/>
      <c r="J24" s="2276"/>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29"/>
      <c r="B25" s="2279"/>
      <c r="C25" s="2276"/>
      <c r="D25" s="2277"/>
      <c r="E25" s="2276"/>
      <c r="F25" s="2276"/>
      <c r="G25" s="2276"/>
      <c r="H25" s="2276"/>
      <c r="I25" s="2276"/>
      <c r="J25" s="2276"/>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2028</v>
      </c>
      <c r="B26" s="2319" t="s">
        <v>2029</v>
      </c>
      <c r="C26" s="2320" t="s">
        <v>2030</v>
      </c>
      <c r="D26" s="2277"/>
      <c r="E26" s="2276"/>
      <c r="F26" s="2276"/>
      <c r="G26" s="2276"/>
      <c r="H26" s="2276"/>
      <c r="I26" s="2276"/>
      <c r="J26" s="2276"/>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2031</v>
      </c>
      <c r="B27" s="116">
        <v>105</v>
      </c>
      <c r="C27" s="1766" t="s">
        <v>2032</v>
      </c>
      <c r="D27" s="2322"/>
      <c r="E27" s="1429"/>
      <c r="F27" s="1429"/>
      <c r="G27" s="2276"/>
      <c r="H27" s="2276"/>
      <c r="I27" s="2276"/>
      <c r="J27" s="2276"/>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2033</v>
      </c>
      <c r="B28" s="119">
        <v>105</v>
      </c>
      <c r="C28" s="2325"/>
      <c r="D28" s="2322"/>
      <c r="E28" s="1429"/>
      <c r="F28" s="1429"/>
      <c r="G28" s="2276"/>
      <c r="H28" s="2276"/>
      <c r="I28" s="2276"/>
      <c r="J28" s="2276"/>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2034</v>
      </c>
      <c r="B29" s="121">
        <f ca="1">成本法!C10</f>
        <v>3</v>
      </c>
      <c r="C29" s="1766" t="s">
        <v>2035</v>
      </c>
      <c r="D29" s="2322"/>
      <c r="E29" s="1429"/>
      <c r="F29" s="1429"/>
      <c r="G29" s="2276"/>
      <c r="H29" s="2276"/>
      <c r="I29" s="2276"/>
      <c r="J29" s="2276"/>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2036</v>
      </c>
      <c r="B30" s="723">
        <v>200</v>
      </c>
      <c r="C30" s="2325"/>
      <c r="D30" s="2322"/>
      <c r="E30" s="1429"/>
      <c r="F30" s="1429"/>
      <c r="G30" s="2276"/>
      <c r="H30" s="2276"/>
      <c r="I30" s="2276"/>
      <c r="J30" s="2276"/>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2037</v>
      </c>
      <c r="B31" s="120">
        <f>B30-B32</f>
        <v>200</v>
      </c>
      <c r="C31" s="1766"/>
      <c r="D31" s="2322"/>
      <c r="E31" s="1429"/>
      <c r="F31" s="1429"/>
      <c r="G31" s="2276"/>
      <c r="H31" s="2276"/>
      <c r="I31" s="2276"/>
      <c r="J31" s="2276"/>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2038</v>
      </c>
      <c r="B32" s="724">
        <v>0</v>
      </c>
      <c r="C32" s="2325"/>
      <c r="D32" s="2277"/>
      <c r="E32" s="2276"/>
      <c r="F32" s="2276"/>
      <c r="G32" s="2276"/>
      <c r="H32" s="2276"/>
      <c r="I32" s="2276"/>
      <c r="J32" s="2276"/>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2039</v>
      </c>
      <c r="B33" s="725">
        <v>0.03</v>
      </c>
      <c r="C33" s="1765" t="s">
        <v>2040</v>
      </c>
      <c r="D33" s="2277"/>
      <c r="E33" s="2276"/>
      <c r="F33" s="2276"/>
      <c r="G33" s="2276"/>
      <c r="H33" s="2276"/>
      <c r="I33" s="2276"/>
      <c r="J33" s="2276"/>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2041</v>
      </c>
      <c r="B34" s="122">
        <v>0.05</v>
      </c>
      <c r="C34" s="1765" t="s">
        <v>2042</v>
      </c>
      <c r="D34" s="2277" t="s">
        <v>2043</v>
      </c>
      <c r="E34" s="731"/>
      <c r="F34" s="2276"/>
      <c r="G34" s="2276"/>
      <c r="H34" s="2276"/>
      <c r="I34" s="2276"/>
      <c r="J34" s="2276"/>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2044</v>
      </c>
      <c r="B35" s="119">
        <v>200</v>
      </c>
      <c r="C35" s="1765" t="s">
        <v>2045</v>
      </c>
      <c r="D35" s="2322"/>
      <c r="E35" s="1429"/>
      <c r="F35" s="1429"/>
      <c r="G35" s="2276"/>
      <c r="H35" s="2276"/>
      <c r="I35" s="2276"/>
      <c r="J35" s="2276"/>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2046</v>
      </c>
      <c r="B36" s="123">
        <v>1.4999999999999999E-2</v>
      </c>
      <c r="C36" s="1765" t="s">
        <v>2047</v>
      </c>
      <c r="D36" s="2277"/>
      <c r="E36" s="2276"/>
      <c r="F36" s="2276"/>
      <c r="G36" s="2276"/>
      <c r="H36" s="2276"/>
      <c r="I36" s="2276"/>
      <c r="J36" s="2276"/>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2048</v>
      </c>
      <c r="B37" s="124">
        <v>0.02</v>
      </c>
      <c r="C37" s="1765" t="s">
        <v>2049</v>
      </c>
      <c r="D37" s="2277"/>
      <c r="E37" s="2276"/>
      <c r="F37" s="2276"/>
      <c r="G37" s="2276"/>
      <c r="H37" s="2276"/>
      <c r="I37" s="2276"/>
      <c r="J37" s="2276"/>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2050</v>
      </c>
      <c r="B38" s="122">
        <v>0.03</v>
      </c>
      <c r="C38" s="1765" t="s">
        <v>2049</v>
      </c>
      <c r="D38" s="2277"/>
      <c r="E38" s="2276"/>
      <c r="F38" s="2276"/>
      <c r="G38" s="2276"/>
      <c r="H38" s="2276"/>
      <c r="I38" s="2276"/>
      <c r="J38" s="2276"/>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2051</v>
      </c>
      <c r="B39" s="362">
        <f ca="1">存贷款利率!I1</f>
        <v>1.4999999999999999E-2</v>
      </c>
      <c r="C39" s="1765"/>
      <c r="D39" s="2277"/>
      <c r="E39" s="2276"/>
      <c r="F39" s="2276"/>
      <c r="G39" s="2276"/>
      <c r="H39" s="2276"/>
      <c r="I39" s="2276"/>
      <c r="J39" s="2276"/>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2052</v>
      </c>
      <c r="B40" s="1302">
        <f ca="1">存贷款利率!G1</f>
        <v>4.7500000000000001E-2</v>
      </c>
      <c r="C40" s="1765" t="s">
        <v>2053</v>
      </c>
      <c r="D40" s="1583"/>
      <c r="E40" s="2277"/>
      <c r="F40" s="2276"/>
      <c r="G40" s="2276"/>
      <c r="H40" s="2276"/>
      <c r="I40" s="2276"/>
      <c r="J40" s="2276"/>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2054</v>
      </c>
      <c r="B41" s="125">
        <f>B42+B43</f>
        <v>5.6000000000000001E-2</v>
      </c>
      <c r="C41" s="1766"/>
      <c r="D41" s="1583"/>
      <c r="E41" s="2277"/>
      <c r="F41" s="2276"/>
      <c r="G41" s="2276"/>
      <c r="H41" s="2276"/>
      <c r="I41" s="2276"/>
      <c r="J41" s="2276"/>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2055</v>
      </c>
      <c r="B42" s="126">
        <v>0.05</v>
      </c>
      <c r="C42" s="2330">
        <f>IF(B2&lt;DATE(2016,5,1),0,B42)</f>
        <v>0.05</v>
      </c>
      <c r="D42" s="2277"/>
      <c r="E42" s="2276"/>
      <c r="F42" s="2276"/>
      <c r="G42" s="2276"/>
      <c r="H42" s="2276"/>
      <c r="I42" s="2276"/>
      <c r="J42" s="2276"/>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2056</v>
      </c>
      <c r="B43" s="127">
        <f>B42*(B44+B45+B46)+B47</f>
        <v>6.000000000000001E-3</v>
      </c>
      <c r="C43" s="1766"/>
      <c r="D43" s="2277"/>
      <c r="E43" s="2276"/>
      <c r="F43" s="2276"/>
      <c r="G43" s="2276"/>
      <c r="H43" s="2276"/>
      <c r="I43" s="2276"/>
      <c r="J43" s="2276"/>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2057</v>
      </c>
      <c r="B44" s="128">
        <v>7.0000000000000007E-2</v>
      </c>
      <c r="C44" s="1765" t="s">
        <v>2058</v>
      </c>
      <c r="D44" s="2277"/>
      <c r="E44" s="2276"/>
      <c r="F44" s="2276"/>
      <c r="G44" s="2276"/>
      <c r="H44" s="2276"/>
      <c r="I44" s="2276"/>
      <c r="J44" s="2276"/>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2059</v>
      </c>
      <c r="B45" s="126">
        <v>0.03</v>
      </c>
      <c r="C45" s="1766" t="s">
        <v>2060</v>
      </c>
      <c r="D45" s="2277"/>
      <c r="E45" s="2276"/>
      <c r="F45" s="2276"/>
      <c r="G45" s="2276"/>
      <c r="H45" s="2276"/>
      <c r="I45" s="2276"/>
      <c r="J45" s="2276"/>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2061</v>
      </c>
      <c r="B46" s="126">
        <v>0.02</v>
      </c>
      <c r="C46" s="1766" t="s">
        <v>2062</v>
      </c>
      <c r="D46" s="2277"/>
      <c r="E46" s="2276"/>
      <c r="F46" s="2276"/>
      <c r="G46" s="2276"/>
      <c r="H46" s="2276"/>
      <c r="I46" s="2276"/>
      <c r="J46" s="2276"/>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2063</v>
      </c>
      <c r="B47" s="129"/>
      <c r="C47" s="1766" t="s">
        <v>2064</v>
      </c>
      <c r="D47" s="2277"/>
      <c r="E47" s="2276"/>
      <c r="F47" s="2276"/>
      <c r="G47" s="2276"/>
      <c r="H47" s="2276"/>
      <c r="I47" s="2276"/>
      <c r="J47" s="2276"/>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2065</v>
      </c>
      <c r="B48" s="130">
        <v>0.03</v>
      </c>
      <c r="C48" s="1771" t="s">
        <v>2066</v>
      </c>
      <c r="D48" s="2277"/>
      <c r="E48" s="2276"/>
      <c r="F48" s="2276"/>
      <c r="G48" s="2276"/>
      <c r="H48" s="2276"/>
      <c r="I48" s="2276"/>
      <c r="J48" s="2276"/>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2067</v>
      </c>
      <c r="B49" s="126">
        <v>5.0000000000000001E-4</v>
      </c>
      <c r="C49" s="1771" t="s">
        <v>2068</v>
      </c>
      <c r="D49" s="2277"/>
      <c r="E49" s="2276"/>
      <c r="F49" s="2276"/>
      <c r="G49" s="2276"/>
      <c r="H49" s="2276"/>
      <c r="I49" s="2276"/>
      <c r="J49" s="2276"/>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2069</v>
      </c>
      <c r="B50" s="131">
        <v>1.2E-2</v>
      </c>
      <c r="C50" s="1429"/>
      <c r="D50" s="2277"/>
      <c r="E50" s="2276"/>
      <c r="F50" s="2276"/>
      <c r="G50" s="2276"/>
      <c r="H50" s="2276"/>
      <c r="I50" s="2276"/>
      <c r="J50" s="2276"/>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2070</v>
      </c>
      <c r="B51" s="132">
        <v>0.12</v>
      </c>
      <c r="C51" s="1429"/>
      <c r="D51" s="2277"/>
      <c r="E51" s="2276"/>
      <c r="F51" s="2276"/>
      <c r="G51" s="2276"/>
      <c r="H51" s="2276"/>
      <c r="I51" s="2276"/>
      <c r="J51" s="2276"/>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2071</v>
      </c>
      <c r="B52" s="133">
        <f>SUMIF(A54:A63,B53,B54:B63)</f>
        <v>4</v>
      </c>
      <c r="C52" s="1429"/>
      <c r="D52" s="2277"/>
      <c r="E52" s="2276"/>
      <c r="F52" s="2276"/>
      <c r="G52" s="2276"/>
      <c r="H52" s="2276"/>
      <c r="I52" s="2276"/>
      <c r="J52" s="2276"/>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2072</v>
      </c>
      <c r="B53" s="2335" t="s">
        <v>523</v>
      </c>
      <c r="C53" s="1429" t="s">
        <v>2073</v>
      </c>
      <c r="D53" s="2336" t="s">
        <v>2074</v>
      </c>
      <c r="E53" s="2276"/>
      <c r="F53" s="2276"/>
      <c r="G53" s="2276"/>
      <c r="H53" s="2276"/>
      <c r="I53" s="2276"/>
      <c r="J53" s="2276"/>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2075</v>
      </c>
      <c r="B54" s="84"/>
      <c r="C54" s="1429">
        <v>30</v>
      </c>
      <c r="D54" s="2277"/>
      <c r="E54" s="2276"/>
      <c r="F54" s="2276"/>
      <c r="G54" s="2276"/>
      <c r="H54" s="2276"/>
      <c r="I54" s="2276"/>
      <c r="J54" s="2276"/>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2076</v>
      </c>
      <c r="B55" s="84"/>
      <c r="C55" s="1429">
        <v>24</v>
      </c>
      <c r="D55" s="2277"/>
      <c r="E55" s="2276"/>
      <c r="F55" s="2276"/>
      <c r="G55" s="2276"/>
      <c r="H55" s="2276"/>
      <c r="I55" s="2338"/>
      <c r="J55" s="2276"/>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2077</v>
      </c>
      <c r="B56" s="84"/>
      <c r="C56" s="1429">
        <v>18</v>
      </c>
      <c r="D56" s="2277"/>
      <c r="E56" s="2276"/>
      <c r="F56" s="2276"/>
      <c r="G56" s="2276"/>
      <c r="H56" s="2276"/>
      <c r="I56" s="2276"/>
      <c r="J56" s="2276"/>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2078</v>
      </c>
      <c r="B57" s="84"/>
      <c r="C57" s="1429">
        <v>12</v>
      </c>
      <c r="D57" s="2277"/>
      <c r="E57" s="2276"/>
      <c r="F57" s="2276"/>
      <c r="G57" s="2276"/>
      <c r="H57" s="2276"/>
      <c r="I57" s="2276"/>
      <c r="J57" s="2276"/>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2079</v>
      </c>
      <c r="B58" s="84">
        <v>4</v>
      </c>
      <c r="C58" s="1429">
        <v>3</v>
      </c>
      <c r="D58" s="2277"/>
      <c r="E58" s="2276"/>
      <c r="F58" s="2276"/>
      <c r="G58" s="2276"/>
      <c r="H58" s="2276"/>
      <c r="I58" s="2276"/>
      <c r="J58" s="2276"/>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2080</v>
      </c>
      <c r="B59" s="84"/>
      <c r="C59" s="1429">
        <v>1.5</v>
      </c>
      <c r="D59" s="2277"/>
      <c r="E59" s="2276"/>
      <c r="F59" s="2276"/>
      <c r="G59" s="2276"/>
      <c r="H59" s="2276"/>
      <c r="I59" s="2276"/>
      <c r="J59" s="2276"/>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2081</v>
      </c>
      <c r="B60" s="84"/>
      <c r="C60" s="2276"/>
      <c r="D60" s="2277"/>
      <c r="E60" s="2276"/>
      <c r="F60" s="2276"/>
      <c r="G60" s="2276"/>
      <c r="H60" s="2276"/>
      <c r="I60" s="2276"/>
      <c r="J60" s="2276"/>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2082</v>
      </c>
      <c r="B61" s="84"/>
      <c r="C61" s="2276"/>
      <c r="D61" s="2277"/>
      <c r="E61" s="2276"/>
      <c r="F61" s="2276"/>
      <c r="G61" s="2276"/>
      <c r="H61" s="2276"/>
      <c r="I61" s="2276"/>
      <c r="J61" s="2276"/>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2083</v>
      </c>
      <c r="B62" s="84"/>
      <c r="C62" s="2276"/>
      <c r="D62" s="2277"/>
      <c r="E62" s="2276"/>
      <c r="F62" s="2276"/>
      <c r="G62" s="2276"/>
      <c r="H62" s="2276"/>
      <c r="I62" s="2276"/>
      <c r="J62" s="2276"/>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2084</v>
      </c>
      <c r="B63" s="134"/>
      <c r="C63" s="2276"/>
      <c r="D63" s="2277"/>
      <c r="E63" s="2276"/>
      <c r="F63" s="2276"/>
      <c r="G63" s="2276"/>
      <c r="H63" s="2276"/>
      <c r="I63" s="2276"/>
      <c r="J63" s="2276"/>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41" sqref="F41"/>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2" t="s">
        <v>2085</v>
      </c>
      <c r="B1" s="3073"/>
      <c r="C1" s="3073"/>
      <c r="D1" s="3073"/>
      <c r="E1" s="3073"/>
      <c r="F1" s="3073"/>
      <c r="G1" s="307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2086</v>
      </c>
      <c r="D2" s="2365"/>
      <c r="E2" s="2366"/>
      <c r="F2" s="2285"/>
      <c r="G2" s="2364" t="s">
        <v>2087</v>
      </c>
      <c r="H2" s="2367"/>
      <c r="I2" s="2367"/>
      <c r="J2" s="2367"/>
      <c r="K2" s="2367"/>
      <c r="L2" s="2367"/>
      <c r="M2" s="2367"/>
      <c r="N2" s="2367"/>
      <c r="O2" s="2367"/>
      <c r="P2" s="2367"/>
      <c r="Q2" s="2367"/>
      <c r="R2" s="2367"/>
    </row>
    <row r="3" spans="1:29" ht="54">
      <c r="A3" s="415" t="s">
        <v>2088</v>
      </c>
      <c r="B3" s="1270" t="s">
        <v>2089</v>
      </c>
      <c r="C3" s="2369" t="s">
        <v>2090</v>
      </c>
      <c r="D3" s="2370"/>
      <c r="E3" s="431" t="s">
        <v>2088</v>
      </c>
      <c r="F3" s="2371" t="s">
        <v>2091</v>
      </c>
      <c r="G3" s="2372" t="s">
        <v>2092</v>
      </c>
      <c r="H3" s="2367"/>
      <c r="I3" s="2367"/>
      <c r="J3" s="2367"/>
      <c r="K3" s="2367"/>
      <c r="L3" s="2367"/>
      <c r="M3" s="2367"/>
      <c r="N3" s="2367"/>
      <c r="O3" s="2367"/>
      <c r="P3" s="2367"/>
      <c r="Q3" s="2367"/>
      <c r="R3" s="2367"/>
    </row>
    <row r="4" spans="1:29" ht="41.25">
      <c r="A4" s="431"/>
      <c r="B4" s="1795" t="s">
        <v>2093</v>
      </c>
      <c r="C4" s="2373" t="s">
        <v>2094</v>
      </c>
      <c r="D4" s="2370"/>
      <c r="E4" s="2374"/>
      <c r="F4" s="42" t="s">
        <v>2095</v>
      </c>
      <c r="G4" s="2375" t="s">
        <v>2096</v>
      </c>
      <c r="H4" s="2367"/>
      <c r="I4" s="2367"/>
      <c r="J4" s="2367"/>
      <c r="K4" s="2367"/>
      <c r="L4" s="2367"/>
      <c r="M4" s="2367"/>
      <c r="N4" s="2367"/>
      <c r="O4" s="2367"/>
      <c r="P4" s="2367"/>
      <c r="Q4" s="2367"/>
      <c r="R4" s="2367"/>
    </row>
    <row r="5" spans="1:29" ht="41.25">
      <c r="A5" s="431"/>
      <c r="B5" s="1795" t="s">
        <v>2097</v>
      </c>
      <c r="C5" s="2373" t="s">
        <v>2098</v>
      </c>
      <c r="D5" s="2370"/>
      <c r="E5" s="2374"/>
      <c r="F5" s="1795" t="s">
        <v>2099</v>
      </c>
      <c r="G5" s="2375" t="s">
        <v>2100</v>
      </c>
      <c r="H5" s="2367"/>
      <c r="I5" s="2367"/>
      <c r="J5" s="2367"/>
      <c r="K5" s="2367"/>
      <c r="L5" s="2367"/>
      <c r="M5" s="2367"/>
      <c r="N5" s="2367"/>
      <c r="O5" s="2367"/>
      <c r="P5" s="2367"/>
      <c r="Q5" s="2367"/>
      <c r="R5" s="2367"/>
    </row>
    <row r="6" spans="1:29" ht="54">
      <c r="A6" s="431"/>
      <c r="B6" s="1795" t="s">
        <v>2101</v>
      </c>
      <c r="C6" s="2375" t="s">
        <v>2096</v>
      </c>
      <c r="D6" s="2370"/>
      <c r="E6" s="2374"/>
      <c r="F6" s="1795" t="s">
        <v>2102</v>
      </c>
      <c r="G6" s="2375" t="s">
        <v>2103</v>
      </c>
      <c r="H6" s="2367"/>
      <c r="I6" s="2367"/>
      <c r="J6" s="2367"/>
      <c r="K6" s="2367"/>
      <c r="L6" s="2367"/>
      <c r="M6" s="2367"/>
      <c r="N6" s="2367"/>
      <c r="O6" s="2367"/>
      <c r="P6" s="2367"/>
      <c r="Q6" s="2367"/>
      <c r="R6" s="2367"/>
    </row>
    <row r="7" spans="1:29" ht="41.25" thickBot="1">
      <c r="A7" s="431"/>
      <c r="B7" s="1795" t="s">
        <v>2099</v>
      </c>
      <c r="C7" s="2375" t="s">
        <v>2100</v>
      </c>
      <c r="D7" s="2376"/>
      <c r="E7" s="2377"/>
      <c r="F7" s="2378" t="s">
        <v>2104</v>
      </c>
      <c r="G7" s="2379" t="s">
        <v>2105</v>
      </c>
      <c r="H7" s="2367"/>
      <c r="I7" s="2367"/>
      <c r="J7" s="2367"/>
      <c r="K7" s="2367"/>
      <c r="L7" s="2367"/>
      <c r="M7" s="2367"/>
      <c r="N7" s="2367"/>
      <c r="O7" s="2367"/>
      <c r="P7" s="2367"/>
      <c r="Q7" s="2367"/>
      <c r="R7" s="2367"/>
    </row>
    <row r="8" spans="1:29" ht="27">
      <c r="A8" s="431"/>
      <c r="B8" s="1795" t="s">
        <v>2102</v>
      </c>
      <c r="C8" s="2375" t="s">
        <v>2103</v>
      </c>
      <c r="D8" s="2376"/>
      <c r="E8" s="2376"/>
      <c r="F8" s="1135"/>
      <c r="G8" s="1135"/>
      <c r="H8" s="2367"/>
      <c r="I8" s="2367"/>
      <c r="J8" s="2367"/>
      <c r="K8" s="2367"/>
      <c r="L8" s="2367"/>
      <c r="M8" s="2367"/>
      <c r="N8" s="2367"/>
      <c r="O8" s="2367"/>
      <c r="P8" s="2367"/>
      <c r="Q8" s="2367"/>
      <c r="R8" s="2367"/>
    </row>
    <row r="9" spans="1:29" ht="27">
      <c r="A9" s="431"/>
      <c r="B9" s="1795" t="s">
        <v>2106</v>
      </c>
      <c r="C9" s="2373" t="s">
        <v>2107</v>
      </c>
      <c r="D9" s="2370"/>
      <c r="E9" s="2376"/>
      <c r="F9" s="1135"/>
      <c r="G9" s="1135"/>
      <c r="H9" s="2367"/>
      <c r="I9" s="2367"/>
      <c r="J9" s="2367"/>
      <c r="K9" s="2367"/>
      <c r="L9" s="2367"/>
      <c r="M9" s="2367"/>
      <c r="N9" s="2367"/>
      <c r="O9" s="2367"/>
      <c r="P9" s="2367"/>
      <c r="Q9" s="2367"/>
      <c r="R9" s="2367"/>
    </row>
    <row r="10" spans="1:29" s="117" customFormat="1" ht="15.75" thickBot="1">
      <c r="A10" s="2380"/>
      <c r="B10" s="2381" t="s">
        <v>2108</v>
      </c>
      <c r="C10" s="2382"/>
      <c r="D10" s="2370"/>
      <c r="E10" s="2370"/>
      <c r="F10" s="1135"/>
      <c r="G10" s="1135"/>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3"/>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3"/>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2109</v>
      </c>
      <c r="B13" s="2387"/>
      <c r="C13" s="2387"/>
      <c r="D13" s="2394"/>
      <c r="E13" s="2387"/>
      <c r="F13" s="2387"/>
      <c r="G13" s="2387"/>
    </row>
    <row r="14" spans="1:29" ht="15.75" thickBot="1">
      <c r="A14" s="2398"/>
      <c r="B14" s="2399"/>
      <c r="C14" s="2400" t="s">
        <v>2110</v>
      </c>
      <c r="D14" s="2370"/>
      <c r="E14" s="2401"/>
      <c r="F14" s="2401"/>
      <c r="G14" s="2364" t="s">
        <v>2111</v>
      </c>
    </row>
    <row r="15" spans="1:29" ht="57">
      <c r="A15" s="68" t="s">
        <v>2112</v>
      </c>
      <c r="B15" s="1269" t="s">
        <v>2089</v>
      </c>
      <c r="C15" s="2402" t="str">
        <f>C3</f>
        <v>估价对象周边居住用地比例、居住小区规模和社区发展完善程度，综合评价居住社区成熟度一般</v>
      </c>
      <c r="D15" s="2370"/>
      <c r="E15" s="2403" t="s">
        <v>2113</v>
      </c>
      <c r="F15" s="1269" t="s">
        <v>2114</v>
      </c>
      <c r="G15" s="135" t="str">
        <f>G3</f>
        <v>估价对象位于XX开发区，园区建设成熟度XX，产业集聚程度XX</v>
      </c>
    </row>
    <row r="16" spans="1:29" ht="42.75">
      <c r="A16" s="644"/>
      <c r="B16" s="2404" t="s">
        <v>2093</v>
      </c>
      <c r="C16" s="2405" t="str">
        <f>C4</f>
        <v>估价对象位于XX商圈，周边商业氛围成熟，人流量大，商业繁华度好</v>
      </c>
      <c r="D16" s="2370"/>
      <c r="E16" s="2406"/>
      <c r="F16" s="2407" t="s">
        <v>2095</v>
      </c>
      <c r="G16" s="136" t="str">
        <f>G4</f>
        <v>估价对象周边道路状况、公共交通通达情况、停车便捷程度，综合评价交通便捷度较好</v>
      </c>
    </row>
    <row r="17" spans="1:18" ht="42.75">
      <c r="A17" s="644"/>
      <c r="B17" s="2404" t="s">
        <v>2097</v>
      </c>
      <c r="C17" s="2405" t="str">
        <f>C5</f>
        <v>估价对象位于XX商圈，周边办公楼项目较多，入驻率高，办公集聚程度较好</v>
      </c>
      <c r="D17" s="2376"/>
      <c r="E17" s="2406"/>
      <c r="F17" s="2407" t="s">
        <v>2115</v>
      </c>
      <c r="G17" s="1571"/>
    </row>
    <row r="18" spans="1:18" ht="57">
      <c r="A18" s="644"/>
      <c r="B18" s="2407" t="s">
        <v>2101</v>
      </c>
      <c r="C18" s="136" t="str">
        <f>C6</f>
        <v>估价对象周边道路状况、公共交通通达情况、停车便捷程度，综合评价交通便捷度较好</v>
      </c>
      <c r="D18" s="2376"/>
      <c r="E18" s="2406"/>
      <c r="F18" s="2407" t="s">
        <v>2104</v>
      </c>
      <c r="G18" s="136" t="str">
        <f>G7</f>
        <v>该园区内是否有污染型企业，绿化情况，卫生条件，整体环境状况判断</v>
      </c>
    </row>
    <row r="19" spans="1:18" ht="28.5">
      <c r="A19" s="644"/>
      <c r="B19" s="2407" t="s">
        <v>2116</v>
      </c>
      <c r="C19" s="1571"/>
      <c r="D19" s="2370"/>
      <c r="E19" s="2406"/>
      <c r="F19" s="1795" t="s">
        <v>2099</v>
      </c>
      <c r="G19" s="136" t="str">
        <f>G5</f>
        <v>估价对象所在区域公共配套设施齐备情况</v>
      </c>
    </row>
    <row r="20" spans="1:18" ht="28.5">
      <c r="A20" s="644"/>
      <c r="B20" s="2407" t="s">
        <v>2117</v>
      </c>
      <c r="C20" s="2405" t="str">
        <f>C9</f>
        <v>区域自然环境：；人文环境；综合评价环境状况一般</v>
      </c>
      <c r="D20" s="2376"/>
      <c r="E20" s="2406"/>
      <c r="F20" s="1795" t="s">
        <v>2118</v>
      </c>
      <c r="G20" s="136" t="str">
        <f>G6</f>
        <v>估价对象所在区域基础设施水平</v>
      </c>
    </row>
    <row r="21" spans="1:18" ht="28.5">
      <c r="A21" s="644"/>
      <c r="B21" s="1795" t="s">
        <v>2099</v>
      </c>
      <c r="C21" s="136" t="str">
        <f>C7</f>
        <v>估价对象所在区域公共配套设施齐备情况</v>
      </c>
      <c r="D21" s="2370"/>
      <c r="E21" s="2406"/>
      <c r="F21" s="2407" t="s">
        <v>2119</v>
      </c>
      <c r="G21" s="2408"/>
    </row>
    <row r="22" spans="1:18" ht="13.5" customHeight="1">
      <c r="A22" s="644"/>
      <c r="B22" s="1795" t="s">
        <v>2102</v>
      </c>
      <c r="C22" s="136" t="str">
        <f>C8</f>
        <v>估价对象所在区域基础设施水平</v>
      </c>
      <c r="D22" s="2370"/>
      <c r="E22" s="2406"/>
      <c r="F22" s="2407" t="s">
        <v>2108</v>
      </c>
      <c r="G22" s="1571"/>
    </row>
    <row r="23" spans="1:18" s="2367" customFormat="1" ht="15.75" thickBot="1">
      <c r="A23" s="644"/>
      <c r="B23" s="2407" t="s">
        <v>2119</v>
      </c>
      <c r="C23" s="2408"/>
      <c r="D23" s="2395"/>
      <c r="E23" s="2409"/>
      <c r="F23" s="2410" t="s">
        <v>2120</v>
      </c>
      <c r="G23" s="2411"/>
      <c r="H23" s="2395"/>
      <c r="I23" s="2396"/>
      <c r="J23" s="2395"/>
      <c r="K23" s="2395"/>
      <c r="L23" s="2396"/>
      <c r="M23" s="2395"/>
      <c r="N23" s="2395"/>
      <c r="O23" s="2396"/>
      <c r="P23" s="2395"/>
      <c r="Q23" s="2395"/>
      <c r="R23" s="2397"/>
    </row>
    <row r="24" spans="1:18" s="2367" customFormat="1" ht="15.75" thickBot="1">
      <c r="A24" s="2412"/>
      <c r="B24" s="2410" t="s">
        <v>2121</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6" sqref="B26"/>
    </sheetView>
  </sheetViews>
  <sheetFormatPr defaultRowHeight="13.5"/>
  <cols>
    <col min="1" max="1" width="23.375" style="1740" customWidth="1"/>
    <col min="2" max="9" width="15.75" style="1740" customWidth="1"/>
    <col min="10" max="16384" width="9" style="1740"/>
  </cols>
  <sheetData>
    <row r="1" spans="1:10" ht="16.5">
      <c r="A1" s="1745" t="s">
        <v>1365</v>
      </c>
      <c r="B1" s="1745">
        <f>SUM(B14:B23)</f>
        <v>249.95</v>
      </c>
      <c r="C1" s="1744"/>
      <c r="D1" s="1744"/>
      <c r="E1" s="1744"/>
      <c r="F1" s="1744"/>
      <c r="G1" s="1742"/>
    </row>
    <row r="2" spans="1:10" ht="16.5">
      <c r="A2" s="1745" t="s">
        <v>1353</v>
      </c>
      <c r="B2" s="1745">
        <f>SUM(C14:C23)</f>
        <v>114.7</v>
      </c>
      <c r="C2" s="1744"/>
      <c r="D2" s="1744"/>
      <c r="E2" s="1744"/>
      <c r="F2" s="1744"/>
      <c r="G2" s="1742"/>
    </row>
    <row r="3" spans="1:10" ht="16.5">
      <c r="A3" s="1745" t="s">
        <v>1362</v>
      </c>
      <c r="B3" s="1746">
        <f>项目基本情况!D3</f>
        <v>43296</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418</v>
      </c>
      <c r="C5" s="1745">
        <f ca="1">ROUND(B5*10000/$B$1,0)</f>
        <v>16723</v>
      </c>
      <c r="D5" s="1745">
        <f ca="1">ROUND(B5*10000/$B$2,0)</f>
        <v>36443</v>
      </c>
      <c r="E5" s="1744"/>
      <c r="F5" s="1742"/>
      <c r="G5" s="1742"/>
    </row>
    <row r="6" spans="1:10" ht="16.5">
      <c r="A6" s="1745" t="s">
        <v>1356</v>
      </c>
      <c r="B6" s="1745">
        <f ca="1">SUM(G14:G23)</f>
        <v>418</v>
      </c>
      <c r="C6" s="1745">
        <f ca="1">ROUND(B6*10000/$B$1,0)</f>
        <v>16723</v>
      </c>
      <c r="D6" s="1745">
        <f ca="1">ROUND(B6*10000/$B$2,0)</f>
        <v>36443</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249.95</v>
      </c>
      <c r="C14" s="1743">
        <f>结果表!C118</f>
        <v>114.7</v>
      </c>
      <c r="D14" s="1743">
        <f ca="1">结果表!H118</f>
        <v>418</v>
      </c>
      <c r="E14" s="1743">
        <f ca="1">ROUND(D14*10000/B14,0)</f>
        <v>16723</v>
      </c>
      <c r="F14" s="1743">
        <f ca="1">ROUND(D14*10000/C14,0)</f>
        <v>36443</v>
      </c>
      <c r="G14" s="1743">
        <f ca="1">结果表!D122</f>
        <v>418</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C20" sqref="C20:D20"/>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4" t="s">
        <v>2122</v>
      </c>
      <c r="B1" s="2418"/>
      <c r="C1" s="2419"/>
      <c r="D1" s="2418"/>
      <c r="E1" s="2418"/>
      <c r="F1" s="2420" t="s">
        <v>2123</v>
      </c>
      <c r="G1" s="2070" t="s">
        <v>3236</v>
      </c>
      <c r="H1" s="2421" t="str">
        <f>IF(G1="现房","——","估价对象范围")</f>
        <v>——</v>
      </c>
      <c r="I1" s="2422"/>
    </row>
    <row r="2" spans="1:12" ht="21.75" customHeight="1" thickBot="1">
      <c r="A2" s="3146" t="str">
        <f>项目基本情况!S2</f>
        <v>北京市房地产</v>
      </c>
      <c r="B2" s="3147"/>
      <c r="C2" s="3147"/>
      <c r="D2" s="3147"/>
      <c r="E2" s="3147"/>
      <c r="F2" s="3147"/>
      <c r="G2" s="3147"/>
      <c r="H2" s="3147"/>
      <c r="I2" s="3148"/>
    </row>
    <row r="3" spans="1:12" ht="12.75">
      <c r="A3" s="3149" t="s">
        <v>2124</v>
      </c>
      <c r="B3" s="3150"/>
      <c r="C3" s="3150"/>
      <c r="D3" s="3150"/>
      <c r="E3" s="3150"/>
      <c r="F3" s="3150"/>
      <c r="G3" s="3150"/>
      <c r="H3" s="3150"/>
      <c r="I3" s="3150"/>
    </row>
    <row r="4" spans="1:12" ht="14.25">
      <c r="A4" s="2425" t="s">
        <v>2125</v>
      </c>
      <c r="B4" s="2426" t="s">
        <v>2126</v>
      </c>
      <c r="C4" s="2427" t="s">
        <v>3419</v>
      </c>
      <c r="D4" s="2427" t="s">
        <v>3461</v>
      </c>
      <c r="E4" s="3130" t="s">
        <v>2127</v>
      </c>
      <c r="F4" s="3143"/>
      <c r="G4" s="3143"/>
      <c r="H4" s="3143"/>
      <c r="I4" s="3131"/>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21" t="s">
        <v>2128</v>
      </c>
      <c r="B5" s="3047">
        <v>25</v>
      </c>
      <c r="C5" s="3151"/>
      <c r="D5" s="3139"/>
      <c r="E5" s="140" t="s">
        <v>2129</v>
      </c>
      <c r="F5" s="2429"/>
      <c r="G5" s="2429"/>
      <c r="H5" s="2429"/>
      <c r="I5" s="1831"/>
    </row>
    <row r="6" spans="1:12" ht="12.75">
      <c r="A6" s="3121"/>
      <c r="B6" s="3047"/>
      <c r="C6" s="3153"/>
      <c r="D6" s="3139"/>
      <c r="E6" s="140" t="s">
        <v>2130</v>
      </c>
      <c r="F6" s="2429"/>
      <c r="G6" s="2429"/>
      <c r="H6" s="2429"/>
      <c r="I6" s="1831"/>
    </row>
    <row r="7" spans="1:12" ht="12.75">
      <c r="A7" s="3121"/>
      <c r="B7" s="3047"/>
      <c r="C7" s="3152"/>
      <c r="D7" s="3139"/>
      <c r="E7" s="140" t="s">
        <v>2131</v>
      </c>
      <c r="F7" s="2429"/>
      <c r="G7" s="2429"/>
      <c r="H7" s="2429"/>
      <c r="I7" s="1831"/>
    </row>
    <row r="8" spans="1:12" ht="12.75">
      <c r="A8" s="3121" t="s">
        <v>2132</v>
      </c>
      <c r="B8" s="3047">
        <v>15</v>
      </c>
      <c r="C8" s="3151"/>
      <c r="D8" s="3139"/>
      <c r="E8" s="140" t="s">
        <v>2133</v>
      </c>
      <c r="F8" s="2429"/>
      <c r="G8" s="2429"/>
      <c r="H8" s="2429"/>
      <c r="I8" s="1831"/>
    </row>
    <row r="9" spans="1:12" ht="12.75">
      <c r="A9" s="3121"/>
      <c r="B9" s="3047"/>
      <c r="C9" s="3152"/>
      <c r="D9" s="3139"/>
      <c r="E9" s="140" t="s">
        <v>2134</v>
      </c>
      <c r="F9" s="2429"/>
      <c r="G9" s="2429"/>
      <c r="H9" s="2429"/>
      <c r="I9" s="1831"/>
    </row>
    <row r="10" spans="1:12" ht="12.75">
      <c r="A10" s="3121" t="s">
        <v>2135</v>
      </c>
      <c r="B10" s="3047">
        <v>15</v>
      </c>
      <c r="C10" s="3151"/>
      <c r="D10" s="3139"/>
      <c r="E10" s="140" t="s">
        <v>2136</v>
      </c>
      <c r="F10" s="2429"/>
      <c r="G10" s="2429"/>
      <c r="H10" s="2429"/>
      <c r="I10" s="1831"/>
    </row>
    <row r="11" spans="1:12" ht="12.75">
      <c r="A11" s="3121"/>
      <c r="B11" s="3047"/>
      <c r="C11" s="3152"/>
      <c r="D11" s="3139"/>
      <c r="E11" s="140" t="s">
        <v>2137</v>
      </c>
      <c r="F11" s="2429"/>
      <c r="G11" s="2429"/>
      <c r="H11" s="2429"/>
      <c r="I11" s="1831"/>
    </row>
    <row r="12" spans="1:12" ht="12.75">
      <c r="A12" s="3121" t="s">
        <v>2138</v>
      </c>
      <c r="B12" s="3047">
        <v>15</v>
      </c>
      <c r="C12" s="3151"/>
      <c r="D12" s="3139"/>
      <c r="E12" s="140" t="s">
        <v>2139</v>
      </c>
      <c r="F12" s="2429"/>
      <c r="G12" s="2429"/>
      <c r="H12" s="2429"/>
      <c r="I12" s="1831"/>
    </row>
    <row r="13" spans="1:12" ht="12.75">
      <c r="A13" s="3121"/>
      <c r="B13" s="3047"/>
      <c r="C13" s="3152"/>
      <c r="D13" s="3139"/>
      <c r="E13" s="140" t="s">
        <v>2140</v>
      </c>
      <c r="F13" s="2429"/>
      <c r="G13" s="2429"/>
      <c r="H13" s="2429"/>
      <c r="I13" s="1831"/>
    </row>
    <row r="14" spans="1:12" ht="12.75">
      <c r="A14" s="3121" t="s">
        <v>2141</v>
      </c>
      <c r="B14" s="3047">
        <v>30</v>
      </c>
      <c r="C14" s="3151">
        <v>0.6</v>
      </c>
      <c r="D14" s="3139">
        <f>1-C14</f>
        <v>0.4</v>
      </c>
      <c r="E14" s="140" t="s">
        <v>2142</v>
      </c>
      <c r="F14" s="2429"/>
      <c r="G14" s="2429"/>
      <c r="H14" s="2429"/>
      <c r="I14" s="1831"/>
    </row>
    <row r="15" spans="1:12" ht="12.75">
      <c r="A15" s="3121"/>
      <c r="B15" s="3047"/>
      <c r="C15" s="3153"/>
      <c r="D15" s="3139"/>
      <c r="E15" s="140" t="s">
        <v>2143</v>
      </c>
      <c r="F15" s="2429"/>
      <c r="G15" s="2429"/>
      <c r="H15" s="2429"/>
      <c r="I15" s="1831"/>
    </row>
    <row r="16" spans="1:12" ht="12.75">
      <c r="A16" s="3121"/>
      <c r="B16" s="3047"/>
      <c r="C16" s="3152"/>
      <c r="D16" s="3139"/>
      <c r="E16" s="140" t="s">
        <v>2144</v>
      </c>
      <c r="F16" s="2429"/>
      <c r="G16" s="2429"/>
      <c r="H16" s="2429"/>
      <c r="I16" s="1831"/>
    </row>
    <row r="17" spans="1:35" ht="15">
      <c r="A17" s="2430" t="s">
        <v>2145</v>
      </c>
      <c r="B17" s="64"/>
      <c r="C17" s="141">
        <f>SUM(C5:C16)</f>
        <v>0.6</v>
      </c>
      <c r="D17" s="141">
        <f>SUM(D5:D16)</f>
        <v>0.4</v>
      </c>
      <c r="E17" s="138"/>
      <c r="F17" s="138"/>
      <c r="G17" s="138"/>
      <c r="H17" s="138"/>
      <c r="I17" s="138"/>
      <c r="K17" s="2428"/>
      <c r="L17" s="2431" t="s">
        <v>2146</v>
      </c>
      <c r="M17" s="2431" t="s">
        <v>2147</v>
      </c>
    </row>
    <row r="18" spans="1:35" ht="15.75" thickBot="1">
      <c r="A18" s="2432" t="s">
        <v>2148</v>
      </c>
      <c r="B18" s="2433"/>
      <c r="C18" s="142">
        <f>ROUND(C17/SUM(C17:D17),2)</f>
        <v>0.6</v>
      </c>
      <c r="D18" s="142">
        <f>1-C18</f>
        <v>0.4</v>
      </c>
      <c r="E18" s="138"/>
      <c r="F18" s="138"/>
      <c r="G18" s="138"/>
      <c r="H18" s="138"/>
      <c r="I18" s="138"/>
      <c r="K18" s="2428" t="s">
        <v>2149</v>
      </c>
      <c r="L18" s="2428">
        <f>IF(C1="",'数据-汇总表'!E3,SUMIF(项目类型,C1,'数据-汇总表'!E17:E26)+SUMIF(项目类型,C1,'数据-汇总表'!I17:I26))</f>
        <v>249.95</v>
      </c>
      <c r="M18" s="2428">
        <f>IF(C1="",'数据-汇总表'!E3,SUMIF(项目类型,C1,'数据-汇总表'!E17:E26))</f>
        <v>249.95</v>
      </c>
    </row>
    <row r="19" spans="1:35" ht="15">
      <c r="A19" s="2434" t="s">
        <v>2150</v>
      </c>
      <c r="B19" s="2435" t="s">
        <v>2151</v>
      </c>
      <c r="C19" s="143">
        <f ca="1">SUMIF(INDIRECT("'"&amp;C4&amp;"'"&amp;"!A:A"),结果表!B19,INDIRECT("'"&amp;C4&amp;"'"&amp;"!B:B"))</f>
        <v>481</v>
      </c>
      <c r="D19" s="144">
        <f ca="1">SUMIF(INDIRECT("'"&amp;D4&amp;"'"&amp;"!A:A"),结果表!B19,INDIRECT("'"&amp;D4&amp;"'"&amp;"!B:B"))</f>
        <v>324</v>
      </c>
      <c r="E19" s="2434" t="s">
        <v>2152</v>
      </c>
      <c r="F19" s="2435" t="s">
        <v>2151</v>
      </c>
      <c r="G19" s="145">
        <f ca="1">ROUND(C19*$C$18+D19*$D$18,0)</f>
        <v>418</v>
      </c>
      <c r="H19" s="2436" t="s">
        <v>2153</v>
      </c>
      <c r="I19" s="138"/>
      <c r="K19" s="2428" t="s">
        <v>2154</v>
      </c>
      <c r="L19" s="2428">
        <f>IF(C1="",'数据-汇总表'!D3,SUMIF(项目类型,C1,'数据-汇总表'!D17:D26)+SUMIF(项目类型,C1,'数据-汇总表'!H17:H27))</f>
        <v>114.7</v>
      </c>
      <c r="M19" s="2428">
        <f>IF(C1="",'数据-汇总表'!D3,SUMIF(项目类型,C1,'数据-汇总表'!D17:D26))</f>
        <v>114.7</v>
      </c>
    </row>
    <row r="20" spans="1:35" ht="15">
      <c r="A20" s="2437"/>
      <c r="B20" s="1249" t="s">
        <v>2155</v>
      </c>
      <c r="C20" s="146">
        <f ca="1">SUMIF(INDIRECT("'"&amp;C4&amp;"'"&amp;"!A:A"),结果表!B20,INDIRECT("'"&amp;C4&amp;"'"&amp;"!B:B"))</f>
        <v>19229</v>
      </c>
      <c r="D20" s="147">
        <f ca="1">SUMIF(INDIRECT("'"&amp;D4&amp;"'"&amp;"!A:A"),结果表!B20,INDIRECT("'"&amp;D4&amp;"'"&amp;"!B:B"))</f>
        <v>12972</v>
      </c>
      <c r="E20" s="2437"/>
      <c r="F20" s="1249" t="s">
        <v>2155</v>
      </c>
      <c r="G20" s="148">
        <f ca="1">ROUND(C20*$C$18+D20*$D$18,0)</f>
        <v>16726</v>
      </c>
      <c r="H20" s="982" t="s">
        <v>2156</v>
      </c>
      <c r="I20" s="138"/>
    </row>
    <row r="21" spans="1:35" ht="15" customHeight="1" thickBot="1">
      <c r="A21" s="1002"/>
      <c r="B21" s="2438" t="s">
        <v>2157</v>
      </c>
      <c r="C21" s="788">
        <f ca="1">ROUND(C19*10000/L19,0)</f>
        <v>41935</v>
      </c>
      <c r="D21" s="789">
        <f ca="1">ROUND(D19*10000/L19,0)</f>
        <v>28248</v>
      </c>
      <c r="E21" s="1002"/>
      <c r="F21" s="2438" t="s">
        <v>2157</v>
      </c>
      <c r="G21" s="149">
        <f ca="1">ROUND(G19*10000/L19,0)</f>
        <v>36443</v>
      </c>
      <c r="H21" s="2439" t="s">
        <v>2156</v>
      </c>
      <c r="I21" s="138"/>
    </row>
    <row r="22" spans="1:35" ht="15" thickBot="1">
      <c r="A22" s="2280" t="s">
        <v>2158</v>
      </c>
      <c r="B22" s="2440"/>
      <c r="C22" s="2441"/>
      <c r="D22" s="790">
        <f ca="1">IF(C19&lt;D19,D19/C19-1,C19/D19-1)</f>
        <v>0.48456790123456783</v>
      </c>
      <c r="E22" s="138"/>
      <c r="F22" s="138"/>
      <c r="G22" s="138"/>
      <c r="H22" s="138"/>
      <c r="I22" s="138"/>
    </row>
    <row r="23" spans="1:35" ht="13.5" thickBot="1">
      <c r="A23" s="2418"/>
      <c r="B23" s="2418"/>
      <c r="C23" s="2418"/>
      <c r="D23" s="2418"/>
      <c r="E23" s="138"/>
      <c r="F23" s="138"/>
      <c r="G23" s="138"/>
      <c r="H23" s="138"/>
      <c r="I23" s="138"/>
    </row>
    <row r="24" spans="1:35" ht="14.25">
      <c r="A24" s="3160" t="s">
        <v>2159</v>
      </c>
      <c r="B24" s="2435" t="s">
        <v>2151</v>
      </c>
      <c r="C24" s="145">
        <f>IF(B30=0,0,D30)</f>
        <v>0</v>
      </c>
      <c r="D24" s="2442"/>
      <c r="E24" s="138"/>
      <c r="F24" s="138"/>
      <c r="G24" s="138"/>
      <c r="H24" s="138"/>
      <c r="I24" s="138"/>
    </row>
    <row r="25" spans="1:35" ht="14.25">
      <c r="A25" s="3161"/>
      <c r="B25" s="1249" t="s">
        <v>2155</v>
      </c>
      <c r="C25" s="150">
        <f>IF(B30=0,0,C30)</f>
        <v>0</v>
      </c>
      <c r="D25" s="2443"/>
      <c r="E25" s="138"/>
      <c r="F25" s="138"/>
      <c r="G25" s="138"/>
      <c r="H25" s="138"/>
      <c r="I25" s="138"/>
    </row>
    <row r="26" spans="1:35" ht="13.5" customHeight="1">
      <c r="A26" s="2444" t="s">
        <v>2160</v>
      </c>
      <c r="B26" s="151" t="s">
        <v>2161</v>
      </c>
      <c r="C26" s="151" t="s">
        <v>2162</v>
      </c>
      <c r="D26" s="152" t="s">
        <v>2163</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2164</v>
      </c>
      <c r="B30" s="151"/>
      <c r="C30" s="151"/>
      <c r="D30" s="151"/>
      <c r="E30" s="2927" t="s">
        <v>3034</v>
      </c>
      <c r="F30" s="138"/>
      <c r="G30" s="138"/>
      <c r="H30" s="138"/>
      <c r="I30" s="138"/>
    </row>
    <row r="31" spans="1:35" s="2446" customFormat="1" ht="15" thickBot="1">
      <c r="A31" s="2445"/>
      <c r="B31" s="2445"/>
      <c r="C31" s="2445"/>
      <c r="D31" s="2445"/>
      <c r="E31" s="138"/>
      <c r="F31" s="138"/>
      <c r="G31" s="138"/>
      <c r="H31" s="138"/>
      <c r="I31" s="138"/>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2165</v>
      </c>
      <c r="B32" s="2448"/>
      <c r="C32" s="153">
        <f ca="1">IF(D32="总价",G19-C24,G20-C25)</f>
        <v>418</v>
      </c>
      <c r="D32" s="2449" t="s">
        <v>2166</v>
      </c>
      <c r="E32" s="138"/>
      <c r="F32" s="138"/>
      <c r="G32" s="138"/>
      <c r="H32" s="138"/>
      <c r="I32" s="138"/>
    </row>
    <row r="33" spans="1:15" ht="15">
      <c r="A33" s="959" t="s">
        <v>2167</v>
      </c>
      <c r="B33" s="2450"/>
      <c r="C33" s="2451"/>
      <c r="D33" s="2452"/>
      <c r="E33" s="2453" t="s">
        <v>2168</v>
      </c>
      <c r="F33" s="2454" t="str">
        <f>IF(D32="楼面单价","取值（单价）","取值（总价）")</f>
        <v>取值（总价）</v>
      </c>
      <c r="G33" s="138"/>
      <c r="H33" s="138"/>
      <c r="I33" s="138"/>
    </row>
    <row r="34" spans="1:15" ht="15">
      <c r="A34" s="2455"/>
      <c r="B34" s="2456" t="s">
        <v>2169</v>
      </c>
      <c r="C34" s="157" t="e">
        <f ca="1">IF(C33="自定义",F34,C32-C35)</f>
        <v>#REF!</v>
      </c>
      <c r="D34" s="1057" t="e">
        <f ca="1">IF(C33="自定义",ROUND(C34/C32,3),IF(C33="收益比率",SUMIF(INDIRECT("'"&amp;D33&amp;"'"&amp;"!b:b"),"土地收益比率",INDIRECT("'"&amp;D33&amp;"'"&amp;"!c:c")),SUMIF(INDIRECT("'"&amp;D33&amp;"'"&amp;"!b:b"),"土地成本比率",INDIRECT("'"&amp;D33&amp;"'"&amp;"!c:c"))))</f>
        <v>#REF!</v>
      </c>
      <c r="E34" s="2457" t="s">
        <v>2170</v>
      </c>
      <c r="F34" s="1738"/>
      <c r="G34" s="138"/>
      <c r="H34" s="138"/>
      <c r="I34" s="138"/>
    </row>
    <row r="35" spans="1:15" ht="15.75" thickBot="1">
      <c r="A35" s="2458"/>
      <c r="B35" s="2459" t="s">
        <v>2171</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0" t="s">
        <v>2172</v>
      </c>
      <c r="F35" s="163"/>
      <c r="G35" s="138"/>
      <c r="H35" s="138"/>
      <c r="I35" s="138"/>
    </row>
    <row r="36" spans="1:15" ht="15.75" thickBot="1">
      <c r="A36" s="3140" t="s">
        <v>2173</v>
      </c>
      <c r="B36" s="2461" t="s">
        <v>2174</v>
      </c>
      <c r="C36" s="154"/>
      <c r="D36" s="2462"/>
      <c r="E36" s="2463"/>
      <c r="F36" s="2464"/>
      <c r="G36" s="138"/>
      <c r="H36" s="138"/>
      <c r="I36" s="138"/>
    </row>
    <row r="37" spans="1:15" ht="15.75" thickBot="1">
      <c r="A37" s="3141"/>
      <c r="B37" s="2266" t="s">
        <v>2175</v>
      </c>
      <c r="C37" s="156"/>
      <c r="D37" s="1394"/>
      <c r="E37" s="1394"/>
      <c r="F37" s="2464"/>
      <c r="G37" s="138"/>
      <c r="H37" s="138"/>
      <c r="I37" s="138"/>
    </row>
    <row r="38" spans="1:15" ht="15.75" thickBot="1">
      <c r="A38" s="3142"/>
      <c r="B38" s="2465" t="s">
        <v>2176</v>
      </c>
      <c r="C38" s="726"/>
      <c r="D38" s="2466" t="s">
        <v>2177</v>
      </c>
      <c r="E38" s="1394"/>
      <c r="F38" s="2464"/>
      <c r="G38" s="138"/>
      <c r="H38" s="138"/>
      <c r="I38" s="138"/>
    </row>
    <row r="39" spans="1:15" ht="15">
      <c r="A39" s="2437" t="s">
        <v>2178</v>
      </c>
      <c r="B39" s="2467" t="s">
        <v>2179</v>
      </c>
      <c r="C39" s="2468" t="s">
        <v>2180</v>
      </c>
      <c r="D39" s="2468" t="s">
        <v>2181</v>
      </c>
      <c r="E39" s="2469" t="s">
        <v>2182</v>
      </c>
      <c r="F39" s="2464"/>
      <c r="G39" s="138"/>
      <c r="H39" s="138"/>
      <c r="I39" s="138"/>
    </row>
    <row r="40" spans="1:15" ht="14.25">
      <c r="A40" s="2470" t="s">
        <v>2183</v>
      </c>
      <c r="B40" s="158"/>
      <c r="C40" s="159"/>
      <c r="D40" s="159"/>
      <c r="E40" s="160"/>
      <c r="F40" s="2464"/>
      <c r="G40" s="138"/>
      <c r="H40" s="138"/>
      <c r="I40" s="138"/>
    </row>
    <row r="41" spans="1:15" ht="14.25">
      <c r="A41" s="2470" t="s">
        <v>2184</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2185</v>
      </c>
      <c r="B44" s="2475"/>
      <c r="C44" s="2475"/>
      <c r="D44" s="2476"/>
      <c r="E44" s="2476"/>
      <c r="F44" s="2477"/>
      <c r="G44" s="2477"/>
      <c r="H44" s="2477"/>
      <c r="I44" s="2477"/>
      <c r="J44" s="2478" t="s">
        <v>2186</v>
      </c>
      <c r="K44" s="2479"/>
      <c r="L44" s="2479"/>
      <c r="M44" s="2479"/>
      <c r="N44" s="2479"/>
      <c r="O44" s="2479"/>
    </row>
    <row r="45" spans="1:15" ht="14.25" customHeight="1" thickBot="1">
      <c r="A45" s="3157" t="s">
        <v>2187</v>
      </c>
      <c r="B45" s="3158"/>
      <c r="C45" s="3159"/>
      <c r="D45" s="164">
        <f ca="1">ROUND(H101*F45,0)</f>
        <v>418</v>
      </c>
      <c r="E45" s="165" t="s">
        <v>2188</v>
      </c>
      <c r="F45" s="166">
        <v>1</v>
      </c>
      <c r="G45" s="167" t="s">
        <v>2189</v>
      </c>
      <c r="H45" s="138"/>
      <c r="I45" s="138"/>
      <c r="J45" s="3076" t="s">
        <v>2190</v>
      </c>
      <c r="K45" s="3076"/>
      <c r="L45" s="3076"/>
      <c r="M45" s="3076"/>
      <c r="N45" s="3076"/>
      <c r="O45" s="3076"/>
    </row>
    <row r="46" spans="1:15" ht="14.25" customHeight="1">
      <c r="A46" s="3154" t="s">
        <v>2191</v>
      </c>
      <c r="B46" s="3155"/>
      <c r="C46" s="3155"/>
      <c r="D46" s="3155"/>
      <c r="E46" s="3155"/>
      <c r="F46" s="3155"/>
      <c r="G46" s="3156"/>
      <c r="H46" s="2480"/>
      <c r="I46" s="168"/>
      <c r="J46" s="1809">
        <v>1</v>
      </c>
      <c r="K46" s="3076" t="s">
        <v>2192</v>
      </c>
      <c r="L46" s="3076"/>
      <c r="M46" s="3077"/>
      <c r="N46" s="3077"/>
      <c r="O46" s="3077"/>
    </row>
    <row r="47" spans="1:15" ht="12" customHeight="1">
      <c r="A47" s="169" t="s">
        <v>2193</v>
      </c>
      <c r="B47" s="170"/>
      <c r="C47" s="171"/>
      <c r="D47" s="172" t="s">
        <v>2194</v>
      </c>
      <c r="E47" s="24" t="s">
        <v>2195</v>
      </c>
      <c r="F47" s="173" t="s">
        <v>2196</v>
      </c>
      <c r="G47" s="174" t="s">
        <v>2197</v>
      </c>
      <c r="H47" s="2480"/>
      <c r="I47" s="168"/>
      <c r="J47" s="1809">
        <v>2</v>
      </c>
      <c r="K47" s="3076" t="s">
        <v>2198</v>
      </c>
      <c r="L47" s="3076"/>
      <c r="M47" s="3078">
        <f>'数据-取费表'!B2</f>
        <v>43296</v>
      </c>
      <c r="N47" s="3078"/>
      <c r="O47" s="3078"/>
    </row>
    <row r="48" spans="1:15" ht="25.5">
      <c r="A48" s="3144" t="s">
        <v>2199</v>
      </c>
      <c r="B48" s="3145"/>
      <c r="C48" s="3145"/>
      <c r="D48" s="140">
        <f>IF(H48="情况1",0,IF(H48="情况2",D52,IF(H48="情况3",D53,IF(H48="情况4",D54))))</f>
        <v>0</v>
      </c>
      <c r="E48" s="1798" t="str">
        <f>IF(H48="情况4","(销售额-原购置价)×税（费）率","销售额×税（费）率")</f>
        <v>销售额×税（费）率</v>
      </c>
      <c r="F48" s="175" t="str">
        <f>IF(H48="情况1","免征",'数据-取费表'!B41)</f>
        <v>免征</v>
      </c>
      <c r="G48" s="2481" t="s">
        <v>2200</v>
      </c>
      <c r="H48" s="2482" t="s">
        <v>2201</v>
      </c>
      <c r="I48" s="2480"/>
      <c r="J48" s="1809">
        <v>3</v>
      </c>
      <c r="K48" s="3076" t="s">
        <v>2202</v>
      </c>
      <c r="L48" s="3076"/>
      <c r="M48" s="3079">
        <f ca="1">H101</f>
        <v>418</v>
      </c>
      <c r="N48" s="3079"/>
      <c r="O48" s="3079"/>
    </row>
    <row r="49" spans="1:35" ht="25.5" customHeight="1">
      <c r="A49" s="176" t="s">
        <v>2203</v>
      </c>
      <c r="B49" s="3124" t="s">
        <v>2204</v>
      </c>
      <c r="C49" s="3124"/>
      <c r="D49" s="177">
        <v>0</v>
      </c>
      <c r="E49" s="23" t="s">
        <v>2205</v>
      </c>
      <c r="F49" s="28" t="s">
        <v>34</v>
      </c>
      <c r="G49" s="3105"/>
      <c r="H49" s="138"/>
      <c r="I49" s="2483"/>
      <c r="J49" s="1809">
        <v>4</v>
      </c>
      <c r="K49" s="3076" t="str">
        <f>IF(项目基本情况!E8="房地产抵押价值","房地产抵押价值","抵押担保权已注销时的房地产抵押价值")</f>
        <v>房地产抵押价值</v>
      </c>
      <c r="L49" s="3076"/>
      <c r="M49" s="3079">
        <f ca="1">IF(项目基本情况!E8="房地产抵押价值",H107,H109)</f>
        <v>418</v>
      </c>
      <c r="N49" s="3079"/>
      <c r="O49" s="3079"/>
    </row>
    <row r="50" spans="1:35" ht="25.5" customHeight="1">
      <c r="A50" s="178"/>
      <c r="B50" s="3124" t="s">
        <v>2206</v>
      </c>
      <c r="C50" s="3124"/>
      <c r="D50" s="179"/>
      <c r="E50" s="31"/>
      <c r="F50" s="180"/>
      <c r="G50" s="3106"/>
      <c r="H50" s="138"/>
      <c r="I50" s="2483"/>
      <c r="J50" s="3076" t="s">
        <v>2207</v>
      </c>
      <c r="K50" s="3076"/>
      <c r="L50" s="3076"/>
      <c r="M50" s="3076"/>
      <c r="N50" s="3076"/>
      <c r="O50" s="3076"/>
    </row>
    <row r="51" spans="1:35" ht="12" customHeight="1">
      <c r="A51" s="181"/>
      <c r="B51" s="3124" t="s">
        <v>2208</v>
      </c>
      <c r="C51" s="3124"/>
      <c r="D51" s="182"/>
      <c r="E51" s="30"/>
      <c r="F51" s="180"/>
      <c r="G51" s="3107"/>
      <c r="H51" s="138"/>
      <c r="I51" s="2483"/>
      <c r="J51" s="2484" t="s">
        <v>2209</v>
      </c>
      <c r="K51" s="3076" t="s">
        <v>2210</v>
      </c>
      <c r="L51" s="3076"/>
      <c r="M51" s="2484" t="s">
        <v>2211</v>
      </c>
      <c r="N51" s="2484" t="s">
        <v>2212</v>
      </c>
      <c r="O51" s="2484" t="s">
        <v>2213</v>
      </c>
    </row>
    <row r="52" spans="1:35" ht="24" customHeight="1">
      <c r="A52" s="183" t="s">
        <v>2214</v>
      </c>
      <c r="B52" s="3124" t="s">
        <v>2215</v>
      </c>
      <c r="C52" s="3124"/>
      <c r="D52" s="182">
        <f ca="1">ROUND(D45*'数据-取费表'!B41/(1+'数据-取费表'!C42),0)</f>
        <v>22</v>
      </c>
      <c r="E52" s="11" t="s">
        <v>2216</v>
      </c>
      <c r="F52" s="184">
        <f>'数据-取费表'!B41</f>
        <v>5.6000000000000001E-2</v>
      </c>
      <c r="G52" s="2485"/>
      <c r="H52" s="138"/>
      <c r="I52" s="2483"/>
      <c r="J52" s="1809">
        <v>1</v>
      </c>
      <c r="K52" s="3099" t="s">
        <v>2217</v>
      </c>
      <c r="L52" s="3099"/>
      <c r="M52" s="1753">
        <f>D48</f>
        <v>0</v>
      </c>
      <c r="N52" s="1809" t="str">
        <f>E48</f>
        <v>销售额×税（费）率</v>
      </c>
      <c r="O52" s="1754" t="str">
        <f>F48</f>
        <v>免征</v>
      </c>
    </row>
    <row r="53" spans="1:35" ht="12" customHeight="1">
      <c r="A53" s="183" t="s">
        <v>2218</v>
      </c>
      <c r="B53" s="3125" t="s">
        <v>2219</v>
      </c>
      <c r="C53" s="3126"/>
      <c r="D53" s="182">
        <f ca="1">ROUND(D45*'数据-取费表'!B41/(1+'数据-取费表'!C42),0)</f>
        <v>22</v>
      </c>
      <c r="E53" s="11" t="s">
        <v>2216</v>
      </c>
      <c r="F53" s="184">
        <f>'数据-取费表'!B41</f>
        <v>5.6000000000000001E-2</v>
      </c>
      <c r="G53" s="2485"/>
      <c r="H53" s="138"/>
      <c r="I53" s="2483"/>
      <c r="J53" s="1809">
        <v>2</v>
      </c>
      <c r="K53" s="3099" t="s">
        <v>2220</v>
      </c>
      <c r="L53" s="3099"/>
      <c r="M53" s="1753">
        <f t="shared" ref="M53:O54" ca="1" si="0">D55</f>
        <v>0</v>
      </c>
      <c r="N53" s="1809" t="str">
        <f t="shared" si="0"/>
        <v>销售额×税（费）率</v>
      </c>
      <c r="O53" s="1754">
        <f t="shared" si="0"/>
        <v>5.0000000000000001E-4</v>
      </c>
    </row>
    <row r="54" spans="1:35" ht="12" customHeight="1">
      <c r="A54" s="183" t="s">
        <v>2221</v>
      </c>
      <c r="B54" s="3125" t="s">
        <v>2222</v>
      </c>
      <c r="C54" s="3126"/>
      <c r="D54" s="182">
        <f ca="1">C68</f>
        <v>22</v>
      </c>
      <c r="E54" s="30" t="s">
        <v>2223</v>
      </c>
      <c r="F54" s="184">
        <f>'数据-取费表'!B41</f>
        <v>5.6000000000000001E-2</v>
      </c>
      <c r="G54" s="2485"/>
      <c r="H54" s="2486"/>
      <c r="I54" s="2483"/>
      <c r="J54" s="1809">
        <v>3</v>
      </c>
      <c r="K54" s="3099" t="s">
        <v>2224</v>
      </c>
      <c r="L54" s="3099"/>
      <c r="M54" s="1753">
        <f t="shared" ca="1" si="0"/>
        <v>237</v>
      </c>
      <c r="N54" s="1809" t="str">
        <f t="shared" si="0"/>
        <v>增值额×税（费）率</v>
      </c>
      <c r="O54" s="1755" t="str">
        <f t="shared" si="0"/>
        <v>——</v>
      </c>
    </row>
    <row r="55" spans="1:35" ht="24" customHeight="1">
      <c r="A55" s="3163" t="s">
        <v>2225</v>
      </c>
      <c r="B55" s="3145"/>
      <c r="C55" s="3145"/>
      <c r="D55" s="185">
        <f ca="1">IF(H55="个人住宅",0,ROUND(D45*I55,0))</f>
        <v>0</v>
      </c>
      <c r="E55" s="11" t="s">
        <v>2226</v>
      </c>
      <c r="F55" s="184">
        <f>IF(H55="正常",I55,"免征")</f>
        <v>5.0000000000000001E-4</v>
      </c>
      <c r="G55" s="2485"/>
      <c r="H55" s="2482" t="s">
        <v>2227</v>
      </c>
      <c r="I55" s="186">
        <f>'数据-取费表'!B49</f>
        <v>5.0000000000000001E-4</v>
      </c>
      <c r="J55" s="1809" t="str">
        <f>IF(H59="非个人房产","",4)</f>
        <v/>
      </c>
      <c r="K55" s="3099" t="str">
        <f>IF(H59="非个人房产","——","个人所得税")</f>
        <v>——</v>
      </c>
      <c r="L55" s="3099"/>
      <c r="M55" s="1756" t="str">
        <f>D59</f>
        <v>——</v>
      </c>
      <c r="N55" s="1807" t="str">
        <f>E59</f>
        <v>——</v>
      </c>
      <c r="O55" s="1757" t="str">
        <f>F59</f>
        <v>——</v>
      </c>
    </row>
    <row r="56" spans="1:35" ht="24.75">
      <c r="A56" s="3163" t="s">
        <v>2228</v>
      </c>
      <c r="B56" s="3145"/>
      <c r="C56" s="3145"/>
      <c r="D56" s="185">
        <f ca="1">IF(H56="个人住宅",D57,D58)</f>
        <v>237</v>
      </c>
      <c r="E56" s="11" t="s">
        <v>2229</v>
      </c>
      <c r="F56" s="184" t="str">
        <f>IF(H56="正常",F58,"免征")</f>
        <v>——</v>
      </c>
      <c r="G56" s="2487" t="s">
        <v>2230</v>
      </c>
      <c r="H56" s="2488" t="s">
        <v>2227</v>
      </c>
      <c r="I56" s="2489"/>
      <c r="J56" s="1809" t="str">
        <f>IF(项目基本情况!K6="上海银行",IF(J55="",4,J55+1),"")</f>
        <v/>
      </c>
      <c r="K56" s="3082" t="str">
        <f>IF(项目基本情况!K6="上海银行","其他处置费用","")</f>
        <v/>
      </c>
      <c r="L56" s="3083"/>
      <c r="M56" s="1753" t="str">
        <f>IF(项目基本情况!K6="上海银行",M69,"")</f>
        <v/>
      </c>
      <c r="N56" s="3085" t="str">
        <f>IF(项目基本情况!K6="上海银行","包含处置中涉及的律师、诉讼、拍卖、评估等费用","")</f>
        <v/>
      </c>
      <c r="O56" s="3086"/>
    </row>
    <row r="57" spans="1:35" ht="12.75">
      <c r="A57" s="183" t="s">
        <v>2203</v>
      </c>
      <c r="B57" s="3130" t="s">
        <v>2231</v>
      </c>
      <c r="C57" s="3131"/>
      <c r="D57" s="187">
        <v>0</v>
      </c>
      <c r="E57" s="23" t="s">
        <v>2205</v>
      </c>
      <c r="F57" s="155"/>
      <c r="G57" s="2485"/>
      <c r="H57" s="2489"/>
      <c r="I57" s="2489"/>
      <c r="J57" s="3099">
        <f>IF(AND(J55="",J56=""),4,IF(项目基本情况!K6="上海银行",结果表!J56+1,结果表!J55+1))</f>
        <v>4</v>
      </c>
      <c r="K57" s="3099" t="s">
        <v>2232</v>
      </c>
      <c r="L57" s="2490" t="s">
        <v>2233</v>
      </c>
      <c r="M57" s="1758"/>
      <c r="N57" s="1759">
        <f ca="1">SUMIF(M52:M56,"&lt;9e307")</f>
        <v>237</v>
      </c>
      <c r="O57" s="2491"/>
      <c r="P57" s="1752">
        <f ca="1">N57/M49</f>
        <v>0.56698564593301437</v>
      </c>
    </row>
    <row r="58" spans="1:35" ht="24.75">
      <c r="A58" s="183" t="s">
        <v>2214</v>
      </c>
      <c r="B58" s="3130" t="s">
        <v>2234</v>
      </c>
      <c r="C58" s="3143"/>
      <c r="D58" s="185">
        <f ca="1">IF(H58="转让取得",C81,C97)</f>
        <v>237</v>
      </c>
      <c r="E58" s="11" t="s">
        <v>2229</v>
      </c>
      <c r="F58" s="24" t="s">
        <v>34</v>
      </c>
      <c r="G58" s="2485"/>
      <c r="H58" s="2488" t="s">
        <v>2235</v>
      </c>
      <c r="I58" s="2489"/>
      <c r="J58" s="3099"/>
      <c r="K58" s="3099"/>
      <c r="L58" s="2490" t="s">
        <v>2236</v>
      </c>
      <c r="M58" s="1760"/>
      <c r="N58" s="2492" t="str">
        <f ca="1">NUMBERSTRING(INT(N57*10000),2)&amp;"元整"</f>
        <v>贰佰叁拾柒万元整</v>
      </c>
      <c r="O58" s="2493"/>
    </row>
    <row r="59" spans="1:35" ht="24.75" thickBot="1">
      <c r="A59" s="3103" t="s">
        <v>2237</v>
      </c>
      <c r="B59" s="3104"/>
      <c r="C59" s="3104"/>
      <c r="D59" s="188" t="str">
        <f>IF(H59="非个人房产","——",IF(H59="个人住宅",0,ROUND(D45*I59,0)))</f>
        <v>——</v>
      </c>
      <c r="E59" s="189" t="str">
        <f>IF(H59="非个人房产","——","销售额×税（费）率")</f>
        <v>——</v>
      </c>
      <c r="F59" s="190" t="str">
        <f>IF(H59="非个人房产","——",IF(H59="个人住宅","免征",I59))</f>
        <v>——</v>
      </c>
      <c r="G59" s="2494" t="s">
        <v>2230</v>
      </c>
      <c r="H59" s="2488" t="s">
        <v>2238</v>
      </c>
      <c r="I59" s="191">
        <v>0.01</v>
      </c>
      <c r="J59" s="3101">
        <f>J57+1</f>
        <v>5</v>
      </c>
      <c r="K59" s="3099" t="s">
        <v>2239</v>
      </c>
      <c r="L59" s="1809" t="s">
        <v>2233</v>
      </c>
      <c r="M59" s="1761"/>
      <c r="N59" s="1762">
        <f ca="1">M49-N57</f>
        <v>181</v>
      </c>
      <c r="O59" s="2495"/>
    </row>
    <row r="60" spans="1:35" ht="12" customHeight="1">
      <c r="A60" s="2496"/>
      <c r="B60" s="2418"/>
      <c r="C60" s="2418"/>
      <c r="D60" s="2418"/>
      <c r="E60" s="2166"/>
      <c r="F60" s="2489"/>
      <c r="G60" s="2489"/>
      <c r="H60" s="2497"/>
      <c r="I60" s="138"/>
      <c r="J60" s="3102"/>
      <c r="K60" s="3099"/>
      <c r="L60" s="2490" t="s">
        <v>2236</v>
      </c>
      <c r="M60" s="1760"/>
      <c r="N60" s="2492" t="str">
        <f ca="1">NUMBERSTRING(INT(N59*10000),2)&amp;"元整"</f>
        <v>壹佰捌拾壹万元整</v>
      </c>
      <c r="O60" s="2493"/>
    </row>
    <row r="61" spans="1:35" ht="13.5" thickBot="1">
      <c r="A61" s="3162" t="s">
        <v>2240</v>
      </c>
      <c r="B61" s="3162"/>
      <c r="C61" s="3162"/>
      <c r="D61" s="3162"/>
      <c r="E61" s="3162"/>
      <c r="F61" s="2489"/>
      <c r="G61" s="2489"/>
      <c r="H61" s="2497"/>
      <c r="I61" s="138"/>
      <c r="J61" s="1809">
        <f>J59+1</f>
        <v>6</v>
      </c>
      <c r="K61" s="3099" t="s">
        <v>2241</v>
      </c>
      <c r="L61" s="3099"/>
      <c r="M61" s="1763"/>
      <c r="N61" s="1764">
        <f ca="1">ROUND(N59*10000/'数据-汇总表'!E3,0)</f>
        <v>7241</v>
      </c>
      <c r="O61" s="2498"/>
    </row>
    <row r="62" spans="1:35" ht="12.75">
      <c r="A62" s="3119" t="s">
        <v>2242</v>
      </c>
      <c r="B62" s="3120"/>
      <c r="C62" s="1801"/>
      <c r="D62" s="1801" t="s">
        <v>2243</v>
      </c>
      <c r="E62" s="192" t="s">
        <v>2244</v>
      </c>
      <c r="F62" s="2489"/>
      <c r="G62" s="2489"/>
      <c r="H62" s="2497"/>
      <c r="I62" s="138"/>
    </row>
    <row r="63" spans="1:35" ht="12.75">
      <c r="A63" s="203" t="s">
        <v>775</v>
      </c>
      <c r="B63" s="193" t="s">
        <v>2245</v>
      </c>
      <c r="C63" s="194">
        <f ca="1">ROUND((C64+C65)/(1+'数据-取费表'!C42),0)</f>
        <v>398</v>
      </c>
      <c r="D63" s="195"/>
      <c r="E63" s="196"/>
      <c r="F63" s="2489"/>
      <c r="G63" s="2489"/>
      <c r="H63" s="2497"/>
      <c r="I63" s="138"/>
      <c r="J63" s="3084" t="s">
        <v>2246</v>
      </c>
      <c r="K63" s="2499" t="s">
        <v>2247</v>
      </c>
      <c r="L63" s="1751">
        <f ca="1">IF(M49&gt;10000,M49*0.5%,IF(AND(M49&gt;1000,M49&lt;=10000),M49*1%,IF(AND(M49&gt;100,M49&lt;=1000),M49*3%,IF(AND(M49&gt;10,M49&lt;=100),M49*5%,M49*8%))))</f>
        <v>12.54</v>
      </c>
      <c r="M63" s="24">
        <f ca="1">ROUND(L63,1)</f>
        <v>12.5</v>
      </c>
      <c r="Z63" s="2423"/>
      <c r="AI63" s="2424"/>
    </row>
    <row r="64" spans="1:35" ht="14.25" customHeight="1">
      <c r="A64" s="197" t="s">
        <v>770</v>
      </c>
      <c r="B64" s="198" t="s">
        <v>2248</v>
      </c>
      <c r="C64" s="199">
        <f ca="1">D45</f>
        <v>418</v>
      </c>
      <c r="D64" s="200" t="s">
        <v>32</v>
      </c>
      <c r="E64" s="201"/>
      <c r="F64" s="2489"/>
      <c r="G64" s="2489"/>
      <c r="H64" s="2497"/>
      <c r="I64" s="138"/>
      <c r="J64" s="3084"/>
      <c r="K64" s="2499" t="s">
        <v>2249</v>
      </c>
      <c r="L64" s="1751">
        <f ca="1">IF(M49&gt;2000,M49*0.5%,IF(AND(M49&gt;1000,M49&lt;=2000),M49*0.6%,IF(AND(M49&gt;500,M49&lt;=1000),M49*0.7%,IF(AND(M49&gt;200,M49&lt;=500),M49*0.8%,IF(AND(M49&gt;100,M49&lt;=200),M49*0.9%,IF(AND(M49&gt;50,M49&lt;=100),M49*1%,IF(AND(M49&gt;20,M49&lt;=50),M49*1.5%,IF(AND(M49&gt;10,M49&lt;=20),M49*2%,IF(AND(M49&gt;1,M49&lt;=10),M49*2.5%)))))))))</f>
        <v>3.3439999999999999</v>
      </c>
      <c r="M64" s="24">
        <f t="shared" ref="M64:M65" ca="1" si="1">ROUND(L64,1)</f>
        <v>3.3</v>
      </c>
      <c r="N64" s="138" t="s">
        <v>2250</v>
      </c>
      <c r="Z64" s="2423"/>
      <c r="AI64" s="2424"/>
    </row>
    <row r="65" spans="1:35" ht="14.25" customHeight="1">
      <c r="A65" s="197" t="s">
        <v>771</v>
      </c>
      <c r="B65" s="198" t="s">
        <v>2251</v>
      </c>
      <c r="C65" s="202"/>
      <c r="D65" s="200"/>
      <c r="E65" s="201"/>
      <c r="F65" s="2489"/>
      <c r="G65" s="2489"/>
      <c r="H65" s="2497"/>
      <c r="I65" s="138"/>
      <c r="J65" s="3084"/>
      <c r="K65" s="2499" t="s">
        <v>2252</v>
      </c>
      <c r="L65" s="1751">
        <f ca="1">IF(M49&gt;1000,M49*0.1%,IF(AND(M49&gt;500,M49&lt;=1000),M49*0.5%,IF(AND(M49&gt;50,M49&lt;=500),M49*1%,IF(AND(M49&gt;1,M49&lt;=50),M49*1.5%))))</f>
        <v>4.18</v>
      </c>
      <c r="M65" s="24">
        <f t="shared" ca="1" si="1"/>
        <v>4.2</v>
      </c>
      <c r="N65" s="138" t="s">
        <v>2250</v>
      </c>
      <c r="Z65" s="2423"/>
      <c r="AI65" s="2424"/>
    </row>
    <row r="66" spans="1:35" ht="14.25" customHeight="1">
      <c r="A66" s="203" t="s">
        <v>772</v>
      </c>
      <c r="B66" s="204" t="s">
        <v>2253</v>
      </c>
      <c r="C66" s="205"/>
      <c r="D66" s="206" t="s">
        <v>32</v>
      </c>
      <c r="E66" s="1773" t="s">
        <v>1371</v>
      </c>
      <c r="F66" s="2489"/>
      <c r="G66" s="2489"/>
      <c r="H66" s="2497"/>
      <c r="I66" s="138"/>
      <c r="J66" s="3084"/>
      <c r="K66" s="2499" t="s">
        <v>2254</v>
      </c>
      <c r="L66" s="1751">
        <f ca="1">M49*0.5%</f>
        <v>2.09</v>
      </c>
      <c r="M66" s="24">
        <f ca="1">IF(L66&gt;0.5,0.5,ROUND(L66,0))</f>
        <v>0.5</v>
      </c>
      <c r="N66" s="138" t="s">
        <v>2255</v>
      </c>
      <c r="Z66" s="2423"/>
      <c r="AI66" s="2424"/>
    </row>
    <row r="67" spans="1:35" ht="14.25" customHeight="1">
      <c r="A67" s="203" t="s">
        <v>773</v>
      </c>
      <c r="B67" s="204" t="s">
        <v>2256</v>
      </c>
      <c r="C67" s="207">
        <f ca="1">C63-C66</f>
        <v>398</v>
      </c>
      <c r="D67" s="200" t="s">
        <v>32</v>
      </c>
      <c r="E67" s="201"/>
      <c r="F67" s="2489"/>
      <c r="G67" s="2489"/>
      <c r="H67" s="2497"/>
      <c r="I67" s="138"/>
      <c r="J67" s="3084"/>
      <c r="K67" s="2499" t="s">
        <v>2257</v>
      </c>
      <c r="L67" s="1751">
        <f ca="1">IF(M49&gt;=10000,(8.25+(M49-10000)*0.01%),IF(AND(M49&gt;=8000,M49&lt;10000),(7.85+(M49-8000)*0.02%),IF(AND(M49&gt;=5000,M49&lt;8000),(6.65+(M49-5000)*0.04%),IF(AND(M49&gt;=2000,M49&lt;5000),(4.25+(PM49-2000)*0.08%),IF(AND(M49&gt;=1000,M49&lt;2000),(2.75+(M49-1000)*0.15%),IF(AND(M49&gt;=100,M49&lt;1000),(0.5+(M49-100)*0.25%),IF(AND(M49&gt;0,M49&lt;100),M49*0.5%)))))))</f>
        <v>1.2949999999999999</v>
      </c>
      <c r="M67" s="24">
        <f ca="1">ROUND(L67*0.9,1)</f>
        <v>1.2</v>
      </c>
      <c r="Z67" s="2423"/>
      <c r="AI67" s="2424"/>
    </row>
    <row r="68" spans="1:35" ht="14.25" customHeight="1" thickBot="1">
      <c r="A68" s="208" t="s">
        <v>774</v>
      </c>
      <c r="B68" s="209" t="s">
        <v>2258</v>
      </c>
      <c r="C68" s="210">
        <f ca="1">IF(C67&lt;=0,0,ROUND(C67*D68,0))</f>
        <v>22</v>
      </c>
      <c r="D68" s="211">
        <f>'数据-取费表'!B41</f>
        <v>5.6000000000000001E-2</v>
      </c>
      <c r="E68" s="212"/>
      <c r="F68" s="2489"/>
      <c r="G68" s="2489"/>
      <c r="H68" s="2497"/>
      <c r="I68" s="138"/>
      <c r="J68" s="3084"/>
      <c r="K68" s="2499" t="s">
        <v>2259</v>
      </c>
      <c r="L68" s="1751">
        <f ca="1">IF(M49&gt;10000,M49*0.5%,IF(AND(M49&gt;5000,M49&lt;=10000),M49*1%,IF(AND(M49&gt;1000,M49&lt;=5000),M49*2%,IF(AND(M49&gt;200,M49&lt;=1000),M49*3%,M49*5%))))</f>
        <v>12.54</v>
      </c>
      <c r="M68" s="24">
        <f ca="1">ROUND(L68,1)</f>
        <v>12.5</v>
      </c>
      <c r="Z68" s="2423"/>
      <c r="AI68" s="2424"/>
    </row>
    <row r="69" spans="1:35" s="2446" customFormat="1" ht="16.5" customHeight="1">
      <c r="A69" s="2500"/>
      <c r="B69" s="2501"/>
      <c r="C69" s="2502"/>
      <c r="D69" s="2503"/>
      <c r="E69" s="2504"/>
      <c r="F69" s="2166"/>
      <c r="G69" s="2166"/>
      <c r="H69" s="2165"/>
      <c r="I69" s="2418"/>
      <c r="J69" s="3084"/>
      <c r="K69" s="2499" t="s">
        <v>2260</v>
      </c>
      <c r="L69" s="2505"/>
      <c r="M69" s="24">
        <f ca="1">ROUND(SUM(M63:M68),0)</f>
        <v>34</v>
      </c>
      <c r="N69" s="1752">
        <f ca="1">M69/M49</f>
        <v>8.1339712918660281E-2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28" t="s">
        <v>2261</v>
      </c>
      <c r="B70" s="3129"/>
      <c r="C70" s="3129"/>
      <c r="D70" s="3129"/>
      <c r="E70" s="3129"/>
      <c r="F70" s="3129"/>
      <c r="G70" s="3129"/>
      <c r="H70" s="312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19" t="s">
        <v>2242</v>
      </c>
      <c r="B71" s="3120"/>
      <c r="C71" s="1801"/>
      <c r="D71" s="1801" t="s">
        <v>2243</v>
      </c>
      <c r="E71" s="213" t="s">
        <v>2244</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2262</v>
      </c>
      <c r="C72" s="207">
        <f ca="1">ROUND(D45/(1+'数据-取费表'!C42),0)</f>
        <v>398</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2263</v>
      </c>
      <c r="C73" s="207">
        <f ca="1">C74+C78</f>
        <v>2</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2264</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2265</v>
      </c>
      <c r="C75" s="218"/>
      <c r="D75" s="200" t="s">
        <v>32</v>
      </c>
      <c r="E75" s="219" t="s">
        <v>2266</v>
      </c>
      <c r="F75" s="2511" t="s">
        <v>2267</v>
      </c>
      <c r="G75" s="219" t="s">
        <v>2268</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2269</v>
      </c>
      <c r="C76" s="200">
        <f>IF(F75="购房发票",ROUND(C75*H75*D76,0),0)</f>
        <v>0</v>
      </c>
      <c r="D76" s="222">
        <v>0.05</v>
      </c>
      <c r="E76" s="3125" t="s">
        <v>2270</v>
      </c>
      <c r="F76" s="3124"/>
      <c r="G76" s="3124"/>
      <c r="H76" s="312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3" t="s">
        <v>2273</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2274</v>
      </c>
      <c r="C78" s="225">
        <f ca="1">ROUND(D45*D78/(1+'数据-取费表'!C42),0)</f>
        <v>2</v>
      </c>
      <c r="D78" s="226">
        <f>'数据-取费表'!B43</f>
        <v>6.000000000000001E-3</v>
      </c>
      <c r="E78" s="3116" t="s">
        <v>2275</v>
      </c>
      <c r="F78" s="3117"/>
      <c r="G78" s="3117"/>
      <c r="H78" s="311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2276</v>
      </c>
      <c r="C79" s="207">
        <f ca="1">C72-C73</f>
        <v>396</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2277</v>
      </c>
      <c r="C80" s="227">
        <f ca="1">IF(C79&lt;=0,0,C79/C73)</f>
        <v>198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2278</v>
      </c>
      <c r="C81" s="228">
        <f ca="1">ROUND(IF(C79&lt;=0,0,IF(C80&gt;=200%,C79*60%-C73*35%,IF(C80&gt;=100%,C79*50%-C73*15%,IF(C80&gt;=50%,C79*40%-C73*5%,IF(C80&lt;50%,C79*30%,0))))),0)</f>
        <v>237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8" t="s">
        <v>2279</v>
      </c>
      <c r="B83" s="3129"/>
      <c r="C83" s="3129"/>
      <c r="D83" s="3129"/>
      <c r="E83" s="3129"/>
      <c r="F83" s="3129"/>
      <c r="G83" s="3129"/>
      <c r="H83" s="312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19" t="s">
        <v>2242</v>
      </c>
      <c r="B84" s="3120"/>
      <c r="C84" s="1801"/>
      <c r="D84" s="1801" t="s">
        <v>2243</v>
      </c>
      <c r="E84" s="213" t="s">
        <v>2244</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2262</v>
      </c>
      <c r="C85" s="207">
        <f ca="1">ROUND(D45/(1+'数据-取费表'!C42),0)</f>
        <v>398</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2263</v>
      </c>
      <c r="C86" s="207">
        <f ca="1">IF(H88="仅含出让金",C87+C90+C91+C92+C93+C94,C87+C91+C92+C93+C94)</f>
        <v>2</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2280</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2281</v>
      </c>
      <c r="C88" s="236"/>
      <c r="D88" s="226"/>
      <c r="E88" s="237" t="s">
        <v>2282</v>
      </c>
      <c r="F88" s="1797"/>
      <c r="G88" s="238" t="s">
        <v>2283</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2271</v>
      </c>
      <c r="C89" s="225">
        <f>ROUND(C88*D89,0)</f>
        <v>0</v>
      </c>
      <c r="D89" s="226">
        <f>'数据-取费表'!B48+'数据-取费表'!B49</f>
        <v>3.0499999999999999E-2</v>
      </c>
      <c r="E89" s="237" t="s">
        <v>2284</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2285</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2286</v>
      </c>
      <c r="B91" s="198" t="s">
        <v>2287</v>
      </c>
      <c r="C91" s="225">
        <f>IF(H91="——",成本法!C33,I91)</f>
        <v>0</v>
      </c>
      <c r="D91" s="226"/>
      <c r="E91" s="3116" t="s">
        <v>2288</v>
      </c>
      <c r="F91" s="3117"/>
      <c r="G91" s="3117"/>
      <c r="H91" s="2518" t="s">
        <v>2289</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2290</v>
      </c>
      <c r="B92" s="198" t="s">
        <v>2291</v>
      </c>
      <c r="C92" s="225">
        <f>ROUND((C87+C90+C91)*D92,0)</f>
        <v>0</v>
      </c>
      <c r="D92" s="226">
        <v>0.1</v>
      </c>
      <c r="E92" s="3116" t="s">
        <v>2292</v>
      </c>
      <c r="F92" s="3117"/>
      <c r="G92" s="3117"/>
      <c r="H92" s="311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2293</v>
      </c>
      <c r="B93" s="198" t="s">
        <v>2274</v>
      </c>
      <c r="C93" s="225">
        <f ca="1">ROUND(D45*D93/(1+'数据-取费表'!C42),0)</f>
        <v>2</v>
      </c>
      <c r="D93" s="226">
        <f>'数据-取费表'!B43</f>
        <v>6.000000000000001E-3</v>
      </c>
      <c r="E93" s="3116" t="s">
        <v>2275</v>
      </c>
      <c r="F93" s="3117"/>
      <c r="G93" s="3117"/>
      <c r="H93" s="311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2294</v>
      </c>
      <c r="B94" s="198" t="s">
        <v>2295</v>
      </c>
      <c r="C94" s="236">
        <f>ROUND((C87+C90+C91)*D94,0)</f>
        <v>0</v>
      </c>
      <c r="D94" s="226">
        <v>0.2</v>
      </c>
      <c r="E94" s="3164" t="s">
        <v>2296</v>
      </c>
      <c r="F94" s="3165"/>
      <c r="G94" s="3165"/>
      <c r="H94" s="316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2276</v>
      </c>
      <c r="C95" s="207">
        <f ca="1">ROUND(C85-C86,0)</f>
        <v>396</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2277</v>
      </c>
      <c r="C96" s="227">
        <f ca="1">IF(C95&lt;=0,0,C95/C86)</f>
        <v>198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2278</v>
      </c>
      <c r="C97" s="228">
        <f ca="1">ROUND(IF(C95&lt;=0,0,IF(C96&gt;=200%,C95*60%-C86*35%,IF(C96&gt;=100%,C95*50%-C86*15%,IF(C96&gt;=50%,C95*40%-C86*5%,IF(C96&lt;50%,C95*30%,0))))),0)</f>
        <v>237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2297</v>
      </c>
      <c r="B99" s="2418"/>
      <c r="C99" s="2418"/>
      <c r="D99" s="2418"/>
      <c r="E99" s="2166"/>
      <c r="F99" s="2166"/>
      <c r="G99" s="2166"/>
      <c r="H99" s="2165"/>
      <c r="I99" s="138"/>
    </row>
    <row r="100" spans="1:35" ht="18.75" customHeight="1">
      <c r="A100" s="3068" t="s">
        <v>2298</v>
      </c>
      <c r="B100" s="3069"/>
      <c r="C100" s="3069"/>
      <c r="D100" s="3100"/>
      <c r="E100" s="3069" t="s">
        <v>2299</v>
      </c>
      <c r="F100" s="3069"/>
      <c r="G100" s="3069"/>
      <c r="H100" s="3100"/>
      <c r="I100" s="138"/>
    </row>
    <row r="101" spans="1:35" ht="18.75" customHeight="1">
      <c r="A101" s="3108" t="s">
        <v>2300</v>
      </c>
      <c r="B101" s="3109"/>
      <c r="C101" s="735" t="str">
        <f>C4</f>
        <v>比较法-商业</v>
      </c>
      <c r="D101" s="736" t="str">
        <f>D4</f>
        <v>收益法 (元)</v>
      </c>
      <c r="E101" s="3080" t="s">
        <v>2301</v>
      </c>
      <c r="F101" s="3081"/>
      <c r="G101" s="2520" t="s">
        <v>2302</v>
      </c>
      <c r="H101" s="1047">
        <f ca="1">H118</f>
        <v>418</v>
      </c>
      <c r="I101" s="138"/>
    </row>
    <row r="102" spans="1:35" ht="18.75" customHeight="1">
      <c r="A102" s="3110" t="s">
        <v>2303</v>
      </c>
      <c r="B102" s="2520" t="s">
        <v>2302</v>
      </c>
      <c r="C102" s="735">
        <f ca="1">C19</f>
        <v>481</v>
      </c>
      <c r="D102" s="736">
        <f ca="1">D19</f>
        <v>324</v>
      </c>
      <c r="E102" s="3080"/>
      <c r="F102" s="3081"/>
      <c r="G102" s="2520" t="s">
        <v>2304</v>
      </c>
      <c r="H102" s="371">
        <f ca="1">I118</f>
        <v>16723</v>
      </c>
      <c r="I102" s="138"/>
    </row>
    <row r="103" spans="1:35" ht="42.75" customHeight="1">
      <c r="A103" s="3110"/>
      <c r="B103" s="2520" t="s">
        <v>2304</v>
      </c>
      <c r="C103" s="737">
        <f ca="1">C20</f>
        <v>19229</v>
      </c>
      <c r="D103" s="738">
        <f ca="1">D20</f>
        <v>12972</v>
      </c>
      <c r="E103" s="3074" t="s">
        <v>2305</v>
      </c>
      <c r="F103" s="3075"/>
      <c r="G103" s="2521" t="s">
        <v>2306</v>
      </c>
      <c r="H103" s="1047">
        <f>IF(D36="正常操作",H104+H105+H106,H105+H106)</f>
        <v>0</v>
      </c>
      <c r="I103" s="138"/>
    </row>
    <row r="104" spans="1:35" ht="18.75" customHeight="1">
      <c r="A104" s="3110" t="s">
        <v>2307</v>
      </c>
      <c r="B104" s="2522" t="s">
        <v>2302</v>
      </c>
      <c r="C104" s="739">
        <f ca="1">H118</f>
        <v>418</v>
      </c>
      <c r="D104" s="740"/>
      <c r="E104" s="2266" t="s">
        <v>2308</v>
      </c>
      <c r="F104" s="2257"/>
      <c r="G104" s="2521" t="s">
        <v>2306</v>
      </c>
      <c r="H104" s="1048">
        <f>IF(D36="同一抵押权人同一抵押物续贷",C36&amp;"（未扣减，详见特别提示）",C36)</f>
        <v>0</v>
      </c>
      <c r="I104" s="138"/>
    </row>
    <row r="105" spans="1:35" ht="18.75" customHeight="1" thickBot="1">
      <c r="A105" s="3122"/>
      <c r="B105" s="2523" t="s">
        <v>2304</v>
      </c>
      <c r="C105" s="741">
        <f ca="1">I118</f>
        <v>16723</v>
      </c>
      <c r="D105" s="742"/>
      <c r="E105" s="2266" t="s">
        <v>2309</v>
      </c>
      <c r="F105" s="2257"/>
      <c r="G105" s="2521" t="s">
        <v>2306</v>
      </c>
      <c r="H105" s="1048">
        <f>C37</f>
        <v>0</v>
      </c>
      <c r="I105" s="138"/>
    </row>
    <row r="106" spans="1:35" ht="18.75" customHeight="1">
      <c r="A106" s="2418" t="s">
        <v>2310</v>
      </c>
      <c r="B106" s="2418"/>
      <c r="C106" s="2418"/>
      <c r="D106" s="2418"/>
      <c r="E106" s="2524" t="s">
        <v>2311</v>
      </c>
      <c r="F106" s="2257"/>
      <c r="G106" s="2521" t="s">
        <v>2306</v>
      </c>
      <c r="H106" s="1048">
        <f>C38</f>
        <v>0</v>
      </c>
      <c r="I106" s="138"/>
    </row>
    <row r="107" spans="1:35" ht="18.75" customHeight="1">
      <c r="A107" s="138"/>
      <c r="B107" s="138"/>
      <c r="C107" s="138"/>
      <c r="D107" s="138"/>
      <c r="E107" s="3111" t="str">
        <f>IF(项目基本情况!E8="已注销","——","3.房地产抵押价值")</f>
        <v>3.房地产抵押价值</v>
      </c>
      <c r="F107" s="3081"/>
      <c r="G107" s="2520" t="s">
        <v>2302</v>
      </c>
      <c r="H107" s="1047">
        <f ca="1">IF(E107="——","——",H101-H103)</f>
        <v>418</v>
      </c>
      <c r="I107" s="138"/>
    </row>
    <row r="108" spans="1:35" ht="18.75" customHeight="1">
      <c r="A108" s="138"/>
      <c r="B108" s="138"/>
      <c r="C108" s="138"/>
      <c r="D108" s="138"/>
      <c r="E108" s="3111"/>
      <c r="F108" s="3081"/>
      <c r="G108" s="2520" t="s">
        <v>2304</v>
      </c>
      <c r="H108" s="371">
        <f ca="1">ROUND(H107*10000/'数据-汇总表'!E3,0)</f>
        <v>16723</v>
      </c>
      <c r="I108" s="138"/>
    </row>
    <row r="109" spans="1:35" ht="18.75" customHeight="1">
      <c r="A109" s="138"/>
      <c r="B109" s="138"/>
      <c r="C109" s="138"/>
      <c r="D109" s="138"/>
      <c r="E109" s="3111" t="str">
        <f>IF(项目基本情况!E8="已注销及未注销","4.抵押担保权已注销时的房地产抵押价值",IF(项目基本情况!E8="已注销","3.抵押担保权已注销时的房地产抵押价值","——"))</f>
        <v>——</v>
      </c>
      <c r="F109" s="3081"/>
      <c r="G109" s="2520" t="s">
        <v>2302</v>
      </c>
      <c r="H109" s="348" t="str">
        <f>IF(E109="——","——",H101-H105-H106)</f>
        <v>——</v>
      </c>
      <c r="I109" s="138"/>
    </row>
    <row r="110" spans="1:35" ht="18.75" customHeight="1">
      <c r="A110" s="138"/>
      <c r="B110" s="138"/>
      <c r="C110" s="138"/>
      <c r="D110" s="138"/>
      <c r="E110" s="3111"/>
      <c r="F110" s="3081"/>
      <c r="G110" s="2520" t="s">
        <v>2304</v>
      </c>
      <c r="H110" s="371" t="str">
        <f>IF(H109="——","——",ROUND(H109*10000/'数据-汇总表'!E3,0))</f>
        <v>——</v>
      </c>
      <c r="I110" s="138"/>
    </row>
    <row r="111" spans="1:35" ht="18.75" customHeight="1">
      <c r="A111" s="138"/>
      <c r="B111" s="138"/>
      <c r="C111" s="138"/>
      <c r="D111" s="138"/>
      <c r="E111" s="3112" t="str">
        <f>IF(项目基本情况!E9="抵押净值",IF(OR(项目基本情况!E8="已注销",项目基本情况!E8="房地产抵押价值"),"4.抵押净值","5.抵押净值"),"——")</f>
        <v>——</v>
      </c>
      <c r="F111" s="3113"/>
      <c r="G111" s="2520" t="s">
        <v>2302</v>
      </c>
      <c r="H111" s="1047" t="str">
        <f>IF(E111="——","——",N59)</f>
        <v>——</v>
      </c>
      <c r="I111" s="138"/>
    </row>
    <row r="112" spans="1:35" ht="18.75" customHeight="1" thickBot="1">
      <c r="A112" s="138"/>
      <c r="B112" s="138"/>
      <c r="C112" s="138"/>
      <c r="D112" s="138"/>
      <c r="E112" s="3114"/>
      <c r="F112" s="3115"/>
      <c r="G112" s="2525" t="s">
        <v>2304</v>
      </c>
      <c r="H112" s="789" t="str">
        <f>IF(E111="——","——",N61)</f>
        <v>——</v>
      </c>
      <c r="I112" s="138"/>
    </row>
    <row r="113" spans="1:11" ht="18.75" customHeight="1">
      <c r="A113" s="138"/>
      <c r="B113" s="138"/>
      <c r="C113" s="138"/>
      <c r="D113" s="138"/>
      <c r="E113" s="3123" t="s">
        <v>2310</v>
      </c>
      <c r="F113" s="3123"/>
      <c r="G113" s="3123"/>
      <c r="H113" s="3123"/>
      <c r="I113" s="138"/>
    </row>
    <row r="114" spans="1:11" ht="3.75" customHeight="1">
      <c r="A114" s="2418"/>
      <c r="B114" s="2418"/>
      <c r="C114" s="2418"/>
      <c r="D114" s="2418"/>
      <c r="E114" s="2496"/>
      <c r="F114" s="2496"/>
      <c r="G114" s="2496"/>
      <c r="H114" s="2496"/>
      <c r="I114" s="2418"/>
    </row>
    <row r="115" spans="1:11" ht="18.75" customHeight="1">
      <c r="A115" s="3136" t="s">
        <v>2312</v>
      </c>
      <c r="B115" s="3137"/>
      <c r="C115" s="3137"/>
      <c r="D115" s="3137"/>
      <c r="E115" s="3137"/>
      <c r="F115" s="3137"/>
      <c r="G115" s="3137"/>
      <c r="H115" s="3137"/>
      <c r="I115" s="3138"/>
    </row>
    <row r="116" spans="1:11" ht="27" customHeight="1">
      <c r="A116" s="3047" t="s">
        <v>2313</v>
      </c>
      <c r="B116" s="3090" t="s">
        <v>2314</v>
      </c>
      <c r="C116" s="3090" t="s">
        <v>2315</v>
      </c>
      <c r="D116" s="3096" t="s">
        <v>2316</v>
      </c>
      <c r="E116" s="3097"/>
      <c r="F116" s="3132" t="s">
        <v>2317</v>
      </c>
      <c r="G116" s="3132"/>
      <c r="H116" s="3047" t="s">
        <v>2318</v>
      </c>
      <c r="I116" s="3047"/>
    </row>
    <row r="117" spans="1:11" ht="18.75" customHeight="1">
      <c r="A117" s="3047"/>
      <c r="B117" s="3091"/>
      <c r="C117" s="3091"/>
      <c r="D117" s="1795" t="s">
        <v>2319</v>
      </c>
      <c r="E117" s="1795" t="s">
        <v>2320</v>
      </c>
      <c r="F117" s="1795" t="s">
        <v>2319</v>
      </c>
      <c r="G117" s="1795" t="s">
        <v>2321</v>
      </c>
      <c r="H117" s="1795" t="s">
        <v>2319</v>
      </c>
      <c r="I117" s="1795" t="s">
        <v>2321</v>
      </c>
    </row>
    <row r="118" spans="1:11" ht="24.75" customHeight="1">
      <c r="A118" s="2526" t="str">
        <f>项目基本情况!S2</f>
        <v>北京市房地产</v>
      </c>
      <c r="B118" s="1795">
        <f>M18</f>
        <v>249.95</v>
      </c>
      <c r="C118" s="1795">
        <f>M19</f>
        <v>114.7</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418</v>
      </c>
      <c r="I118" s="1795">
        <f ca="1">ROUND(IF(D32="楼面单价",C32,H118*10000/B118),0)</f>
        <v>16723</v>
      </c>
    </row>
    <row r="119" spans="1:11" ht="18.75" customHeight="1">
      <c r="A119" s="3047" t="s">
        <v>2322</v>
      </c>
      <c r="B119" s="3047"/>
      <c r="C119" s="3047"/>
      <c r="D119" s="3092" t="e">
        <f ca="1">NUMBERSTRING(INT(D118*10000),2)&amp;"元整"</f>
        <v>#REF!</v>
      </c>
      <c r="E119" s="3093"/>
      <c r="F119" s="3092" t="e">
        <f ca="1">NUMBERSTRING(INT(F118*10000),2)&amp;"元整"</f>
        <v>#REF!</v>
      </c>
      <c r="G119" s="3093"/>
      <c r="H119" s="3092" t="str">
        <f ca="1">NUMBERSTRING(INT(H118*10000),2)&amp;"元整"</f>
        <v>肆佰壹拾捌万元整</v>
      </c>
      <c r="I119" s="3093"/>
    </row>
    <row r="120" spans="1:11" ht="18.75" customHeight="1">
      <c r="A120" s="3087" t="str">
        <f>IF(项目基本情况!B9="房地产市场价值","",MID(E103,3,LEN(E103)-2))</f>
        <v>估价师知悉的法定优先受偿款</v>
      </c>
      <c r="B120" s="3088"/>
      <c r="C120" s="3089"/>
      <c r="D120" s="3087">
        <f>H103</f>
        <v>0</v>
      </c>
      <c r="E120" s="3088"/>
      <c r="F120" s="3088"/>
      <c r="G120" s="3088"/>
      <c r="H120" s="3088"/>
      <c r="I120" s="3089"/>
      <c r="K120" s="2423" t="str">
        <f>IF(D120=0,"故，本次评估不存在"&amp;A120,"故，本次评估"&amp;A120&amp;"为人民币"&amp;D120&amp;"万元整。")</f>
        <v>故，本次评估不存在估价师知悉的法定优先受偿款</v>
      </c>
    </row>
    <row r="121" spans="1:11" ht="18.75" customHeight="1">
      <c r="A121" s="3133" t="s">
        <v>2322</v>
      </c>
      <c r="B121" s="3134"/>
      <c r="C121" s="3135"/>
      <c r="D121" s="3092" t="str">
        <f>IF(D120=0,"零元整",NUMBERSTRING(INT(D120*10000),2)&amp;"元整")</f>
        <v>零元整</v>
      </c>
      <c r="E121" s="3094"/>
      <c r="F121" s="3094"/>
      <c r="G121" s="3094"/>
      <c r="H121" s="3094"/>
      <c r="I121" s="3093"/>
    </row>
    <row r="122" spans="1:11" ht="18.75" customHeight="1">
      <c r="A122" s="3098" t="str">
        <f>IF(项目基本情况!B9="房地产市场价值","",MID(E107,3,LEN(E107)-2))</f>
        <v>房地产抵押价值</v>
      </c>
      <c r="B122" s="3098"/>
      <c r="C122" s="3098"/>
      <c r="D122" s="3087">
        <f ca="1">H107</f>
        <v>418</v>
      </c>
      <c r="E122" s="3088"/>
      <c r="F122" s="3088"/>
      <c r="G122" s="3088"/>
      <c r="H122" s="3088"/>
      <c r="I122" s="3089"/>
    </row>
    <row r="123" spans="1:11" ht="18.75" customHeight="1">
      <c r="A123" s="3047" t="s">
        <v>2322</v>
      </c>
      <c r="B123" s="3047"/>
      <c r="C123" s="3047"/>
      <c r="D123" s="3092" t="str">
        <f ca="1">NUMBERSTRING(INT(D122*10000),2)&amp;"元整"</f>
        <v>肆佰壹拾捌万元整</v>
      </c>
      <c r="E123" s="3094"/>
      <c r="F123" s="3094"/>
      <c r="G123" s="3094"/>
      <c r="H123" s="3094"/>
      <c r="I123" s="3093"/>
    </row>
    <row r="124" spans="1:11" ht="18.75" customHeight="1">
      <c r="A124" s="3098" t="str">
        <f>IF(项目基本情况!B9="房地产市场价值","",MID(E109,3,LEN(E109)-2))</f>
        <v/>
      </c>
      <c r="B124" s="3098"/>
      <c r="C124" s="3098"/>
      <c r="D124" s="3087" t="str">
        <f>H109</f>
        <v>——</v>
      </c>
      <c r="E124" s="3088"/>
      <c r="F124" s="3088"/>
      <c r="G124" s="3088"/>
      <c r="H124" s="3088"/>
      <c r="I124" s="3089"/>
    </row>
    <row r="125" spans="1:11" ht="18.75" customHeight="1">
      <c r="A125" s="3047" t="s">
        <v>2322</v>
      </c>
      <c r="B125" s="3047"/>
      <c r="C125" s="3047"/>
      <c r="D125" s="3092" t="e">
        <f>NUMBERSTRING(INT(D124*10000),2)&amp;"元整"</f>
        <v>#VALUE!</v>
      </c>
      <c r="E125" s="3094"/>
      <c r="F125" s="3094"/>
      <c r="G125" s="3094"/>
      <c r="H125" s="3094"/>
      <c r="I125" s="3093"/>
    </row>
    <row r="126" spans="1:11" ht="18.75" customHeight="1">
      <c r="A126" s="3098" t="str">
        <f>IF(项目基本情况!B9="房地产市场价值","",MID(E111,3,LEN(E111)-2))</f>
        <v/>
      </c>
      <c r="B126" s="3098"/>
      <c r="C126" s="3098"/>
      <c r="D126" s="3087" t="str">
        <f>H111</f>
        <v>——</v>
      </c>
      <c r="E126" s="3088"/>
      <c r="F126" s="3088"/>
      <c r="G126" s="3088"/>
      <c r="H126" s="3088"/>
      <c r="I126" s="3089"/>
    </row>
    <row r="127" spans="1:11" ht="18.75" customHeight="1">
      <c r="A127" s="3047" t="s">
        <v>2322</v>
      </c>
      <c r="B127" s="3047"/>
      <c r="C127" s="3047"/>
      <c r="D127" s="3092" t="e">
        <f>NUMBERSTRING(INT(D126*10000),2)&amp;"元整"</f>
        <v>#VALUE!</v>
      </c>
      <c r="E127" s="3094"/>
      <c r="F127" s="3094"/>
      <c r="G127" s="3094"/>
      <c r="H127" s="3094"/>
      <c r="I127" s="3093"/>
    </row>
    <row r="128" spans="1:11" ht="21.75" customHeight="1">
      <c r="A128" s="3095" t="s">
        <v>2323</v>
      </c>
      <c r="B128" s="3095"/>
      <c r="C128" s="3095"/>
      <c r="D128" s="3095"/>
      <c r="E128" s="3095"/>
      <c r="F128" s="3095"/>
      <c r="G128" s="3095"/>
      <c r="H128" s="3095"/>
      <c r="I128" s="3095"/>
    </row>
    <row r="129" spans="1:35" ht="21.75" customHeight="1">
      <c r="A129" s="2527" t="s">
        <v>2324</v>
      </c>
      <c r="B129" s="2528"/>
      <c r="C129" s="2529" t="s">
        <v>2325</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2326</v>
      </c>
      <c r="G135" s="2544"/>
      <c r="H135" s="2544"/>
      <c r="I135" s="2545" t="s">
        <v>2327</v>
      </c>
    </row>
    <row r="136" spans="1:35" ht="21.75" customHeight="1">
      <c r="A136" s="794"/>
      <c r="B136" s="2546" t="s">
        <v>2328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2329</v>
      </c>
    </row>
    <row r="139" spans="1:35" ht="21.75" customHeight="1">
      <c r="A139" s="794"/>
      <c r="B139" s="2546" t="s">
        <v>2330</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2329</v>
      </c>
    </row>
    <row r="142" spans="1:35" ht="21.75" customHeight="1">
      <c r="A142" s="794"/>
      <c r="B142" s="2546"/>
      <c r="C142" s="2547"/>
      <c r="D142" s="2548"/>
      <c r="E142" s="2548"/>
      <c r="F142" s="2340"/>
      <c r="G142" s="794"/>
      <c r="H142" s="794"/>
      <c r="I142" s="794"/>
    </row>
    <row r="143" spans="1:35" s="139"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1" t="str">
        <f>项目基本情况!B1</f>
        <v>北京市房地产抵押价值预评估</v>
      </c>
      <c r="C37" s="2981"/>
      <c r="D37" s="2981"/>
      <c r="E37" s="2981"/>
      <c r="F37" s="2981"/>
      <c r="G37" s="2981"/>
      <c r="H37" s="2981"/>
      <c r="I37" s="2981"/>
    </row>
    <row r="38" spans="1:9">
      <c r="A38" s="1018"/>
      <c r="B38" s="1018"/>
    </row>
    <row r="39" spans="1:9">
      <c r="A39" s="1016" t="s">
        <v>818</v>
      </c>
      <c r="B39" s="1016" t="s">
        <v>820</v>
      </c>
    </row>
    <row r="40" spans="1:9">
      <c r="A40" s="1016"/>
      <c r="B40" s="1942">
        <f>项目基本情况!B5</f>
        <v>0</v>
      </c>
    </row>
    <row r="41" spans="1:9">
      <c r="A41" s="1016"/>
      <c r="B41" s="1016"/>
    </row>
    <row r="42" spans="1:9">
      <c r="A42" s="1016" t="s">
        <v>818</v>
      </c>
      <c r="B42" s="1016" t="s">
        <v>821</v>
      </c>
    </row>
    <row r="43" spans="1:9">
      <c r="A43" s="1016"/>
      <c r="B43" s="1942" t="s">
        <v>822</v>
      </c>
    </row>
    <row r="44" spans="1:9">
      <c r="A44" s="1016"/>
      <c r="B44" s="1016"/>
    </row>
    <row r="45" spans="1:9">
      <c r="A45" s="1016" t="s">
        <v>818</v>
      </c>
      <c r="B45" s="1016" t="s">
        <v>823</v>
      </c>
    </row>
    <row r="46" spans="1:9" s="1016" customFormat="1" ht="12.75">
      <c r="B46" s="1942" t="str">
        <f ca="1">项目基本情况!K4</f>
        <v>刘梅（注册号：1120140022)、吴薇（注册号：1419970001)</v>
      </c>
    </row>
    <row r="47" spans="1:9">
      <c r="A47" s="1016"/>
      <c r="B47" s="1016" t="str">
        <f>项目基本情况!K5</f>
        <v/>
      </c>
    </row>
    <row r="48" spans="1:9">
      <c r="A48" s="1016" t="s">
        <v>818</v>
      </c>
      <c r="B48" s="1016"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74" sqref="G7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37"/>
      <c r="C1" s="242"/>
      <c r="D1" s="242"/>
      <c r="E1" s="242"/>
      <c r="F1" s="242"/>
      <c r="G1" s="1381">
        <f>MATCH(B1,'数据-取费表'!A6:A16,0)+5</f>
        <v>7</v>
      </c>
    </row>
    <row r="2" spans="1:9" s="244" customFormat="1" ht="18" customHeight="1">
      <c r="A2" s="245" t="s">
        <v>2332</v>
      </c>
      <c r="B2" s="246">
        <f ca="1">IF(D2="——",C52,C52-E2)</f>
        <v>227</v>
      </c>
      <c r="C2" s="243" t="s">
        <v>2333</v>
      </c>
      <c r="D2" s="2549" t="s">
        <v>70</v>
      </c>
      <c r="E2" s="1442">
        <f ca="1">SUMIF(INDIRECT("'"&amp;G2&amp;"'"&amp;"!A:A"),"承租人权益价值",INDIRECT("'"&amp;G2&amp;"'"&amp;"!c:c"))</f>
        <v>0</v>
      </c>
      <c r="F2" s="2550" t="s">
        <v>2333</v>
      </c>
      <c r="G2" s="2551" t="s">
        <v>3241</v>
      </c>
    </row>
    <row r="3" spans="1:9" s="244" customFormat="1" ht="18" customHeight="1" thickBot="1">
      <c r="A3" s="247" t="s">
        <v>2334</v>
      </c>
      <c r="B3" s="248">
        <f ca="1">ROUND(B2*10000/(IF(B1="",'数据-汇总表'!E3,INDIRECT("'数据-取费表'!k"&amp;$G$1))),0)</f>
        <v>9082</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 ca="1">C6+C7+C8</f>
        <v>78</v>
      </c>
      <c r="D5" s="255" t="s">
        <v>2339</v>
      </c>
      <c r="E5" s="256" t="s">
        <v>2340</v>
      </c>
      <c r="F5" s="256" t="s">
        <v>2341</v>
      </c>
      <c r="G5" s="257"/>
    </row>
    <row r="6" spans="1:9" s="258" customFormat="1" ht="13.5" customHeight="1">
      <c r="A6" s="951" t="s">
        <v>2342</v>
      </c>
      <c r="B6" s="259" t="s">
        <v>2343</v>
      </c>
      <c r="C6" s="260">
        <f>'土地比较法-住宅、综合'!F66</f>
        <v>73</v>
      </c>
      <c r="D6" s="261"/>
      <c r="E6" s="262"/>
      <c r="F6" s="262"/>
      <c r="G6" s="263"/>
    </row>
    <row r="7" spans="1:9" s="258" customFormat="1" ht="13.5" customHeight="1">
      <c r="A7" s="951" t="s">
        <v>2344</v>
      </c>
      <c r="B7" s="259" t="s">
        <v>2345</v>
      </c>
      <c r="C7" s="264">
        <f>ROUND(C6*F7,0)</f>
        <v>2</v>
      </c>
      <c r="D7" s="264"/>
      <c r="E7" s="262"/>
      <c r="F7" s="265">
        <f>'数据-取费表'!B48+'数据-取费表'!B49</f>
        <v>3.0499999999999999E-2</v>
      </c>
      <c r="G7" s="263"/>
    </row>
    <row r="8" spans="1:9" s="267" customFormat="1">
      <c r="A8" s="951" t="s">
        <v>2346</v>
      </c>
      <c r="B8" s="259" t="s">
        <v>2347</v>
      </c>
      <c r="C8" s="264">
        <f ca="1">IF(G8="已包含在土地购买价格中","0",IF(B1="",'数据-取费表'!B29,IF(G9="全部缴纳",C9+C10,H9)))</f>
        <v>3</v>
      </c>
      <c r="D8" s="266"/>
      <c r="E8" s="264"/>
      <c r="F8" s="265"/>
      <c r="G8" s="2552" t="s">
        <v>3238</v>
      </c>
    </row>
    <row r="9" spans="1:9" s="258" customFormat="1" ht="13.5" customHeight="1">
      <c r="A9" s="952" t="s">
        <v>800</v>
      </c>
      <c r="B9" s="268" t="s">
        <v>2348</v>
      </c>
      <c r="C9" s="269">
        <f ca="1">ROUND(D9*E9/10000,0)</f>
        <v>0</v>
      </c>
      <c r="D9" s="1034">
        <f ca="1">IF(B1="",'数据-汇总表'!E5,IF(INDIRECT("'数据-取费表'!c"&amp;$G$1)="住宅",INDIRECT("'数据-取费表'!k"&amp;$G$1),0))</f>
        <v>0</v>
      </c>
      <c r="E9" s="269">
        <f>'数据-取费表'!B27</f>
        <v>105</v>
      </c>
      <c r="F9" s="265"/>
      <c r="G9" s="2553" t="s">
        <v>3239</v>
      </c>
      <c r="H9" s="1392">
        <v>0</v>
      </c>
      <c r="I9" s="2554" t="s">
        <v>2349</v>
      </c>
    </row>
    <row r="10" spans="1:9" s="258" customFormat="1" ht="13.5" customHeight="1">
      <c r="A10" s="952" t="s">
        <v>801</v>
      </c>
      <c r="B10" s="268" t="s">
        <v>2350</v>
      </c>
      <c r="C10" s="269">
        <f ca="1">ROUND(D10*E10/10000,0)</f>
        <v>3</v>
      </c>
      <c r="D10" s="1034">
        <f ca="1">IF(B1="",'数据-汇总表'!E6,IF(INDIRECT("'数据-取费表'!c"&amp;$G$1)="住宅",INDIRECT("'数据-取费表'!s"&amp;$G$1),INDIRECT("'数据-取费表'!k"&amp;$G$1)+INDIRECT("'数据-取费表'!s"&amp;$G$1)))</f>
        <v>249.95</v>
      </c>
      <c r="E10" s="269">
        <f>'数据-取费表'!B28</f>
        <v>105</v>
      </c>
      <c r="F10" s="265"/>
      <c r="G10" s="270"/>
    </row>
    <row r="11" spans="1:9" s="258" customFormat="1" ht="13.5" hidden="1" customHeight="1">
      <c r="A11" s="271" t="s">
        <v>7</v>
      </c>
      <c r="B11" s="259" t="s">
        <v>2351</v>
      </c>
      <c r="C11" s="255"/>
      <c r="D11" s="1036"/>
      <c r="E11" s="262"/>
      <c r="F11" s="262"/>
      <c r="G11" s="263"/>
    </row>
    <row r="12" spans="1:9" s="258" customFormat="1" ht="13.5" hidden="1" customHeight="1">
      <c r="A12" s="271" t="s">
        <v>8</v>
      </c>
      <c r="B12" s="259" t="s">
        <v>2352</v>
      </c>
      <c r="C12" s="255">
        <v>0</v>
      </c>
      <c r="D12" s="1036"/>
      <c r="E12" s="272"/>
      <c r="F12" s="265">
        <v>3.0499999999999999E-2</v>
      </c>
      <c r="G12" s="263"/>
    </row>
    <row r="13" spans="1:9" s="258" customFormat="1" ht="13.5" hidden="1" customHeight="1">
      <c r="A13" s="271" t="s">
        <v>9</v>
      </c>
      <c r="B13" s="259" t="s">
        <v>2353</v>
      </c>
      <c r="C13" s="255"/>
      <c r="D13" s="1036"/>
      <c r="E13" s="262"/>
      <c r="F13" s="262"/>
      <c r="G13" s="263"/>
    </row>
    <row r="14" spans="1:9" s="258" customFormat="1" ht="13.5" hidden="1" customHeight="1">
      <c r="A14" s="271" t="s">
        <v>10</v>
      </c>
      <c r="B14" s="259" t="s">
        <v>2354</v>
      </c>
      <c r="C14" s="255"/>
      <c r="D14" s="1036"/>
      <c r="E14" s="262"/>
      <c r="F14" s="262"/>
      <c r="G14" s="263" t="s">
        <v>2355</v>
      </c>
    </row>
    <row r="15" spans="1:9" s="258" customFormat="1" ht="13.5" hidden="1" customHeight="1">
      <c r="A15" s="271" t="s">
        <v>11</v>
      </c>
      <c r="B15" s="259" t="s">
        <v>2356</v>
      </c>
      <c r="C15" s="264"/>
      <c r="D15" s="1036"/>
      <c r="E15" s="262"/>
      <c r="F15" s="262"/>
      <c r="G15" s="263" t="s">
        <v>2357</v>
      </c>
    </row>
    <row r="16" spans="1:9" s="258" customFormat="1" ht="13.5" hidden="1" customHeight="1">
      <c r="A16" s="271" t="s">
        <v>12</v>
      </c>
      <c r="B16" s="259" t="s">
        <v>2354</v>
      </c>
      <c r="C16" s="264"/>
      <c r="D16" s="1036"/>
      <c r="E16" s="262"/>
      <c r="F16" s="262"/>
      <c r="G16" s="263"/>
    </row>
    <row r="17" spans="1:7" s="258" customFormat="1" ht="13.5" hidden="1" customHeight="1">
      <c r="A17" s="271" t="s">
        <v>13</v>
      </c>
      <c r="B17" s="259" t="s">
        <v>2358</v>
      </c>
      <c r="C17" s="273"/>
      <c r="D17" s="1037"/>
      <c r="E17" s="273"/>
      <c r="F17" s="273"/>
      <c r="G17" s="263" t="s">
        <v>2357</v>
      </c>
    </row>
    <row r="18" spans="1:7" s="258" customFormat="1" ht="13.5" hidden="1" customHeight="1">
      <c r="A18" s="271" t="s">
        <v>14</v>
      </c>
      <c r="B18" s="259" t="s">
        <v>2359</v>
      </c>
      <c r="C18" s="264">
        <v>0</v>
      </c>
      <c r="D18" s="1036"/>
      <c r="E18" s="262"/>
      <c r="F18" s="265">
        <v>3.0499999999999999E-2</v>
      </c>
      <c r="G18" s="263" t="s">
        <v>2360</v>
      </c>
    </row>
    <row r="19" spans="1:7" s="267" customFormat="1" ht="13.5" customHeight="1">
      <c r="A19" s="299" t="s">
        <v>2361</v>
      </c>
      <c r="B19" s="254" t="s">
        <v>2362</v>
      </c>
      <c r="C19" s="255" t="str">
        <f>IF(G19="已包含在土地取得成本中","0",ROUND(D19*E19/10000,0))</f>
        <v>0</v>
      </c>
      <c r="D19" s="1038">
        <f ca="1">D9+D10</f>
        <v>249.95</v>
      </c>
      <c r="E19" s="255">
        <f>'数据-取费表'!B31</f>
        <v>200</v>
      </c>
      <c r="F19" s="275"/>
      <c r="G19" s="2552" t="s">
        <v>3240</v>
      </c>
    </row>
    <row r="20" spans="1:7" s="258" customFormat="1" ht="13.5" customHeight="1">
      <c r="A20" s="299" t="s">
        <v>2363</v>
      </c>
      <c r="B20" s="254" t="s">
        <v>2364</v>
      </c>
      <c r="C20" s="276">
        <f ca="1">ROUND((C5+C19)*F20,0)</f>
        <v>2</v>
      </c>
      <c r="D20" s="276"/>
      <c r="E20" s="276"/>
      <c r="F20" s="277">
        <f>'数据-取费表'!B37</f>
        <v>0.02</v>
      </c>
      <c r="G20" s="278" t="s">
        <v>2365</v>
      </c>
    </row>
    <row r="21" spans="1:7" s="258" customFormat="1" ht="13.5" customHeight="1">
      <c r="A21" s="299" t="s">
        <v>2366</v>
      </c>
      <c r="B21" s="254" t="s">
        <v>2367</v>
      </c>
      <c r="C21" s="279">
        <f>F21</f>
        <v>0.03</v>
      </c>
      <c r="D21" s="280" t="s">
        <v>2368</v>
      </c>
      <c r="E21" s="276"/>
      <c r="F21" s="277">
        <f>'数据-取费表'!B38</f>
        <v>0.03</v>
      </c>
      <c r="G21" s="278" t="s">
        <v>2369</v>
      </c>
    </row>
    <row r="22" spans="1:7" s="258" customFormat="1" ht="13.5" customHeight="1">
      <c r="A22" s="299" t="s">
        <v>2370</v>
      </c>
      <c r="B22" s="254" t="s">
        <v>2371</v>
      </c>
      <c r="C22" s="1356">
        <f ca="1">ROUND(SUM(C23:C25),0)</f>
        <v>8</v>
      </c>
      <c r="D22" s="279">
        <f ca="1">C26</f>
        <v>1.4E-3</v>
      </c>
      <c r="E22" s="280" t="s">
        <v>2368</v>
      </c>
      <c r="F22" s="281">
        <f ca="1">'数据-取费表'!B40</f>
        <v>4.7500000000000001E-2</v>
      </c>
      <c r="G22" s="278" t="str">
        <f>IF('数据-取费表'!B22&lt;=1,"单利计息","复利计息")</f>
        <v>复利计息</v>
      </c>
    </row>
    <row r="23" spans="1:7" s="258" customFormat="1" ht="13.5" customHeight="1">
      <c r="A23" s="953" t="s">
        <v>2372</v>
      </c>
      <c r="B23" s="259" t="s">
        <v>2373</v>
      </c>
      <c r="C23" s="1357">
        <f ca="1">ROUND(IF('数据-取费表'!B22&lt;=1,C5*F22*'数据-取费表'!B23,C5*(POWER((1+F22),'数据-取费表'!B23)-1)),0)</f>
        <v>8</v>
      </c>
      <c r="D23" s="282"/>
      <c r="E23" s="282"/>
      <c r="F23" s="283"/>
      <c r="G23" s="284" t="s">
        <v>2374</v>
      </c>
    </row>
    <row r="24" spans="1:7" s="258" customFormat="1" ht="13.5" customHeight="1">
      <c r="A24" s="953" t="s">
        <v>2375</v>
      </c>
      <c r="B24" s="259" t="s">
        <v>2376</v>
      </c>
      <c r="C24" s="1357">
        <f ca="1">ROUND(IF('数据-取费表'!B22&lt;=1,C19*F22*('数据-取费表'!B19/2+'数据-取费表'!B21),C19*(POWER((1+F22),('数据-取费表'!B19/2+'数据-取费表'!B21))-1)),0)</f>
        <v>0</v>
      </c>
      <c r="D24" s="282"/>
      <c r="E24" s="282"/>
      <c r="F24" s="283"/>
      <c r="G24" s="284" t="s">
        <v>2377</v>
      </c>
    </row>
    <row r="25" spans="1:7" s="258" customFormat="1" ht="24">
      <c r="A25" s="953" t="s">
        <v>2378</v>
      </c>
      <c r="B25" s="259" t="s">
        <v>2379</v>
      </c>
      <c r="C25" s="1357">
        <f ca="1">ROUND(IF('数据-取费表'!B22&lt;=1,C20*F22*'数据-取费表'!B23/2,C20*(POWER((1+F22),'数据-取费表'!B23/2)-1)),0)</f>
        <v>0</v>
      </c>
      <c r="D25" s="282"/>
      <c r="E25" s="285"/>
      <c r="F25" s="283"/>
      <c r="G25" s="286" t="s">
        <v>2380</v>
      </c>
    </row>
    <row r="26" spans="1:7" s="258" customFormat="1">
      <c r="A26" s="953" t="s">
        <v>795</v>
      </c>
      <c r="B26" s="259" t="s">
        <v>2381</v>
      </c>
      <c r="C26" s="282">
        <f ca="1">ROUND(IF('数据-取费表'!B22&lt;=1,F21*F22*'数据-取费表'!B23/2,F21*(POWER((1+F22),'数据-取费表'!B23/2)-1)),4)</f>
        <v>1.4E-3</v>
      </c>
      <c r="D26" s="282"/>
      <c r="E26" s="285"/>
      <c r="F26" s="283"/>
      <c r="G26" s="287"/>
    </row>
    <row r="27" spans="1:7" s="258" customFormat="1" ht="24.75">
      <c r="A27" s="299" t="s">
        <v>2382</v>
      </c>
      <c r="B27" s="288" t="s">
        <v>2383</v>
      </c>
      <c r="C27" s="289">
        <f ca="1">C28</f>
        <v>20</v>
      </c>
      <c r="D27" s="279">
        <f ca="1">C29</f>
        <v>7.4999999999999997E-3</v>
      </c>
      <c r="E27" s="280" t="s">
        <v>2384</v>
      </c>
      <c r="F27" s="290">
        <f ca="1">IF(B1="",'数据-取费表'!Q16,INDIRECT("'数据-取费表'!q"&amp;$G$1))</f>
        <v>0.25</v>
      </c>
      <c r="G27" s="291" t="s">
        <v>2385</v>
      </c>
    </row>
    <row r="28" spans="1:7" s="258" customFormat="1" ht="13.5" customHeight="1">
      <c r="A28" s="953" t="s">
        <v>791</v>
      </c>
      <c r="B28" s="292" t="s">
        <v>2386</v>
      </c>
      <c r="C28" s="293">
        <f ca="1">ROUND((C5+C19+C20)*F27*'数据-取费表'!B21/'数据-取费表'!B20,0)</f>
        <v>20</v>
      </c>
      <c r="D28" s="279"/>
      <c r="E28" s="280"/>
      <c r="F28" s="290"/>
      <c r="G28" s="291"/>
    </row>
    <row r="29" spans="1:7" s="258" customFormat="1" ht="13.5" customHeight="1">
      <c r="A29" s="953" t="s">
        <v>792</v>
      </c>
      <c r="B29" s="292" t="s">
        <v>2387</v>
      </c>
      <c r="C29" s="282">
        <f ca="1">ROUND(C21*F27*'数据-取费表'!B21/'数据-取费表'!B20,4)</f>
        <v>7.4999999999999997E-3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119</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78</v>
      </c>
      <c r="D33" s="276"/>
      <c r="E33" s="256"/>
      <c r="F33" s="285"/>
      <c r="G33" s="278"/>
    </row>
    <row r="34" spans="1:7" s="302" customFormat="1" ht="13.5" customHeight="1">
      <c r="A34" s="953" t="s">
        <v>791</v>
      </c>
      <c r="B34" s="259" t="s">
        <v>2395</v>
      </c>
      <c r="C34" s="264">
        <f ca="1">IF(B1="",IF(F34=100%,'数据-取费表'!M16,'数据-取费表'!O16),IF(F34=100%,INDIRECT("'数据-取费表'!m"&amp;$G$1)+INDIRECT("'数据-取费表'!t"&amp;$G$1),INDIRECT("'数据-取费表'!o"&amp;$G$1)+INDIRECT("'数据-取费表'!aq"&amp;$G$1)))</f>
        <v>70</v>
      </c>
      <c r="D34" s="261"/>
      <c r="E34" s="264"/>
      <c r="F34" s="301">
        <f ca="1">IF('数据-取费表'!B24=0,1,IF(B1="",'数据-取费表'!N16,INDIRECT("'数据-取费表'!n"&amp;$G$1)))</f>
        <v>1</v>
      </c>
      <c r="G34" s="263" t="s">
        <v>2396</v>
      </c>
    </row>
    <row r="35" spans="1:7" ht="13.5" customHeight="1">
      <c r="A35" s="953" t="s">
        <v>796</v>
      </c>
      <c r="B35" s="259" t="s">
        <v>2397</v>
      </c>
      <c r="C35" s="264">
        <f ca="1">ROUND(C34*F35,0)</f>
        <v>2</v>
      </c>
      <c r="D35" s="264"/>
      <c r="E35" s="264"/>
      <c r="F35" s="303">
        <f>'数据-取费表'!B33</f>
        <v>0.03</v>
      </c>
      <c r="G35" s="263" t="s">
        <v>2398</v>
      </c>
    </row>
    <row r="36" spans="1:7" ht="24">
      <c r="A36" s="953"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2400</v>
      </c>
    </row>
    <row r="37" spans="1:7" s="302" customFormat="1" ht="13.5" customHeight="1">
      <c r="A37" s="953" t="s">
        <v>798</v>
      </c>
      <c r="B37" s="259" t="s">
        <v>2401</v>
      </c>
      <c r="C37" s="293">
        <f ca="1">ROUND(E37*D37*F34/10000,0)</f>
        <v>5</v>
      </c>
      <c r="D37" s="261">
        <f ca="1">D19</f>
        <v>249.95</v>
      </c>
      <c r="E37" s="293">
        <f>'数据-取费表'!B35</f>
        <v>200</v>
      </c>
      <c r="F37" s="303"/>
      <c r="G37" s="305" t="s">
        <v>2402</v>
      </c>
    </row>
    <row r="38" spans="1:7" ht="13.5" customHeight="1">
      <c r="A38" s="953" t="s">
        <v>799</v>
      </c>
      <c r="B38" s="259" t="s">
        <v>2403</v>
      </c>
      <c r="C38" s="264">
        <f ca="1">ROUND(C34*F38,0)</f>
        <v>1</v>
      </c>
      <c r="D38" s="264"/>
      <c r="E38" s="264"/>
      <c r="F38" s="303">
        <f>'数据-取费表'!B36</f>
        <v>1.4999999999999999E-2</v>
      </c>
      <c r="G38" s="263" t="s">
        <v>2398</v>
      </c>
    </row>
    <row r="39" spans="1:7" s="258" customFormat="1" ht="13.5" customHeight="1">
      <c r="A39" s="299" t="s">
        <v>2404</v>
      </c>
      <c r="B39" s="254" t="s">
        <v>2405</v>
      </c>
      <c r="C39" s="276">
        <f ca="1">ROUND(C33*F20,0)</f>
        <v>2</v>
      </c>
      <c r="D39" s="276"/>
      <c r="E39" s="276"/>
      <c r="F39" s="277"/>
      <c r="G39" s="278" t="s">
        <v>2406</v>
      </c>
    </row>
    <row r="40" spans="1:7" s="258" customFormat="1" ht="13.5" customHeight="1">
      <c r="A40" s="299" t="s">
        <v>2407</v>
      </c>
      <c r="B40" s="254" t="s">
        <v>2408</v>
      </c>
      <c r="C40" s="1730">
        <f>F21</f>
        <v>0.03</v>
      </c>
      <c r="D40" s="280" t="s">
        <v>2409</v>
      </c>
      <c r="E40" s="276"/>
      <c r="F40" s="277"/>
      <c r="G40" s="278" t="s">
        <v>2410</v>
      </c>
    </row>
    <row r="41" spans="1:7" s="258" customFormat="1" ht="13.5" customHeight="1">
      <c r="A41" s="299" t="s">
        <v>2411</v>
      </c>
      <c r="B41" s="254" t="s">
        <v>2412</v>
      </c>
      <c r="C41" s="276">
        <f ca="1">ROUND(SUM(C42:C43),0)</f>
        <v>4</v>
      </c>
      <c r="D41" s="279">
        <f ca="1">C44</f>
        <v>1.4E-3</v>
      </c>
      <c r="E41" s="280" t="s">
        <v>2409</v>
      </c>
      <c r="F41" s="281"/>
      <c r="G41" s="278" t="str">
        <f>IF('数据-取费表'!B22&lt;=1,"单利计息","复利计息")</f>
        <v>复利计息</v>
      </c>
    </row>
    <row r="42" spans="1:7" ht="13.5" customHeight="1">
      <c r="A42" s="953" t="s">
        <v>791</v>
      </c>
      <c r="B42" s="259" t="s">
        <v>2413</v>
      </c>
      <c r="C42" s="282">
        <f ca="1">ROUND(IF('数据-取费表'!B22&lt;=1,C33*F22*'数据-取费表'!B21/2,C33*(POWER((1+F22),'数据-取费表'!B21/2)-1)),0)</f>
        <v>4</v>
      </c>
      <c r="D42" s="282"/>
      <c r="E42" s="282"/>
      <c r="F42" s="283"/>
      <c r="G42" s="3167" t="s">
        <v>2414</v>
      </c>
    </row>
    <row r="43" spans="1:7" ht="13.5" customHeight="1">
      <c r="A43" s="953" t="s">
        <v>792</v>
      </c>
      <c r="B43" s="259" t="s">
        <v>2415</v>
      </c>
      <c r="C43" s="282">
        <f ca="1">ROUND(IF('数据-取费表'!B22&lt;=1,C39*F22*'数据-取费表'!B21/2,C39*(POWER((1+F22),'数据-取费表'!B21/2)-1)),0)</f>
        <v>0</v>
      </c>
      <c r="D43" s="282"/>
      <c r="E43" s="282"/>
      <c r="F43" s="283"/>
      <c r="G43" s="3168"/>
    </row>
    <row r="44" spans="1:7" ht="13.5" customHeight="1">
      <c r="A44" s="953" t="s">
        <v>793</v>
      </c>
      <c r="B44" s="259" t="s">
        <v>2416</v>
      </c>
      <c r="C44" s="282">
        <f ca="1">ROUND(IF('数据-取费表'!B22&lt;=1,C40*F22*'数据-取费表'!B21/2,C40*(POWER((1+F22),'数据-取费表'!B21/2)-1)),4)</f>
        <v>1.4E-3</v>
      </c>
      <c r="D44" s="282"/>
      <c r="E44" s="282"/>
      <c r="F44" s="283"/>
      <c r="G44" s="3169"/>
    </row>
    <row r="45" spans="1:7" s="258" customFormat="1" ht="13.5" customHeight="1">
      <c r="A45" s="299" t="s">
        <v>2417</v>
      </c>
      <c r="B45" s="288" t="s">
        <v>2383</v>
      </c>
      <c r="C45" s="289">
        <f ca="1">C46</f>
        <v>20</v>
      </c>
      <c r="D45" s="279">
        <f ca="1">C47</f>
        <v>7.4999999999999997E-3</v>
      </c>
      <c r="E45" s="280" t="s">
        <v>2409</v>
      </c>
      <c r="F45" s="290"/>
      <c r="G45" s="291" t="s">
        <v>2418</v>
      </c>
    </row>
    <row r="46" spans="1:7" s="258" customFormat="1" ht="13.5" customHeight="1">
      <c r="A46" s="953" t="s">
        <v>791</v>
      </c>
      <c r="B46" s="292" t="s">
        <v>2419</v>
      </c>
      <c r="C46" s="293">
        <f ca="1">ROUND((C33+C39)*F27,0)</f>
        <v>20</v>
      </c>
      <c r="D46" s="307"/>
      <c r="E46" s="280"/>
      <c r="F46" s="290"/>
      <c r="G46" s="291"/>
    </row>
    <row r="47" spans="1:7" s="258" customFormat="1" ht="13.5" customHeight="1">
      <c r="A47" s="953" t="s">
        <v>792</v>
      </c>
      <c r="B47" s="292" t="s">
        <v>2420</v>
      </c>
      <c r="C47" s="282">
        <f ca="1">ROUND(C40*F27,4)</f>
        <v>7.4999999999999997E-3</v>
      </c>
      <c r="D47" s="307"/>
      <c r="E47" s="280"/>
      <c r="F47" s="290"/>
      <c r="G47" s="291"/>
    </row>
    <row r="48" spans="1:7" s="258" customFormat="1" ht="13.5" customHeight="1">
      <c r="A48" s="299" t="s">
        <v>2382</v>
      </c>
      <c r="B48" s="254" t="s">
        <v>2421</v>
      </c>
      <c r="C48" s="1730">
        <f>ROUND(F30/(1+'数据-取费表'!C42),4)</f>
        <v>5.33E-2</v>
      </c>
      <c r="D48" s="280" t="s">
        <v>2409</v>
      </c>
      <c r="E48" s="276"/>
      <c r="F48" s="281"/>
      <c r="G48" s="278" t="s">
        <v>2422</v>
      </c>
    </row>
    <row r="49" spans="1:7" ht="16.5" customHeight="1">
      <c r="A49" s="299" t="s">
        <v>2388</v>
      </c>
      <c r="B49" s="254" t="s">
        <v>2423</v>
      </c>
      <c r="C49" s="276">
        <f ca="1">ROUND((C33+C39+C41+C45)/(1-C40-D41-D45-C48),0)</f>
        <v>115</v>
      </c>
      <c r="D49" s="276"/>
      <c r="E49" s="276"/>
      <c r="F49" s="308"/>
      <c r="G49" s="278" t="s">
        <v>2424</v>
      </c>
    </row>
    <row r="50" spans="1:7" s="302" customFormat="1" ht="24">
      <c r="A50" s="299" t="s">
        <v>2425</v>
      </c>
      <c r="B50" s="254" t="s">
        <v>2426</v>
      </c>
      <c r="C50" s="276"/>
      <c r="D50" s="276"/>
      <c r="E50" s="276"/>
      <c r="F50" s="308">
        <f>IF('数据-取费表'!B24=0,'数据-取费表'!N16,1)</f>
        <v>0.94</v>
      </c>
      <c r="G50" s="291" t="s">
        <v>2427</v>
      </c>
    </row>
    <row r="51" spans="1:7" ht="16.5" customHeight="1">
      <c r="A51" s="299" t="s">
        <v>2428</v>
      </c>
      <c r="B51" s="254" t="s">
        <v>2429</v>
      </c>
      <c r="C51" s="276">
        <f ca="1">ROUND(C49*F50,0)</f>
        <v>108</v>
      </c>
      <c r="D51" s="276"/>
      <c r="E51" s="276"/>
      <c r="F51" s="308"/>
      <c r="G51" s="278" t="s">
        <v>2430</v>
      </c>
    </row>
    <row r="52" spans="1:7" s="252" customFormat="1" ht="16.5" thickBot="1">
      <c r="A52" s="309" t="s">
        <v>2431</v>
      </c>
      <c r="B52" s="310"/>
      <c r="C52" s="311">
        <f ca="1">C31+C51</f>
        <v>227</v>
      </c>
      <c r="D52" s="310"/>
      <c r="E52" s="310"/>
      <c r="F52" s="310"/>
      <c r="G52" s="312"/>
    </row>
    <row r="55" spans="1:7" ht="15">
      <c r="B55" s="314" t="s">
        <v>2432</v>
      </c>
      <c r="C55" s="315"/>
    </row>
    <row r="56" spans="1:7">
      <c r="B56" s="317" t="s">
        <v>1513</v>
      </c>
      <c r="C56" s="319">
        <f ca="1">1-C57</f>
        <v>0.52400000000000002</v>
      </c>
    </row>
    <row r="57" spans="1:7">
      <c r="B57" s="317" t="s">
        <v>1514</v>
      </c>
      <c r="C57" s="318">
        <f ca="1">ROUND(C51/C52,3)</f>
        <v>0.47599999999999998</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37"/>
      <c r="C1" s="2555" t="s">
        <v>2433</v>
      </c>
      <c r="D1" s="242"/>
      <c r="E1" s="242"/>
      <c r="F1" s="242"/>
      <c r="G1" s="1381">
        <f>MATCH(B1,'数据-取费表'!A6:A16,0)+5</f>
        <v>7</v>
      </c>
      <c r="H1" s="1284" t="str">
        <f>IF(ISERROR(FIND("住宅",B1)),"非住宅","住宅")</f>
        <v>非住宅</v>
      </c>
    </row>
    <row r="2" spans="1:8" s="244" customFormat="1" ht="18" customHeight="1">
      <c r="A2" s="245" t="s">
        <v>2332</v>
      </c>
      <c r="B2" s="246">
        <f ca="1">ROUND(IF(D2="——",C52/10000,C52/10000-E2),0)</f>
        <v>119</v>
      </c>
      <c r="C2" s="243" t="s">
        <v>2333</v>
      </c>
      <c r="D2" s="2549" t="s">
        <v>70</v>
      </c>
      <c r="E2" s="1442" t="e">
        <f ca="1">SUMIF(INDIRECT("'"&amp;G2&amp;"'"&amp;"!A:A"),"承租人权益价值",INDIRECT("'"&amp;G2&amp;"'"&amp;"!c:c"))</f>
        <v>#REF!</v>
      </c>
      <c r="F2" s="2550" t="s">
        <v>2333</v>
      </c>
      <c r="G2" s="2551"/>
    </row>
    <row r="3" spans="1:8" s="244" customFormat="1" ht="18" customHeight="1" thickBot="1">
      <c r="A3" s="247" t="s">
        <v>2334</v>
      </c>
      <c r="B3" s="248">
        <f ca="1">ROUND(B2*10000/(IF(B1="",'数据-汇总表'!E3,INDIRECT("'数据-取费表'!k"&amp;$G$1))),0)</f>
        <v>4761</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26245</v>
      </c>
      <c r="D5" s="255" t="s">
        <v>2339</v>
      </c>
      <c r="E5" s="256" t="s">
        <v>2340</v>
      </c>
      <c r="F5" s="256" t="s">
        <v>2341</v>
      </c>
      <c r="G5" s="257"/>
    </row>
    <row r="6" spans="1:8" s="258" customFormat="1" ht="13.5" customHeight="1">
      <c r="A6" s="951" t="s">
        <v>2342</v>
      </c>
      <c r="B6" s="259" t="s">
        <v>2343</v>
      </c>
      <c r="C6" s="260"/>
      <c r="D6" s="261"/>
      <c r="E6" s="262"/>
      <c r="F6" s="262"/>
      <c r="G6" s="263"/>
    </row>
    <row r="7" spans="1:8" s="258" customFormat="1" ht="13.5" customHeight="1">
      <c r="A7" s="951" t="s">
        <v>2344</v>
      </c>
      <c r="B7" s="259" t="s">
        <v>2345</v>
      </c>
      <c r="C7" s="264">
        <f>ROUND(C6*F7,0)</f>
        <v>0</v>
      </c>
      <c r="D7" s="264"/>
      <c r="E7" s="262"/>
      <c r="F7" s="265">
        <f>'数据-取费表'!B48+'数据-取费表'!B49</f>
        <v>3.0499999999999999E-2</v>
      </c>
      <c r="G7" s="263"/>
    </row>
    <row r="8" spans="1:8" s="267" customFormat="1">
      <c r="A8" s="951" t="s">
        <v>2346</v>
      </c>
      <c r="B8" s="259" t="s">
        <v>2347</v>
      </c>
      <c r="C8" s="264">
        <f ca="1">IF(G8="已包含在土地购买价格中",0,C9+C10)</f>
        <v>26245</v>
      </c>
      <c r="D8" s="266"/>
      <c r="E8" s="264"/>
      <c r="F8" s="265"/>
      <c r="G8" s="2552"/>
    </row>
    <row r="9" spans="1:8" s="258" customFormat="1" ht="13.5" customHeight="1">
      <c r="A9" s="952" t="s">
        <v>800</v>
      </c>
      <c r="B9" s="268" t="s">
        <v>2348</v>
      </c>
      <c r="C9" s="269">
        <f ca="1">ROUND(D9*E9,0)</f>
        <v>0</v>
      </c>
      <c r="D9" s="1034">
        <f ca="1">IF(B1="",'数据-汇总表'!E5,IF(INDIRECT("'数据-取费表'!c"&amp;$G$1)="住宅",INDIRECT("'数据-取费表'!k"&amp;$G$1),0))</f>
        <v>0</v>
      </c>
      <c r="E9" s="269">
        <f>'数据-取费表'!B27</f>
        <v>105</v>
      </c>
      <c r="F9" s="265"/>
      <c r="G9" s="270"/>
    </row>
    <row r="10" spans="1:8" s="258" customFormat="1" ht="13.5" customHeight="1">
      <c r="A10" s="952" t="s">
        <v>801</v>
      </c>
      <c r="B10" s="268" t="s">
        <v>2350</v>
      </c>
      <c r="C10" s="269">
        <f ca="1">ROUND(D10*E10,0)</f>
        <v>26245</v>
      </c>
      <c r="D10" s="1034">
        <f ca="1">IF(B1="",'数据-汇总表'!E6,IF(INDIRECT("'数据-取费表'!c"&amp;$G$1)="住宅",INDIRECT("'数据-取费表'!s"&amp;$G$1),INDIRECT("'数据-取费表'!k"&amp;$G$1)+INDIRECT("'数据-取费表'!s"&amp;$G$1)))</f>
        <v>249.95</v>
      </c>
      <c r="E10" s="269">
        <f>'数据-取费表'!B28</f>
        <v>105</v>
      </c>
      <c r="F10" s="265"/>
      <c r="G10" s="270"/>
    </row>
    <row r="11" spans="1:8" s="258" customFormat="1" ht="13.5" hidden="1" customHeight="1">
      <c r="A11" s="271" t="s">
        <v>7</v>
      </c>
      <c r="B11" s="259" t="s">
        <v>2351</v>
      </c>
      <c r="C11" s="255"/>
      <c r="D11" s="1036"/>
      <c r="E11" s="262"/>
      <c r="F11" s="262"/>
      <c r="G11" s="263"/>
    </row>
    <row r="12" spans="1:8" s="258" customFormat="1" ht="13.5" hidden="1" customHeight="1">
      <c r="A12" s="271" t="s">
        <v>8</v>
      </c>
      <c r="B12" s="259" t="s">
        <v>2434</v>
      </c>
      <c r="C12" s="255">
        <v>0</v>
      </c>
      <c r="D12" s="1036"/>
      <c r="E12" s="272"/>
      <c r="F12" s="265">
        <v>3.0499999999999999E-2</v>
      </c>
      <c r="G12" s="263"/>
    </row>
    <row r="13" spans="1:8" s="258" customFormat="1" ht="13.5" hidden="1" customHeight="1">
      <c r="A13" s="271" t="s">
        <v>9</v>
      </c>
      <c r="B13" s="259" t="s">
        <v>2435</v>
      </c>
      <c r="C13" s="255"/>
      <c r="D13" s="1036"/>
      <c r="E13" s="262"/>
      <c r="F13" s="262"/>
      <c r="G13" s="263"/>
    </row>
    <row r="14" spans="1:8" s="258" customFormat="1" ht="13.5" hidden="1" customHeight="1">
      <c r="A14" s="271" t="s">
        <v>10</v>
      </c>
      <c r="B14" s="259" t="s">
        <v>2347</v>
      </c>
      <c r="C14" s="255"/>
      <c r="D14" s="1036"/>
      <c r="E14" s="262"/>
      <c r="F14" s="262"/>
      <c r="G14" s="263" t="s">
        <v>2436</v>
      </c>
    </row>
    <row r="15" spans="1:8" s="258" customFormat="1" ht="13.5" hidden="1" customHeight="1">
      <c r="A15" s="271" t="s">
        <v>11</v>
      </c>
      <c r="B15" s="259" t="s">
        <v>2437</v>
      </c>
      <c r="C15" s="264"/>
      <c r="D15" s="1036"/>
      <c r="E15" s="262"/>
      <c r="F15" s="262"/>
      <c r="G15" s="263" t="s">
        <v>2438</v>
      </c>
    </row>
    <row r="16" spans="1:8" s="258" customFormat="1" ht="13.5" hidden="1" customHeight="1">
      <c r="A16" s="271" t="s">
        <v>12</v>
      </c>
      <c r="B16" s="259" t="s">
        <v>2347</v>
      </c>
      <c r="C16" s="264"/>
      <c r="D16" s="1036"/>
      <c r="E16" s="262"/>
      <c r="F16" s="262"/>
      <c r="G16" s="263"/>
    </row>
    <row r="17" spans="1:7" s="258" customFormat="1" ht="13.5" hidden="1" customHeight="1">
      <c r="A17" s="271" t="s">
        <v>13</v>
      </c>
      <c r="B17" s="259" t="s">
        <v>2439</v>
      </c>
      <c r="C17" s="273"/>
      <c r="D17" s="1037"/>
      <c r="E17" s="273"/>
      <c r="F17" s="273"/>
      <c r="G17" s="263" t="s">
        <v>2438</v>
      </c>
    </row>
    <row r="18" spans="1:7" s="258" customFormat="1" ht="13.5" hidden="1" customHeight="1">
      <c r="A18" s="271" t="s">
        <v>14</v>
      </c>
      <c r="B18" s="259" t="s">
        <v>2440</v>
      </c>
      <c r="C18" s="264">
        <v>0</v>
      </c>
      <c r="D18" s="1036"/>
      <c r="E18" s="262"/>
      <c r="F18" s="265">
        <v>3.0499999999999999E-2</v>
      </c>
      <c r="G18" s="263" t="s">
        <v>2441</v>
      </c>
    </row>
    <row r="19" spans="1:7" s="267" customFormat="1" ht="13.5" customHeight="1">
      <c r="A19" s="299" t="s">
        <v>2442</v>
      </c>
      <c r="B19" s="254" t="s">
        <v>2443</v>
      </c>
      <c r="C19" s="255">
        <f ca="1">IF(G19="已包含在土地取得成本中","0",ROUND(D19*E19,0))</f>
        <v>49990</v>
      </c>
      <c r="D19" s="1038">
        <f ca="1">D9+D10</f>
        <v>249.95</v>
      </c>
      <c r="E19" s="255">
        <f>'数据-取费表'!B31</f>
        <v>200</v>
      </c>
      <c r="F19" s="275"/>
      <c r="G19" s="2552"/>
    </row>
    <row r="20" spans="1:7" s="258" customFormat="1" ht="13.5" customHeight="1">
      <c r="A20" s="299" t="s">
        <v>2444</v>
      </c>
      <c r="B20" s="254" t="s">
        <v>2445</v>
      </c>
      <c r="C20" s="276">
        <f ca="1">ROUND((C5+C19)*F20,0)</f>
        <v>1525</v>
      </c>
      <c r="D20" s="276"/>
      <c r="E20" s="276"/>
      <c r="F20" s="277">
        <f>'数据-取费表'!B37</f>
        <v>0.02</v>
      </c>
      <c r="G20" s="278" t="s">
        <v>2446</v>
      </c>
    </row>
    <row r="21" spans="1:7" s="258" customFormat="1" ht="13.5" customHeight="1">
      <c r="A21" s="299" t="s">
        <v>2447</v>
      </c>
      <c r="B21" s="254" t="s">
        <v>2448</v>
      </c>
      <c r="C21" s="279">
        <f>F21</f>
        <v>0.03</v>
      </c>
      <c r="D21" s="280" t="s">
        <v>2449</v>
      </c>
      <c r="E21" s="276"/>
      <c r="F21" s="277">
        <f>'数据-取费表'!B38</f>
        <v>0.03</v>
      </c>
      <c r="G21" s="278" t="s">
        <v>2450</v>
      </c>
    </row>
    <row r="22" spans="1:7" s="258" customFormat="1" ht="13.5" customHeight="1">
      <c r="A22" s="299" t="s">
        <v>2451</v>
      </c>
      <c r="B22" s="254" t="s">
        <v>2452</v>
      </c>
      <c r="C22" s="1382">
        <f ca="1">ROUND(SUM(C23:C25),0)</f>
        <v>7486</v>
      </c>
      <c r="D22" s="279">
        <f ca="1">C26</f>
        <v>1.4E-3</v>
      </c>
      <c r="E22" s="280" t="s">
        <v>2449</v>
      </c>
      <c r="F22" s="281">
        <f ca="1">'数据-取费表'!B40</f>
        <v>4.7500000000000001E-2</v>
      </c>
      <c r="G22" s="278" t="str">
        <f>IF('数据-取费表'!B22&lt;=1,"单利计息","复利计息")</f>
        <v>复利计息</v>
      </c>
    </row>
    <row r="23" spans="1:7" s="258" customFormat="1" ht="13.5" customHeight="1">
      <c r="A23" s="953" t="s">
        <v>2342</v>
      </c>
      <c r="B23" s="259" t="s">
        <v>2453</v>
      </c>
      <c r="C23" s="1383">
        <f ca="1">ROUND(IF('数据-取费表'!B22&lt;=1,C5*F22*'数据-取费表'!B22,C5*(POWER((1+F22),'数据-取费表'!B22)-1)),0)</f>
        <v>2552</v>
      </c>
      <c r="D23" s="282"/>
      <c r="E23" s="282"/>
      <c r="F23" s="283"/>
      <c r="G23" s="284" t="s">
        <v>2454</v>
      </c>
    </row>
    <row r="24" spans="1:7" s="258" customFormat="1" ht="13.5" customHeight="1">
      <c r="A24" s="953" t="s">
        <v>2344</v>
      </c>
      <c r="B24" s="259" t="s">
        <v>2455</v>
      </c>
      <c r="C24" s="1383">
        <f ca="1">ROUND(IF('数据-取费表'!B22&lt;=1,C19*F22*('数据-取费表'!B19/2+'数据-取费表'!B20),C19*(POWER((1+F22),('数据-取费表'!B19/2+'数据-取费表'!B20))-1)),0)</f>
        <v>4862</v>
      </c>
      <c r="D24" s="282"/>
      <c r="E24" s="282"/>
      <c r="F24" s="283"/>
      <c r="G24" s="284" t="s">
        <v>2456</v>
      </c>
    </row>
    <row r="25" spans="1:7" s="258" customFormat="1" ht="24">
      <c r="A25" s="953" t="s">
        <v>2346</v>
      </c>
      <c r="B25" s="259" t="s">
        <v>2457</v>
      </c>
      <c r="C25" s="1383">
        <f ca="1">ROUND(IF('数据-取费表'!B22&lt;=1,C20*F22*'数据-取费表'!B22/2,C20*(POWER((1+F22),'数据-取费表'!B22/2)-1)),0)</f>
        <v>72</v>
      </c>
      <c r="D25" s="282"/>
      <c r="E25" s="285"/>
      <c r="F25" s="283"/>
      <c r="G25" s="286" t="s">
        <v>2458</v>
      </c>
    </row>
    <row r="26" spans="1:7" s="258" customFormat="1">
      <c r="A26" s="953" t="s">
        <v>795</v>
      </c>
      <c r="B26" s="259" t="s">
        <v>2381</v>
      </c>
      <c r="C26" s="282">
        <f ca="1">ROUND(IF('数据-取费表'!B22&lt;=1,F21*F22*'数据-取费表'!B22/2,F21*(POWER((1+F22),'数据-取费表'!B22/2)-1)),4)</f>
        <v>1.4E-3</v>
      </c>
      <c r="D26" s="282"/>
      <c r="E26" s="285"/>
      <c r="F26" s="283"/>
      <c r="G26" s="287"/>
    </row>
    <row r="27" spans="1:7" s="258" customFormat="1" ht="24.75">
      <c r="A27" s="299" t="s">
        <v>2382</v>
      </c>
      <c r="B27" s="288" t="s">
        <v>2383</v>
      </c>
      <c r="C27" s="289">
        <f ca="1">C28</f>
        <v>19440</v>
      </c>
      <c r="D27" s="279">
        <f ca="1">C29</f>
        <v>7.4999999999999997E-3</v>
      </c>
      <c r="E27" s="280" t="s">
        <v>2384</v>
      </c>
      <c r="F27" s="290">
        <f ca="1">IF(B1="",'数据-取费表'!Q16,INDIRECT("'数据-取费表'!q"&amp;$G$1))</f>
        <v>0.25</v>
      </c>
      <c r="G27" s="291" t="s">
        <v>2385</v>
      </c>
    </row>
    <row r="28" spans="1:7" s="258" customFormat="1" ht="13.5" customHeight="1">
      <c r="A28" s="953" t="s">
        <v>791</v>
      </c>
      <c r="B28" s="292" t="s">
        <v>2386</v>
      </c>
      <c r="C28" s="293">
        <f ca="1">ROUND((C5+C19+C20)*F27,0)</f>
        <v>19440</v>
      </c>
      <c r="D28" s="279"/>
      <c r="E28" s="280"/>
      <c r="F28" s="290"/>
      <c r="G28" s="291"/>
    </row>
    <row r="29" spans="1:7" s="258" customFormat="1" ht="13.5" customHeight="1">
      <c r="A29" s="953" t="s">
        <v>792</v>
      </c>
      <c r="B29" s="292" t="s">
        <v>2387</v>
      </c>
      <c r="C29" s="282">
        <f ca="1">ROUND(C21*F27,4)</f>
        <v>7.4999999999999997E-3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115318</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781344</v>
      </c>
      <c r="D33" s="276"/>
      <c r="E33" s="256"/>
      <c r="F33" s="285"/>
      <c r="G33" s="278"/>
    </row>
    <row r="34" spans="1:7" s="302" customFormat="1" ht="13.5" customHeight="1">
      <c r="A34" s="953" t="s">
        <v>791</v>
      </c>
      <c r="B34" s="259" t="s">
        <v>2395</v>
      </c>
      <c r="C34" s="264">
        <f ca="1">ROUND(IF(B1="",SUMPRODUCT('数据-取费表'!K6:K14,'数据-取费表'!L6:L14),INDIRECT("'数据-取费表'!l"&amp;$G$1)*INDIRECT("'数据-取费表'!k"&amp;$G$1)+'数据-取费表'!L14*INDIRECT("'数据-取费表'!S"&amp;$G$1)),0)</f>
        <v>699860</v>
      </c>
      <c r="D34" s="261"/>
      <c r="E34" s="264"/>
      <c r="F34" s="301"/>
      <c r="G34" s="263"/>
    </row>
    <row r="35" spans="1:7" ht="13.5" customHeight="1">
      <c r="A35" s="953" t="s">
        <v>796</v>
      </c>
      <c r="B35" s="259" t="s">
        <v>2397</v>
      </c>
      <c r="C35" s="264">
        <f ca="1">ROUND(C34*F35,0)</f>
        <v>20996</v>
      </c>
      <c r="D35" s="264"/>
      <c r="E35" s="264"/>
      <c r="F35" s="303">
        <f>'数据-取费表'!B33</f>
        <v>0.03</v>
      </c>
      <c r="G35" s="263" t="s">
        <v>2398</v>
      </c>
    </row>
    <row r="36" spans="1:7" ht="24">
      <c r="A36" s="953" t="s">
        <v>797</v>
      </c>
      <c r="B36" s="259" t="s">
        <v>2399</v>
      </c>
      <c r="C36" s="264">
        <f ca="1">ROUND(IF(B1="",SUM('数据-取费表'!AP6:AP13)*F36,IF(INDIRECT("'数据-取费表'!c"&amp;$G$1)="住宅",INDIRECT("'数据-取费表'!k"&amp;$G$1)*INDIRECT("'数据-取费表'!l"&amp;$G$1)*F36,0)),0)</f>
        <v>0</v>
      </c>
      <c r="D36" s="264"/>
      <c r="E36" s="264"/>
      <c r="F36" s="303">
        <f>'数据-取费表'!B34</f>
        <v>0.05</v>
      </c>
      <c r="G36" s="304" t="s">
        <v>2400</v>
      </c>
    </row>
    <row r="37" spans="1:7" s="302" customFormat="1" ht="13.5" customHeight="1">
      <c r="A37" s="953" t="s">
        <v>798</v>
      </c>
      <c r="B37" s="259" t="s">
        <v>2401</v>
      </c>
      <c r="C37" s="293">
        <f ca="1">ROUND(E37*D37,0)</f>
        <v>49990</v>
      </c>
      <c r="D37" s="261">
        <f ca="1">D19</f>
        <v>249.95</v>
      </c>
      <c r="E37" s="293">
        <f>'数据-取费表'!B35</f>
        <v>200</v>
      </c>
      <c r="F37" s="303"/>
      <c r="G37" s="305"/>
    </row>
    <row r="38" spans="1:7" ht="13.5" customHeight="1">
      <c r="A38" s="953" t="s">
        <v>799</v>
      </c>
      <c r="B38" s="259" t="s">
        <v>2403</v>
      </c>
      <c r="C38" s="264">
        <f ca="1">ROUND(C34*F38,0)</f>
        <v>10498</v>
      </c>
      <c r="D38" s="264"/>
      <c r="E38" s="264"/>
      <c r="F38" s="303">
        <f>'数据-取费表'!B36</f>
        <v>1.4999999999999999E-2</v>
      </c>
      <c r="G38" s="263" t="s">
        <v>2398</v>
      </c>
    </row>
    <row r="39" spans="1:7" s="258" customFormat="1" ht="13.5" customHeight="1">
      <c r="A39" s="299" t="s">
        <v>2404</v>
      </c>
      <c r="B39" s="254" t="s">
        <v>2405</v>
      </c>
      <c r="C39" s="276">
        <f ca="1">ROUND(C33*F20,0)</f>
        <v>15627</v>
      </c>
      <c r="D39" s="276"/>
      <c r="E39" s="276"/>
      <c r="F39" s="277"/>
      <c r="G39" s="278" t="s">
        <v>2406</v>
      </c>
    </row>
    <row r="40" spans="1:7" s="258" customFormat="1" ht="13.5" customHeight="1">
      <c r="A40" s="299" t="s">
        <v>2407</v>
      </c>
      <c r="B40" s="254" t="s">
        <v>2408</v>
      </c>
      <c r="C40" s="1730">
        <f>F21</f>
        <v>0.03</v>
      </c>
      <c r="D40" s="280" t="s">
        <v>2409</v>
      </c>
      <c r="E40" s="276"/>
      <c r="F40" s="277"/>
      <c r="G40" s="278" t="s">
        <v>2410</v>
      </c>
    </row>
    <row r="41" spans="1:7" s="258" customFormat="1" ht="13.5" customHeight="1">
      <c r="A41" s="299" t="s">
        <v>2411</v>
      </c>
      <c r="B41" s="254" t="s">
        <v>2412</v>
      </c>
      <c r="C41" s="276">
        <f ca="1">ROUND(SUM(C42:C43),0)</f>
        <v>37856</v>
      </c>
      <c r="D41" s="279">
        <f ca="1">C44</f>
        <v>1.4E-3</v>
      </c>
      <c r="E41" s="280" t="s">
        <v>2409</v>
      </c>
      <c r="F41" s="281"/>
      <c r="G41" s="278" t="str">
        <f>IF('数据-取费表'!B22&lt;=1,"单利计息","复利计息")</f>
        <v>复利计息</v>
      </c>
    </row>
    <row r="42" spans="1:7" ht="13.5" customHeight="1">
      <c r="A42" s="953" t="s">
        <v>791</v>
      </c>
      <c r="B42" s="259" t="s">
        <v>2413</v>
      </c>
      <c r="C42" s="282">
        <f ca="1">ROUND(IF('数据-取费表'!B22&lt;=1,C33*F22*'数据-取费表'!B20/2,C33*(POWER((1+F22),'数据-取费表'!B20/2)-1)),0)</f>
        <v>37114</v>
      </c>
      <c r="D42" s="282"/>
      <c r="E42" s="282"/>
      <c r="F42" s="283"/>
      <c r="G42" s="3167" t="s">
        <v>2461</v>
      </c>
    </row>
    <row r="43" spans="1:7" ht="13.5" customHeight="1">
      <c r="A43" s="953" t="s">
        <v>792</v>
      </c>
      <c r="B43" s="259" t="s">
        <v>2415</v>
      </c>
      <c r="C43" s="282">
        <f ca="1">ROUND(IF('数据-取费表'!B22&lt;=1,C39*F22*'数据-取费表'!B20/2,C39*(POWER((1+F22),'数据-取费表'!B20/2)-1)),0)</f>
        <v>742</v>
      </c>
      <c r="D43" s="282"/>
      <c r="E43" s="282"/>
      <c r="F43" s="283"/>
      <c r="G43" s="3168"/>
    </row>
    <row r="44" spans="1:7" ht="13.5" customHeight="1">
      <c r="A44" s="953" t="s">
        <v>793</v>
      </c>
      <c r="B44" s="259" t="s">
        <v>2416</v>
      </c>
      <c r="C44" s="282">
        <f ca="1">ROUND(IF('数据-取费表'!B22&lt;=1,C40*F22*'数据-取费表'!B20/2,C40*(POWER((1+F22),'数据-取费表'!B20/2)-1)),4)</f>
        <v>1.4E-3</v>
      </c>
      <c r="D44" s="282"/>
      <c r="E44" s="282"/>
      <c r="F44" s="283"/>
      <c r="G44" s="3169"/>
    </row>
    <row r="45" spans="1:7" s="258" customFormat="1" ht="13.5" customHeight="1">
      <c r="A45" s="299" t="s">
        <v>2417</v>
      </c>
      <c r="B45" s="288" t="s">
        <v>2383</v>
      </c>
      <c r="C45" s="289">
        <f ca="1">C46</f>
        <v>199243</v>
      </c>
      <c r="D45" s="279">
        <f ca="1">C47</f>
        <v>7.4999999999999997E-3</v>
      </c>
      <c r="E45" s="280" t="s">
        <v>2409</v>
      </c>
      <c r="F45" s="290"/>
      <c r="G45" s="291" t="s">
        <v>2418</v>
      </c>
    </row>
    <row r="46" spans="1:7" s="258" customFormat="1" ht="13.5" customHeight="1">
      <c r="A46" s="953" t="s">
        <v>791</v>
      </c>
      <c r="B46" s="292" t="s">
        <v>2419</v>
      </c>
      <c r="C46" s="293">
        <f ca="1">ROUND((C33+C39)*F27,0)</f>
        <v>199243</v>
      </c>
      <c r="D46" s="307"/>
      <c r="E46" s="280"/>
      <c r="F46" s="290"/>
      <c r="G46" s="291"/>
    </row>
    <row r="47" spans="1:7" s="258" customFormat="1" ht="13.5" customHeight="1">
      <c r="A47" s="953" t="s">
        <v>792</v>
      </c>
      <c r="B47" s="292" t="s">
        <v>2420</v>
      </c>
      <c r="C47" s="282">
        <f ca="1">ROUND(C40*F27,4)</f>
        <v>7.4999999999999997E-3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1139095</v>
      </c>
      <c r="D49" s="276"/>
      <c r="E49" s="276"/>
      <c r="F49" s="308"/>
      <c r="G49" s="278" t="s">
        <v>2424</v>
      </c>
    </row>
    <row r="50" spans="1:7" s="302" customFormat="1">
      <c r="A50" s="299" t="s">
        <v>2425</v>
      </c>
      <c r="B50" s="254" t="s">
        <v>2426</v>
      </c>
      <c r="C50" s="276"/>
      <c r="D50" s="276"/>
      <c r="E50" s="276"/>
      <c r="F50" s="308">
        <f>IF('数据-取费表'!B24=0,'数据-取费表'!N16,1)</f>
        <v>0.94</v>
      </c>
      <c r="G50" s="291"/>
    </row>
    <row r="51" spans="1:7" ht="16.5" customHeight="1">
      <c r="A51" s="299" t="s">
        <v>2428</v>
      </c>
      <c r="B51" s="254" t="s">
        <v>2463</v>
      </c>
      <c r="C51" s="276">
        <f ca="1">ROUND(C49*F50,0)</f>
        <v>1070749</v>
      </c>
      <c r="D51" s="276"/>
      <c r="E51" s="276"/>
      <c r="F51" s="308"/>
      <c r="G51" s="278" t="s">
        <v>2430</v>
      </c>
    </row>
    <row r="52" spans="1:7" s="252" customFormat="1" ht="16.5" thickBot="1">
      <c r="A52" s="309" t="s">
        <v>2431</v>
      </c>
      <c r="B52" s="310"/>
      <c r="C52" s="311">
        <f ca="1">C31+C51</f>
        <v>1186067</v>
      </c>
      <c r="D52" s="310"/>
      <c r="E52" s="310"/>
      <c r="F52" s="310"/>
      <c r="G52" s="312"/>
    </row>
    <row r="55" spans="1:7" ht="15">
      <c r="B55" s="314" t="s">
        <v>2432</v>
      </c>
      <c r="C55" s="315"/>
    </row>
    <row r="56" spans="1:7">
      <c r="B56" s="317" t="s">
        <v>1513</v>
      </c>
      <c r="C56" s="319">
        <f ca="1">1-C57</f>
        <v>9.6999999999999975E-2</v>
      </c>
    </row>
    <row r="57" spans="1:7">
      <c r="B57" s="317" t="s">
        <v>1514</v>
      </c>
      <c r="C57" s="318">
        <f ca="1">ROUND(C51/C52,3)</f>
        <v>0.90300000000000002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2464</v>
      </c>
      <c r="B1" s="1583"/>
      <c r="C1" s="1584"/>
      <c r="D1" s="1582"/>
      <c r="E1" s="320"/>
      <c r="F1" s="320"/>
      <c r="G1" s="1583"/>
      <c r="H1" s="320"/>
      <c r="I1" s="320"/>
      <c r="J1" s="320"/>
      <c r="K1" s="320">
        <f>MATCH(C1,'数据-取费表'!A6:A16,0)+5</f>
        <v>7</v>
      </c>
    </row>
    <row r="2" spans="1:33" ht="18" customHeight="1">
      <c r="A2" s="245" t="s">
        <v>2332</v>
      </c>
      <c r="B2" s="248">
        <f ca="1">C32</f>
        <v>0</v>
      </c>
      <c r="C2" s="320" t="s">
        <v>2465</v>
      </c>
      <c r="D2" s="320"/>
      <c r="E2" s="320"/>
      <c r="F2" s="320"/>
      <c r="G2" s="320"/>
      <c r="H2" s="320"/>
      <c r="I2" s="320"/>
      <c r="J2" s="320"/>
      <c r="K2" s="320"/>
    </row>
    <row r="3" spans="1:33" ht="18" customHeight="1" thickBot="1">
      <c r="A3" s="247" t="s">
        <v>2334</v>
      </c>
      <c r="B3" s="248">
        <f ca="1">ROUND(B2*10000/IF(C1="",'数据-汇总表'!E3,INDIRECT("'数据-取费表'!K"&amp;$K$1)),0)</f>
        <v>0</v>
      </c>
      <c r="C3" s="320" t="s">
        <v>2466</v>
      </c>
      <c r="D3" s="320"/>
      <c r="E3" s="320"/>
      <c r="F3" s="320"/>
      <c r="G3" s="320"/>
      <c r="H3" s="320"/>
      <c r="I3" s="320"/>
      <c r="J3" s="320"/>
      <c r="K3" s="320"/>
    </row>
    <row r="4" spans="1:33" s="958" customFormat="1" ht="16.5" customHeight="1">
      <c r="A4" s="955" t="s">
        <v>2467</v>
      </c>
      <c r="B4" s="956"/>
      <c r="C4" s="998">
        <f>SUM(C8:K8)</f>
        <v>0</v>
      </c>
      <c r="D4" s="956"/>
      <c r="E4" s="956"/>
      <c r="F4" s="956"/>
      <c r="G4" s="956"/>
      <c r="H4" s="956"/>
      <c r="I4" s="956"/>
      <c r="J4" s="956"/>
      <c r="K4" s="957"/>
    </row>
    <row r="5" spans="1:33" s="962" customFormat="1" ht="24.75">
      <c r="A5" s="959" t="s">
        <v>2468</v>
      </c>
      <c r="B5" s="960" t="s">
        <v>2469</v>
      </c>
      <c r="C5" s="2556" t="s">
        <v>2470</v>
      </c>
      <c r="D5" s="2556" t="s">
        <v>2471</v>
      </c>
      <c r="E5" s="2556" t="s">
        <v>2472</v>
      </c>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2476</v>
      </c>
      <c r="B8" s="177" t="s">
        <v>2477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2478</v>
      </c>
      <c r="B9" s="956"/>
      <c r="C9" s="956"/>
      <c r="D9" s="956"/>
      <c r="E9" s="956"/>
      <c r="F9" s="956"/>
      <c r="G9" s="956"/>
      <c r="H9" s="956"/>
      <c r="I9" s="956"/>
      <c r="J9" s="956"/>
      <c r="K9" s="957"/>
    </row>
    <row r="10" spans="1:33" s="972" customFormat="1" ht="13.5" customHeight="1">
      <c r="A10" s="959" t="s">
        <v>2479</v>
      </c>
      <c r="B10" s="8" t="s">
        <v>2480</v>
      </c>
      <c r="C10" s="968" t="s">
        <v>2481</v>
      </c>
      <c r="D10" s="969" t="s">
        <v>2482</v>
      </c>
      <c r="E10" s="969" t="s">
        <v>2483</v>
      </c>
      <c r="F10" s="969" t="s">
        <v>2484</v>
      </c>
      <c r="G10" s="8"/>
      <c r="H10" s="970"/>
      <c r="I10" s="970"/>
      <c r="J10" s="970"/>
      <c r="K10" s="971"/>
    </row>
    <row r="11" spans="1:33" s="977" customFormat="1" ht="13.5" customHeight="1">
      <c r="A11" s="973" t="s">
        <v>1334</v>
      </c>
      <c r="B11" s="974" t="s">
        <v>2485</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2486</v>
      </c>
      <c r="C12" s="24">
        <f ca="1">ROUND(C11*F12,0)</f>
        <v>0</v>
      </c>
      <c r="D12" s="975"/>
      <c r="E12" s="375"/>
      <c r="F12" s="978">
        <f>'数据-取费表'!B33</f>
        <v>0.03</v>
      </c>
      <c r="G12" s="8" t="s">
        <v>2487</v>
      </c>
      <c r="H12" s="970"/>
      <c r="I12" s="970"/>
      <c r="J12" s="970"/>
      <c r="K12" s="971"/>
    </row>
    <row r="13" spans="1:33" s="977" customFormat="1" ht="13.5" customHeight="1">
      <c r="A13" s="973" t="s">
        <v>1336</v>
      </c>
      <c r="B13" s="974" t="s">
        <v>2488</v>
      </c>
      <c r="C13" s="24">
        <f ca="1">ROUND(IF(C1="",SUMIF('数据-取费表'!C:C,"住宅",'数据-取费表'!P:P)*F13,IF(INDIRECT("'数据-取费表'!c"&amp;$K$1)="住宅",INDIRECT("'数据-取费表'!P"&amp;$K$1)*F13,0)),0)</f>
        <v>0</v>
      </c>
      <c r="D13" s="1035"/>
      <c r="E13" s="375"/>
      <c r="F13" s="978">
        <f>'数据-取费表'!B34</f>
        <v>0.05</v>
      </c>
      <c r="G13" s="8" t="s">
        <v>2489</v>
      </c>
      <c r="H13" s="970"/>
      <c r="I13" s="970"/>
      <c r="J13" s="970"/>
      <c r="K13" s="971"/>
    </row>
    <row r="14" spans="1:33" s="979" customFormat="1" ht="13.5" customHeight="1">
      <c r="A14" s="973" t="s">
        <v>1337</v>
      </c>
      <c r="B14" s="974" t="s">
        <v>2490</v>
      </c>
      <c r="C14" s="24">
        <f ca="1">ROUND(D14*E14*F11/10000,0)</f>
        <v>0</v>
      </c>
      <c r="D14" s="1035">
        <f ca="1">IF(C1="",'数据-汇总表'!E3,INDIRECT("'数据-取费表'!K"&amp;$K$1)+INDIRECT("'数据-取费表'!S"&amp;$K$1))</f>
        <v>249.95</v>
      </c>
      <c r="E14" s="24">
        <f>'数据-取费表'!B35</f>
        <v>200</v>
      </c>
      <c r="F14" s="978"/>
      <c r="G14" s="8" t="s">
        <v>2491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2492</v>
      </c>
      <c r="C15" s="985">
        <f ca="1">ROUND(C11*F15,0)</f>
        <v>0</v>
      </c>
      <c r="D15" s="980"/>
      <c r="E15" s="985"/>
      <c r="F15" s="986">
        <f>'数据-取费表'!B36</f>
        <v>1.4999999999999999E-2</v>
      </c>
      <c r="G15" s="140" t="s">
        <v>2493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2494</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2495</v>
      </c>
      <c r="C17" s="24">
        <f ca="1">ROUND(D17*E17/10000,0)</f>
        <v>0</v>
      </c>
      <c r="D17" s="1035">
        <f ca="1">D14</f>
        <v>249.95</v>
      </c>
      <c r="E17" s="24">
        <f>'数据-取费表'!B32</f>
        <v>0</v>
      </c>
      <c r="F17" s="980"/>
      <c r="G17" s="140" t="s">
        <v>2496</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2497</v>
      </c>
      <c r="C18" s="24">
        <f ca="1">C19+C20-IF(C1="",'数据-取费表'!B29,IF(G18="已全部缴纳",C19+C20,H18))</f>
        <v>0</v>
      </c>
      <c r="D18" s="1035"/>
      <c r="E18" s="24"/>
      <c r="F18" s="978"/>
      <c r="G18" s="2558"/>
      <c r="H18" s="1579"/>
      <c r="I18" s="2559" t="s">
        <v>2498</v>
      </c>
      <c r="J18" s="981"/>
      <c r="K18" s="982"/>
    </row>
    <row r="19" spans="1:33" s="977" customFormat="1" ht="13.5" customHeight="1">
      <c r="A19" s="973" t="s">
        <v>805</v>
      </c>
      <c r="B19" s="974" t="s">
        <v>2499</v>
      </c>
      <c r="C19" s="24">
        <f ca="1">ROUND(D19*E19/10000,0)</f>
        <v>0</v>
      </c>
      <c r="D19" s="1035">
        <f ca="1">IF(C1="",'数据-汇总表'!E5,IF(INDIRECT("'数据-取费表'!c"&amp;$K$1)="住宅",INDIRECT("'数据-取费表'!k"&amp;$K$1),0))</f>
        <v>0</v>
      </c>
      <c r="E19" s="24">
        <f>'数据-取费表'!B27</f>
        <v>105</v>
      </c>
      <c r="F19" s="978"/>
      <c r="G19" s="15"/>
      <c r="H19" s="1581"/>
      <c r="I19" s="983"/>
      <c r="J19" s="983"/>
      <c r="K19" s="984"/>
    </row>
    <row r="20" spans="1:33" s="977" customFormat="1" ht="13.5" customHeight="1">
      <c r="A20" s="973" t="s">
        <v>806</v>
      </c>
      <c r="B20" s="974" t="s">
        <v>2500</v>
      </c>
      <c r="C20" s="24">
        <f ca="1">ROUND(D20*E20/10000,0)</f>
        <v>3</v>
      </c>
      <c r="D20" s="1035">
        <f ca="1">IF(C1="",'数据-汇总表'!E6,IF(INDIRECT("'数据-取费表'!c"&amp;$K$1)="住宅",INDIRECT("'数据-取费表'!s"&amp;$K$1),INDIRECT("'数据-取费表'!k"&amp;$K$1)+INDIRECT("'数据-取费表'!s"&amp;$K$1)))</f>
        <v>249.95</v>
      </c>
      <c r="E20" s="24">
        <f>'数据-取费表'!B28</f>
        <v>105</v>
      </c>
      <c r="F20" s="978"/>
      <c r="G20" s="15"/>
      <c r="H20" s="983"/>
      <c r="I20" s="983"/>
      <c r="J20" s="983"/>
      <c r="K20" s="984"/>
    </row>
    <row r="21" spans="1:33" s="977" customFormat="1" ht="13.5" customHeight="1">
      <c r="A21" s="963" t="s">
        <v>802</v>
      </c>
      <c r="B21" s="987" t="s">
        <v>2501</v>
      </c>
      <c r="C21" s="988">
        <f ca="1">C16+C17+C18</f>
        <v>0</v>
      </c>
      <c r="D21" s="989"/>
      <c r="E21" s="325"/>
      <c r="F21" s="325"/>
      <c r="G21" s="140" t="s">
        <v>2502</v>
      </c>
      <c r="H21" s="981"/>
      <c r="I21" s="981"/>
      <c r="J21" s="981"/>
      <c r="K21" s="982"/>
    </row>
    <row r="22" spans="1:33" s="977" customFormat="1" ht="13.5" customHeight="1">
      <c r="A22" s="963" t="s">
        <v>2474</v>
      </c>
      <c r="B22" s="987" t="s">
        <v>2503</v>
      </c>
      <c r="C22" s="988">
        <f ca="1">ROUND(C21*F22,0)</f>
        <v>0</v>
      </c>
      <c r="D22" s="325"/>
      <c r="E22" s="325"/>
      <c r="F22" s="990">
        <f>'数据-取费表'!B37</f>
        <v>0.02</v>
      </c>
      <c r="G22" s="8" t="s">
        <v>2504</v>
      </c>
      <c r="H22" s="970"/>
      <c r="I22" s="970"/>
      <c r="J22" s="970"/>
      <c r="K22" s="971"/>
    </row>
    <row r="23" spans="1:33" s="977" customFormat="1" ht="13.5" customHeight="1">
      <c r="A23" s="963" t="s">
        <v>2476</v>
      </c>
      <c r="B23" s="987" t="s">
        <v>2505</v>
      </c>
      <c r="C23" s="988">
        <f ca="1">ROUND(C4*F23*F11,0)</f>
        <v>0</v>
      </c>
      <c r="D23" s="325"/>
      <c r="E23" s="325"/>
      <c r="F23" s="990">
        <f>'数据-取费表'!B38</f>
        <v>0.03</v>
      </c>
      <c r="G23" s="8" t="s">
        <v>2506</v>
      </c>
      <c r="H23" s="970"/>
      <c r="I23" s="970"/>
      <c r="J23" s="970"/>
      <c r="K23" s="971"/>
    </row>
    <row r="24" spans="1:33" s="977" customFormat="1" ht="13.5" customHeight="1">
      <c r="A24" s="963" t="s">
        <v>2507</v>
      </c>
      <c r="B24" s="987" t="s">
        <v>2508</v>
      </c>
      <c r="C24" s="324">
        <f>ROUND(F24/(1+'数据-取费表'!C42),4)</f>
        <v>2.9000000000000001E-2</v>
      </c>
      <c r="D24" s="325" t="s">
        <v>15</v>
      </c>
      <c r="E24" s="325"/>
      <c r="F24" s="990">
        <f>'数据-取费表'!B48+'数据-取费表'!B49</f>
        <v>3.0499999999999999E-2</v>
      </c>
      <c r="G24" s="8" t="s">
        <v>2509</v>
      </c>
      <c r="H24" s="992"/>
      <c r="I24" s="992"/>
      <c r="J24" s="992"/>
      <c r="K24" s="993"/>
    </row>
    <row r="25" spans="1:33" s="977" customFormat="1" ht="13.5" customHeight="1">
      <c r="A25" s="963" t="s">
        <v>2510</v>
      </c>
      <c r="B25" s="989" t="s">
        <v>2511</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2512</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2513</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1"/>
      <c r="I27" s="981"/>
      <c r="J27" s="981"/>
      <c r="K27" s="982"/>
    </row>
    <row r="28" spans="1:33" s="333" customFormat="1" ht="13.5" customHeight="1">
      <c r="A28" s="963" t="s">
        <v>2514</v>
      </c>
      <c r="B28" s="2561" t="s">
        <v>2515</v>
      </c>
      <c r="C28" s="331">
        <f ca="1">C30</f>
        <v>0</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2516</v>
      </c>
      <c r="C29" s="328">
        <f ca="1">ROUND((1+C24)*F28*'数据-取费表'!B24/'数据-取费表'!B20,4)</f>
        <v>0</v>
      </c>
      <c r="D29" s="328"/>
      <c r="E29" s="329"/>
      <c r="F29" s="334"/>
      <c r="G29" s="140" t="s">
        <v>2517</v>
      </c>
      <c r="H29" s="981"/>
      <c r="I29" s="981"/>
      <c r="J29" s="981"/>
      <c r="K29" s="982"/>
    </row>
    <row r="30" spans="1:33" s="335" customFormat="1" ht="13.5" customHeight="1">
      <c r="A30" s="973" t="s">
        <v>804</v>
      </c>
      <c r="B30" s="996" t="s">
        <v>2518</v>
      </c>
      <c r="C30" s="336">
        <f ca="1">ROUND((C21+C22+C23)*F28,0)</f>
        <v>0</v>
      </c>
      <c r="D30" s="328"/>
      <c r="E30" s="329"/>
      <c r="F30" s="334"/>
      <c r="G30" s="140"/>
      <c r="H30" s="981"/>
      <c r="I30" s="981"/>
      <c r="J30" s="981"/>
      <c r="K30" s="982"/>
    </row>
    <row r="31" spans="1:33" s="977" customFormat="1" ht="13.5" customHeight="1" thickBot="1">
      <c r="A31" s="2562" t="s">
        <v>2519</v>
      </c>
      <c r="B31" s="1007" t="s">
        <v>2520</v>
      </c>
      <c r="C31" s="1008">
        <f>ROUND(C4*F31/(1+'数据-取费表'!C42),0)</f>
        <v>0</v>
      </c>
      <c r="D31" s="1009"/>
      <c r="E31" s="1010"/>
      <c r="F31" s="1011">
        <f>'数据-取费表'!B41</f>
        <v>5.6000000000000001E-2</v>
      </c>
      <c r="G31" s="1012" t="s">
        <v>2521</v>
      </c>
      <c r="H31" s="1013"/>
      <c r="I31" s="1013"/>
      <c r="J31" s="1013"/>
      <c r="K31" s="1014"/>
    </row>
    <row r="32" spans="1:33" s="972" customFormat="1" ht="13.5" customHeight="1" thickBot="1">
      <c r="A32" s="1002" t="s">
        <v>2522</v>
      </c>
      <c r="B32" s="1003"/>
      <c r="C32" s="1004">
        <f ca="1">ROUND((C4-C21-C22-C23-C25-C28-C31)/(1+C24+D25+D28),0)</f>
        <v>0</v>
      </c>
      <c r="D32" s="1003"/>
      <c r="E32" s="1003"/>
      <c r="F32" s="1003"/>
      <c r="G32" s="1005" t="s">
        <v>2523</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70" t="s">
        <v>1076</v>
      </c>
      <c r="B1" s="3171"/>
      <c r="C1" s="3172"/>
      <c r="D1" s="3173">
        <f>SUM(I10,I15,I20,I21,I23)</f>
        <v>0</v>
      </c>
      <c r="E1" s="3173"/>
      <c r="F1" s="3173"/>
      <c r="G1" s="3173"/>
      <c r="H1" s="3173"/>
      <c r="I1" s="3174"/>
    </row>
    <row r="2" spans="1:9">
      <c r="A2" s="3175" t="s">
        <v>1077</v>
      </c>
      <c r="B2" s="3176" t="s">
        <v>1078</v>
      </c>
      <c r="C2" s="3176"/>
      <c r="D2" s="1303" t="s">
        <v>1079</v>
      </c>
      <c r="E2" s="1303" t="s">
        <v>1080</v>
      </c>
      <c r="F2" s="1303" t="s">
        <v>1081</v>
      </c>
      <c r="G2" s="1303" t="s">
        <v>1082</v>
      </c>
      <c r="H2" s="1303" t="s">
        <v>1083</v>
      </c>
      <c r="I2" s="1304" t="s">
        <v>1084</v>
      </c>
    </row>
    <row r="3" spans="1:9">
      <c r="A3" s="3175"/>
      <c r="B3" s="3176" t="s">
        <v>1085</v>
      </c>
      <c r="C3" s="3176"/>
      <c r="D3" s="1305"/>
      <c r="E3" s="1303"/>
      <c r="F3" s="1306"/>
      <c r="G3" s="1306"/>
      <c r="H3" s="1307"/>
      <c r="I3" s="1308">
        <f>ROUND(D3*E3*F3*G3*H3/10000,0)</f>
        <v>0</v>
      </c>
    </row>
    <row r="4" spans="1:9">
      <c r="A4" s="3175"/>
      <c r="B4" s="3176" t="s">
        <v>1086</v>
      </c>
      <c r="C4" s="3176"/>
      <c r="D4" s="1305"/>
      <c r="E4" s="1303"/>
      <c r="F4" s="1306"/>
      <c r="G4" s="1306"/>
      <c r="H4" s="1307"/>
      <c r="I4" s="1308">
        <f t="shared" ref="I4:I9" si="0">ROUND(D4*E4*F4*G4*H4/10000,0)</f>
        <v>0</v>
      </c>
    </row>
    <row r="5" spans="1:9">
      <c r="A5" s="3175"/>
      <c r="B5" s="3176" t="s">
        <v>1087</v>
      </c>
      <c r="C5" s="3176"/>
      <c r="D5" s="1305"/>
      <c r="E5" s="1303"/>
      <c r="F5" s="1306"/>
      <c r="G5" s="1306"/>
      <c r="H5" s="1307"/>
      <c r="I5" s="1308">
        <f t="shared" si="0"/>
        <v>0</v>
      </c>
    </row>
    <row r="6" spans="1:9">
      <c r="A6" s="3175"/>
      <c r="B6" s="3176" t="s">
        <v>1088</v>
      </c>
      <c r="C6" s="3176"/>
      <c r="D6" s="1305"/>
      <c r="E6" s="1303"/>
      <c r="F6" s="1306"/>
      <c r="G6" s="1306"/>
      <c r="H6" s="1307"/>
      <c r="I6" s="1308">
        <f t="shared" si="0"/>
        <v>0</v>
      </c>
    </row>
    <row r="7" spans="1:9">
      <c r="A7" s="3175"/>
      <c r="B7" s="3176" t="s">
        <v>1089</v>
      </c>
      <c r="C7" s="3176"/>
      <c r="D7" s="1305"/>
      <c r="E7" s="1303"/>
      <c r="F7" s="1306"/>
      <c r="G7" s="1306"/>
      <c r="H7" s="1307"/>
      <c r="I7" s="1308">
        <f t="shared" si="0"/>
        <v>0</v>
      </c>
    </row>
    <row r="8" spans="1:9">
      <c r="A8" s="3175"/>
      <c r="B8" s="3176" t="s">
        <v>1090</v>
      </c>
      <c r="C8" s="3176"/>
      <c r="D8" s="1305"/>
      <c r="E8" s="1303"/>
      <c r="F8" s="1306"/>
      <c r="G8" s="1306"/>
      <c r="H8" s="1307"/>
      <c r="I8" s="1308">
        <f t="shared" si="0"/>
        <v>0</v>
      </c>
    </row>
    <row r="9" spans="1:9">
      <c r="A9" s="3175"/>
      <c r="B9" s="3176" t="s">
        <v>1091</v>
      </c>
      <c r="C9" s="3176"/>
      <c r="D9" s="1305"/>
      <c r="E9" s="1303"/>
      <c r="F9" s="1306"/>
      <c r="G9" s="1306"/>
      <c r="H9" s="1307"/>
      <c r="I9" s="1308">
        <f t="shared" si="0"/>
        <v>0</v>
      </c>
    </row>
    <row r="10" spans="1:9">
      <c r="A10" s="3175"/>
      <c r="B10" s="3177" t="s">
        <v>1092</v>
      </c>
      <c r="C10" s="3177"/>
      <c r="D10" s="1309"/>
      <c r="E10" s="1309" t="e">
        <f>ROUND(D1*10000/D10/H9,0)</f>
        <v>#DIV/0!</v>
      </c>
      <c r="F10" s="1310"/>
      <c r="G10" s="1310"/>
      <c r="H10" s="1311"/>
      <c r="I10" s="1312">
        <f>SUM(I3:I9)</f>
        <v>0</v>
      </c>
    </row>
    <row r="11" spans="1:9" ht="14.25">
      <c r="A11" s="3175" t="s">
        <v>1093</v>
      </c>
      <c r="B11" s="3176" t="s">
        <v>1094</v>
      </c>
      <c r="C11" s="3176"/>
      <c r="D11" s="1305" t="s">
        <v>1095</v>
      </c>
      <c r="E11" s="1305" t="s">
        <v>1096</v>
      </c>
      <c r="F11" s="1306" t="s">
        <v>1097</v>
      </c>
      <c r="G11" s="1306" t="s">
        <v>1083</v>
      </c>
      <c r="H11" s="1313" t="s">
        <v>1098</v>
      </c>
      <c r="I11" s="1304" t="s">
        <v>1084</v>
      </c>
    </row>
    <row r="12" spans="1:9">
      <c r="A12" s="3175"/>
      <c r="B12" s="3176" t="s">
        <v>1099</v>
      </c>
      <c r="C12" s="3176"/>
      <c r="D12" s="1305"/>
      <c r="E12" s="1305"/>
      <c r="F12" s="1306"/>
      <c r="G12" s="1307"/>
      <c r="H12" s="1314"/>
      <c r="I12" s="1304">
        <f>ROUND(D12*E12*F12*G12/10000,0)</f>
        <v>0</v>
      </c>
    </row>
    <row r="13" spans="1:9">
      <c r="A13" s="3175"/>
      <c r="B13" s="3176" t="s">
        <v>1100</v>
      </c>
      <c r="C13" s="3176"/>
      <c r="D13" s="1305"/>
      <c r="E13" s="1305"/>
      <c r="F13" s="1306"/>
      <c r="G13" s="1307"/>
      <c r="H13" s="1314"/>
      <c r="I13" s="1304">
        <f>ROUND(D13*E13*F13*G13/10000,0)</f>
        <v>0</v>
      </c>
    </row>
    <row r="14" spans="1:9">
      <c r="A14" s="3175"/>
      <c r="B14" s="3176" t="s">
        <v>1101</v>
      </c>
      <c r="C14" s="3176"/>
      <c r="D14" s="1305"/>
      <c r="E14" s="1305"/>
      <c r="F14" s="1306"/>
      <c r="G14" s="1307"/>
      <c r="H14" s="1314"/>
      <c r="I14" s="1304">
        <f>ROUND(D14*E14*F14*G14/10000,0)</f>
        <v>0</v>
      </c>
    </row>
    <row r="15" spans="1:9">
      <c r="A15" s="3175"/>
      <c r="B15" s="3177" t="s">
        <v>1092</v>
      </c>
      <c r="C15" s="3177"/>
      <c r="D15" s="1309"/>
      <c r="E15" s="1309">
        <f>SUM(E12:E14)</f>
        <v>0</v>
      </c>
      <c r="F15" s="1310"/>
      <c r="G15" s="1307"/>
      <c r="H15" s="1314"/>
      <c r="I15" s="1315">
        <f>SUM(I12:I14)</f>
        <v>0</v>
      </c>
    </row>
    <row r="16" spans="1:9" ht="24">
      <c r="A16" s="3175" t="s">
        <v>1102</v>
      </c>
      <c r="B16" s="3176" t="s">
        <v>1103</v>
      </c>
      <c r="C16" s="3176"/>
      <c r="D16" s="1305" t="s">
        <v>1079</v>
      </c>
      <c r="E16" s="1316" t="s">
        <v>1104</v>
      </c>
      <c r="F16" s="1306" t="s">
        <v>1105</v>
      </c>
      <c r="G16" s="1307" t="s">
        <v>1083</v>
      </c>
      <c r="H16" s="1313" t="s">
        <v>1098</v>
      </c>
      <c r="I16" s="1304" t="s">
        <v>1084</v>
      </c>
    </row>
    <row r="17" spans="1:9" ht="14.25">
      <c r="A17" s="3175"/>
      <c r="B17" s="3176" t="s">
        <v>1106</v>
      </c>
      <c r="C17" s="3176"/>
      <c r="D17" s="1305"/>
      <c r="E17" s="1305"/>
      <c r="F17" s="1306"/>
      <c r="G17" s="1307"/>
      <c r="H17" s="1317"/>
      <c r="I17" s="1318">
        <f>ROUND(D17*E17*F17*G17/10000,0)</f>
        <v>0</v>
      </c>
    </row>
    <row r="18" spans="1:9" ht="14.25">
      <c r="A18" s="3175"/>
      <c r="B18" s="3176" t="s">
        <v>1107</v>
      </c>
      <c r="C18" s="3176"/>
      <c r="D18" s="1305"/>
      <c r="E18" s="1305"/>
      <c r="F18" s="1306"/>
      <c r="G18" s="1307"/>
      <c r="H18" s="1317"/>
      <c r="I18" s="1318">
        <f>ROUND(D18*E18*F18*G18/10000,0)</f>
        <v>0</v>
      </c>
    </row>
    <row r="19" spans="1:9" ht="14.25">
      <c r="A19" s="3175"/>
      <c r="B19" s="3176" t="s">
        <v>1108</v>
      </c>
      <c r="C19" s="3176"/>
      <c r="D19" s="1305"/>
      <c r="E19" s="1305"/>
      <c r="F19" s="1306"/>
      <c r="G19" s="1307"/>
      <c r="H19" s="1317"/>
      <c r="I19" s="1318">
        <f>ROUND(D19*E19*F19*G19/10000,0)</f>
        <v>0</v>
      </c>
    </row>
    <row r="20" spans="1:9">
      <c r="A20" s="3175"/>
      <c r="B20" s="3177" t="s">
        <v>1092</v>
      </c>
      <c r="C20" s="3177"/>
      <c r="D20" s="1309">
        <f>SUM(D17:D19)</f>
        <v>0</v>
      </c>
      <c r="E20" s="1309"/>
      <c r="F20" s="1310"/>
      <c r="G20" s="1307"/>
      <c r="H20" s="1314"/>
      <c r="I20" s="1315">
        <f>SUM(I17:I19)</f>
        <v>0</v>
      </c>
    </row>
    <row r="21" spans="1:9">
      <c r="A21" s="3175" t="s">
        <v>1109</v>
      </c>
      <c r="B21" s="3179"/>
      <c r="C21" s="3179"/>
      <c r="D21" s="3179"/>
      <c r="E21" s="3179"/>
      <c r="F21" s="3179"/>
      <c r="G21" s="3179"/>
      <c r="H21" s="1767">
        <v>0.1</v>
      </c>
      <c r="I21" s="1312">
        <f>ROUND(I10*H21,0)</f>
        <v>0</v>
      </c>
    </row>
    <row r="22" spans="1:9" ht="14.25">
      <c r="A22" s="3180" t="s">
        <v>1110</v>
      </c>
      <c r="B22" s="3181"/>
      <c r="C22" s="3182"/>
      <c r="D22" s="1319" t="s">
        <v>1111</v>
      </c>
      <c r="E22" s="1319" t="s">
        <v>1112</v>
      </c>
      <c r="F22" s="1320" t="s">
        <v>1113</v>
      </c>
      <c r="G22" s="1320" t="s">
        <v>1114</v>
      </c>
      <c r="H22" s="1313" t="s">
        <v>1115</v>
      </c>
      <c r="I22" s="1304" t="s">
        <v>1116</v>
      </c>
    </row>
    <row r="23" spans="1:9" ht="14.25" thickBot="1">
      <c r="A23" s="3183"/>
      <c r="B23" s="3184"/>
      <c r="C23" s="3185"/>
      <c r="D23" s="1321"/>
      <c r="E23" s="1321"/>
      <c r="F23" s="1321"/>
      <c r="G23" s="1322"/>
      <c r="H23" s="1323"/>
      <c r="I23" s="1324">
        <f>ROUND(E23*D23*F23*(1-G23)/10000,0)</f>
        <v>0</v>
      </c>
    </row>
    <row r="26" spans="1:9">
      <c r="A26" s="1325" t="s">
        <v>1117</v>
      </c>
      <c r="B26" s="1325"/>
      <c r="C26" s="1325"/>
      <c r="D26" s="1325"/>
      <c r="E26" s="3186">
        <f>C27-C30-C31-C32</f>
        <v>0</v>
      </c>
      <c r="F26" s="3186"/>
      <c r="G26" s="3186"/>
      <c r="H26" s="1739" t="s">
        <v>1340</v>
      </c>
    </row>
    <row r="27" spans="1:9">
      <c r="A27" s="1326">
        <v>1</v>
      </c>
      <c r="B27" s="1327" t="s">
        <v>1118</v>
      </c>
      <c r="C27" s="1327">
        <f>C28+C29</f>
        <v>0</v>
      </c>
      <c r="D27" s="1327"/>
      <c r="E27" s="3187"/>
      <c r="F27" s="3187"/>
      <c r="G27" s="3187"/>
    </row>
    <row r="28" spans="1:9">
      <c r="A28" s="1328" t="s">
        <v>1119</v>
      </c>
      <c r="B28" s="1327" t="s">
        <v>1120</v>
      </c>
      <c r="C28" s="1327"/>
      <c r="D28" s="1327"/>
      <c r="E28" s="3187"/>
      <c r="F28" s="3187"/>
      <c r="G28" s="3187"/>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78"/>
      <c r="F32" s="3178"/>
      <c r="G32" s="3178"/>
    </row>
    <row r="33" spans="1:7" hidden="1">
      <c r="A33" s="3188" t="s">
        <v>1129</v>
      </c>
      <c r="B33" s="3189"/>
      <c r="C33" s="3189"/>
      <c r="D33" s="3190"/>
      <c r="E33" s="3186"/>
      <c r="F33" s="3186"/>
      <c r="G33" s="3186"/>
    </row>
    <row r="34" spans="1:7" hidden="1">
      <c r="A34" s="1330">
        <v>1</v>
      </c>
      <c r="B34" s="1327" t="s">
        <v>1130</v>
      </c>
      <c r="C34" s="1327"/>
      <c r="D34" s="1327"/>
      <c r="E34" s="3187"/>
      <c r="F34" s="3187"/>
      <c r="G34" s="3187"/>
    </row>
    <row r="35" spans="1:7" hidden="1">
      <c r="A35" s="1330">
        <v>2</v>
      </c>
      <c r="B35" s="1327" t="s">
        <v>1131</v>
      </c>
      <c r="C35" s="1327"/>
      <c r="D35" s="1327"/>
      <c r="E35" s="3187"/>
      <c r="F35" s="3187"/>
      <c r="G35" s="3187"/>
    </row>
    <row r="36" spans="1:7" hidden="1">
      <c r="A36" s="1330">
        <v>3</v>
      </c>
      <c r="B36" s="1327" t="s">
        <v>1132</v>
      </c>
      <c r="C36" s="1327"/>
      <c r="D36" s="1327"/>
      <c r="E36" s="3187"/>
      <c r="F36" s="3187"/>
      <c r="G36" s="3187"/>
    </row>
    <row r="37" spans="1:7" hidden="1">
      <c r="A37" s="1330">
        <v>4</v>
      </c>
      <c r="B37" s="1327" t="s">
        <v>1133</v>
      </c>
      <c r="C37" s="1327"/>
      <c r="D37" s="1327"/>
      <c r="E37" s="3187"/>
      <c r="F37" s="3187"/>
      <c r="G37" s="3187"/>
    </row>
    <row r="38" spans="1:7" hidden="1">
      <c r="A38" s="3188" t="s">
        <v>1134</v>
      </c>
      <c r="B38" s="3189"/>
      <c r="C38" s="3189"/>
      <c r="D38" s="3190"/>
      <c r="E38" s="3186"/>
      <c r="F38" s="3186"/>
      <c r="G38" s="31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4" t="s">
        <v>2534</v>
      </c>
      <c r="C1" s="1636" t="s">
        <v>2535</v>
      </c>
      <c r="D1" s="1623"/>
      <c r="E1" s="2585"/>
      <c r="F1" s="2586" t="s">
        <v>2536</v>
      </c>
      <c r="G1" s="1633" t="s">
        <v>2537</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8"/>
      <c r="D2" s="1367" t="e">
        <f ca="1">SUMIF(INDIRECT("'"&amp;F2&amp;"'"&amp;"!A:A"),"承租人权益价值",INDIRECT("'"&amp;F2&amp;"'"&amp;"!c:c"))</f>
        <v>#REF!</v>
      </c>
      <c r="E2" s="2589" t="s">
        <v>2538</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2539</v>
      </c>
      <c r="D3" s="399">
        <f>IF(D1="",'数据-汇总表'!E3,SUMIF('数据-汇总表'!$C19:$C33,D1,'数据-汇总表'!$E19:$E33))</f>
        <v>249.95</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2540</v>
      </c>
      <c r="B4" s="402"/>
      <c r="C4" s="3209" t="s">
        <v>2541</v>
      </c>
      <c r="D4" s="3210"/>
      <c r="E4" s="3211" t="s">
        <v>2542</v>
      </c>
      <c r="F4" s="3212"/>
      <c r="G4" s="3209" t="s">
        <v>2543</v>
      </c>
      <c r="H4" s="3210"/>
      <c r="I4" s="3209" t="s">
        <v>2544</v>
      </c>
      <c r="J4" s="3210"/>
      <c r="K4" s="2598" t="s">
        <v>2545</v>
      </c>
      <c r="L4" s="1132"/>
      <c r="M4" s="1133"/>
      <c r="N4" s="1133"/>
      <c r="O4" s="1133"/>
      <c r="P4" s="3213" t="s">
        <v>2546</v>
      </c>
      <c r="Q4" s="3214"/>
      <c r="R4" s="3196" t="s">
        <v>2542</v>
      </c>
      <c r="S4" s="3197"/>
      <c r="T4" s="3196" t="s">
        <v>2543</v>
      </c>
      <c r="U4" s="3197"/>
      <c r="V4" s="3221" t="s">
        <v>2544</v>
      </c>
      <c r="W4" s="3221"/>
      <c r="X4" s="1813"/>
      <c r="Y4" s="3196" t="s">
        <v>2546</v>
      </c>
      <c r="Z4" s="3197"/>
      <c r="AA4" s="3191" t="s">
        <v>2542</v>
      </c>
      <c r="AB4" s="3191" t="s">
        <v>2543</v>
      </c>
      <c r="AC4" s="3191" t="s">
        <v>2544</v>
      </c>
    </row>
    <row r="5" spans="1:29" ht="15">
      <c r="A5" s="404"/>
      <c r="B5" s="405"/>
      <c r="C5" s="3202" t="s">
        <v>2547</v>
      </c>
      <c r="D5" s="3203"/>
      <c r="E5" s="3200" t="s">
        <v>2548</v>
      </c>
      <c r="F5" s="3201"/>
      <c r="G5" s="3202" t="s">
        <v>2549</v>
      </c>
      <c r="H5" s="3203"/>
      <c r="I5" s="3202" t="s">
        <v>2550</v>
      </c>
      <c r="J5" s="3203"/>
      <c r="K5" s="2599"/>
      <c r="L5" s="1132"/>
      <c r="M5" s="1133"/>
      <c r="N5" s="1133"/>
      <c r="O5" s="1133"/>
      <c r="P5" s="3215"/>
      <c r="Q5" s="3216"/>
      <c r="R5" s="3198"/>
      <c r="S5" s="3199"/>
      <c r="T5" s="3198"/>
      <c r="U5" s="3199"/>
      <c r="V5" s="3221"/>
      <c r="W5" s="3221"/>
      <c r="X5" s="1813"/>
      <c r="Y5" s="3198"/>
      <c r="Z5" s="3199"/>
      <c r="AA5" s="3192"/>
      <c r="AB5" s="3192"/>
      <c r="AC5" s="3192"/>
    </row>
    <row r="6" spans="1:29" ht="15.75" thickBot="1">
      <c r="A6" s="406"/>
      <c r="B6" s="407"/>
      <c r="C6" s="3204" t="s">
        <v>2551</v>
      </c>
      <c r="D6" s="3205"/>
      <c r="E6" s="3206" t="s">
        <v>2551</v>
      </c>
      <c r="F6" s="3207"/>
      <c r="G6" s="3204" t="s">
        <v>2551</v>
      </c>
      <c r="H6" s="3205"/>
      <c r="I6" s="3204" t="s">
        <v>2551</v>
      </c>
      <c r="J6" s="3205"/>
      <c r="K6" s="2599" t="s">
        <v>2552</v>
      </c>
      <c r="L6" s="1132"/>
      <c r="M6" s="1133"/>
      <c r="N6" s="1133"/>
      <c r="O6" s="1133"/>
      <c r="P6" s="3217"/>
      <c r="Q6" s="3218"/>
      <c r="R6" s="3198"/>
      <c r="S6" s="3199"/>
      <c r="T6" s="3219"/>
      <c r="U6" s="3220"/>
      <c r="V6" s="3221"/>
      <c r="W6" s="3221"/>
      <c r="X6" s="1813"/>
      <c r="Y6" s="3219"/>
      <c r="Z6" s="3220"/>
      <c r="AA6" s="3193"/>
      <c r="AB6" s="3193"/>
      <c r="AC6" s="3193"/>
    </row>
    <row r="7" spans="1:29" s="117" customFormat="1" ht="15.75" thickBot="1">
      <c r="A7" s="408" t="s">
        <v>2553</v>
      </c>
      <c r="B7" s="409"/>
      <c r="C7" s="410">
        <f>'数据-取费表'!B2</f>
        <v>43296</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194" t="s">
        <v>2554</v>
      </c>
      <c r="Q7" s="3222"/>
      <c r="R7" s="769" t="s">
        <v>23</v>
      </c>
      <c r="S7" s="770">
        <f t="shared" ref="S7:S15" si="0">F7</f>
        <v>0</v>
      </c>
      <c r="T7" s="769" t="s">
        <v>23</v>
      </c>
      <c r="U7" s="770">
        <f t="shared" ref="U7:U15" si="1">H7</f>
        <v>0</v>
      </c>
      <c r="V7" s="769" t="s">
        <v>23</v>
      </c>
      <c r="W7" s="770">
        <f t="shared" ref="W7:W15" si="2">J7</f>
        <v>0</v>
      </c>
      <c r="X7" s="771"/>
      <c r="Y7" s="3194" t="s">
        <v>2554</v>
      </c>
      <c r="Z7" s="3195"/>
      <c r="AA7" s="772" t="e">
        <f>D7/F7</f>
        <v>#DIV/0!</v>
      </c>
      <c r="AB7" s="772" t="e">
        <f>D7/H7</f>
        <v>#DIV/0!</v>
      </c>
      <c r="AC7" s="772" t="e">
        <f>D7/J7</f>
        <v>#DIV/0!</v>
      </c>
    </row>
    <row r="8" spans="1:29" s="117" customFormat="1" ht="15.75" thickBot="1">
      <c r="A8" s="408" t="s">
        <v>2555</v>
      </c>
      <c r="B8" s="409"/>
      <c r="C8" s="414" t="s">
        <v>2556</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194" t="s">
        <v>2557</v>
      </c>
      <c r="Q8" s="3195"/>
      <c r="R8" s="769" t="s">
        <v>23</v>
      </c>
      <c r="S8" s="770">
        <f t="shared" si="0"/>
        <v>0</v>
      </c>
      <c r="T8" s="769" t="s">
        <v>23</v>
      </c>
      <c r="U8" s="770">
        <f t="shared" si="1"/>
        <v>0</v>
      </c>
      <c r="V8" s="769" t="s">
        <v>23</v>
      </c>
      <c r="W8" s="770">
        <f t="shared" si="2"/>
        <v>0</v>
      </c>
      <c r="X8" s="771"/>
      <c r="Y8" s="3194" t="s">
        <v>2557</v>
      </c>
      <c r="Z8" s="3195"/>
      <c r="AA8" s="772" t="e">
        <f t="shared" ref="AA8:AA19" si="3">D8/F8</f>
        <v>#DIV/0!</v>
      </c>
      <c r="AB8" s="772" t="e">
        <f t="shared" ref="AB8:AB19" si="4">D8/H8</f>
        <v>#DIV/0!</v>
      </c>
      <c r="AC8" s="772"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208" t="s">
        <v>2560</v>
      </c>
      <c r="Q9" s="1795" t="str">
        <f t="shared" ref="Q9:Q15" si="6">B9</f>
        <v>用途</v>
      </c>
      <c r="R9" s="769" t="s">
        <v>17</v>
      </c>
      <c r="S9" s="770">
        <f t="shared" si="0"/>
        <v>100</v>
      </c>
      <c r="T9" s="769" t="s">
        <v>17</v>
      </c>
      <c r="U9" s="770">
        <f t="shared" si="1"/>
        <v>100</v>
      </c>
      <c r="V9" s="769" t="s">
        <v>17</v>
      </c>
      <c r="W9" s="770">
        <f t="shared" si="2"/>
        <v>100</v>
      </c>
      <c r="X9" s="771"/>
      <c r="Y9" s="3047" t="s">
        <v>2561</v>
      </c>
      <c r="Z9" s="55" t="str">
        <f t="shared" ref="Z9:Z15" si="7">Q9</f>
        <v>用途</v>
      </c>
      <c r="AA9" s="772">
        <f t="shared" si="3"/>
        <v>1</v>
      </c>
      <c r="AB9" s="772">
        <f t="shared" si="4"/>
        <v>1</v>
      </c>
      <c r="AC9" s="772">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08"/>
      <c r="Q10" s="1795"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772">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08"/>
      <c r="Q11" s="1795" t="str">
        <f t="shared" si="6"/>
        <v>容积率</v>
      </c>
      <c r="R11" s="769" t="s">
        <v>21</v>
      </c>
      <c r="S11" s="770" t="e">
        <f t="shared" si="0"/>
        <v>#N/A</v>
      </c>
      <c r="T11" s="769" t="s">
        <v>21</v>
      </c>
      <c r="U11" s="770" t="e">
        <f t="shared" si="1"/>
        <v>#N/A</v>
      </c>
      <c r="V11" s="769" t="s">
        <v>21</v>
      </c>
      <c r="W11" s="770" t="e">
        <f t="shared" si="2"/>
        <v>#N/A</v>
      </c>
      <c r="X11" s="771"/>
      <c r="Y11" s="3047"/>
      <c r="Z11" s="55" t="str">
        <f t="shared" si="7"/>
        <v>容积率</v>
      </c>
      <c r="AA11" s="772" t="e">
        <f t="shared" si="3"/>
        <v>#N/A</v>
      </c>
      <c r="AB11" s="772" t="e">
        <f t="shared" si="4"/>
        <v>#N/A</v>
      </c>
      <c r="AC11" s="772"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208"/>
      <c r="Q12" s="1795">
        <f t="shared" si="6"/>
        <v>111</v>
      </c>
      <c r="R12" s="769" t="s">
        <v>21</v>
      </c>
      <c r="S12" s="770">
        <f t="shared" si="0"/>
        <v>100</v>
      </c>
      <c r="T12" s="769" t="s">
        <v>21</v>
      </c>
      <c r="U12" s="770">
        <f t="shared" si="1"/>
        <v>100</v>
      </c>
      <c r="V12" s="769" t="s">
        <v>21</v>
      </c>
      <c r="W12" s="770">
        <f t="shared" si="2"/>
        <v>100</v>
      </c>
      <c r="X12" s="771"/>
      <c r="Y12" s="3047"/>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208"/>
      <c r="Q13" s="1795">
        <f t="shared" si="6"/>
        <v>111</v>
      </c>
      <c r="R13" s="769" t="s">
        <v>21</v>
      </c>
      <c r="S13" s="770">
        <f t="shared" si="0"/>
        <v>100</v>
      </c>
      <c r="T13" s="769" t="s">
        <v>21</v>
      </c>
      <c r="U13" s="770">
        <f t="shared" si="1"/>
        <v>100</v>
      </c>
      <c r="V13" s="769" t="s">
        <v>21</v>
      </c>
      <c r="W13" s="770">
        <f t="shared" si="2"/>
        <v>100</v>
      </c>
      <c r="X13" s="771"/>
      <c r="Y13" s="3047"/>
      <c r="Z13" s="55">
        <f t="shared" si="7"/>
        <v>111</v>
      </c>
      <c r="AA13" s="772">
        <f t="shared" si="3"/>
        <v>1</v>
      </c>
      <c r="AB13" s="772">
        <f t="shared" si="4"/>
        <v>1</v>
      </c>
      <c r="AC13" s="772">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208"/>
      <c r="Q14" s="1795">
        <f t="shared" si="6"/>
        <v>111</v>
      </c>
      <c r="R14" s="769" t="s">
        <v>21</v>
      </c>
      <c r="S14" s="770">
        <f t="shared" si="0"/>
        <v>100</v>
      </c>
      <c r="T14" s="769" t="s">
        <v>21</v>
      </c>
      <c r="U14" s="770">
        <f t="shared" si="1"/>
        <v>100</v>
      </c>
      <c r="V14" s="769" t="s">
        <v>21</v>
      </c>
      <c r="W14" s="770">
        <f t="shared" si="2"/>
        <v>100</v>
      </c>
      <c r="X14" s="771"/>
      <c r="Y14" s="3047"/>
      <c r="Z14" s="55">
        <f t="shared" si="7"/>
        <v>111</v>
      </c>
      <c r="AA14" s="772">
        <f t="shared" si="3"/>
        <v>1</v>
      </c>
      <c r="AB14" s="772">
        <f t="shared" si="4"/>
        <v>1</v>
      </c>
      <c r="AC14" s="772">
        <f t="shared" si="5"/>
        <v>1</v>
      </c>
    </row>
    <row r="15" spans="1:29" ht="99.75">
      <c r="A15" s="440" t="s">
        <v>2564</v>
      </c>
      <c r="B15" s="69" t="s">
        <v>2089</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35" t="s">
        <v>2565</v>
      </c>
      <c r="Q15" s="1810" t="str">
        <f t="shared" si="6"/>
        <v>居住社区成熟度</v>
      </c>
      <c r="R15" s="773" t="s">
        <v>21</v>
      </c>
      <c r="S15" s="774">
        <f t="shared" si="0"/>
        <v>100</v>
      </c>
      <c r="T15" s="773" t="s">
        <v>21</v>
      </c>
      <c r="U15" s="774">
        <f t="shared" si="1"/>
        <v>100</v>
      </c>
      <c r="V15" s="773" t="s">
        <v>21</v>
      </c>
      <c r="W15" s="774">
        <f t="shared" si="2"/>
        <v>100</v>
      </c>
      <c r="X15" s="1813"/>
      <c r="Y15" s="3228" t="s">
        <v>2565</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2"/>
      <c r="M16" s="1133"/>
      <c r="N16" s="1133"/>
      <c r="O16" s="1133"/>
      <c r="P16" s="3236"/>
      <c r="Q16" s="1810"/>
      <c r="R16" s="773"/>
      <c r="S16" s="774"/>
      <c r="T16" s="773"/>
      <c r="U16" s="774"/>
      <c r="V16" s="773"/>
      <c r="W16" s="774"/>
      <c r="X16" s="1813"/>
      <c r="Y16" s="3229"/>
      <c r="Z16" s="1814"/>
      <c r="AA16" s="1811">
        <v>1</v>
      </c>
      <c r="AB16" s="1811">
        <v>1</v>
      </c>
      <c r="AC16" s="1811">
        <v>1</v>
      </c>
    </row>
    <row r="17" spans="1:29" ht="85.5">
      <c r="A17" s="428"/>
      <c r="B17" s="451" t="s">
        <v>2101</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6"/>
      <c r="Q17" s="1810" t="str">
        <f>B17</f>
        <v>交通便捷度</v>
      </c>
      <c r="R17" s="773" t="s">
        <v>21</v>
      </c>
      <c r="S17" s="774">
        <f>F17</f>
        <v>100</v>
      </c>
      <c r="T17" s="773" t="s">
        <v>21</v>
      </c>
      <c r="U17" s="774">
        <f>H17</f>
        <v>100</v>
      </c>
      <c r="V17" s="773" t="s">
        <v>21</v>
      </c>
      <c r="W17" s="774">
        <f>J17</f>
        <v>100</v>
      </c>
      <c r="X17" s="1813"/>
      <c r="Y17" s="3229"/>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2"/>
      <c r="M18" s="1133"/>
      <c r="N18" s="1133"/>
      <c r="O18" s="1133"/>
      <c r="P18" s="3236"/>
      <c r="Q18" s="1810"/>
      <c r="R18" s="773"/>
      <c r="S18" s="774"/>
      <c r="T18" s="773"/>
      <c r="U18" s="774"/>
      <c r="V18" s="773"/>
      <c r="W18" s="774"/>
      <c r="X18" s="1813"/>
      <c r="Y18" s="3229"/>
      <c r="Z18" s="1814"/>
      <c r="AA18" s="1811">
        <v>1</v>
      </c>
      <c r="AB18" s="1811">
        <v>1</v>
      </c>
      <c r="AC18" s="1811">
        <v>1</v>
      </c>
    </row>
    <row r="19" spans="1:29" ht="42.75">
      <c r="A19" s="428"/>
      <c r="B19" s="451" t="s">
        <v>2099</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6"/>
      <c r="Q19" s="1810" t="str">
        <f>B19</f>
        <v>公共配套设施</v>
      </c>
      <c r="R19" s="773" t="s">
        <v>21</v>
      </c>
      <c r="S19" s="774">
        <f>F19</f>
        <v>100</v>
      </c>
      <c r="T19" s="773" t="s">
        <v>21</v>
      </c>
      <c r="U19" s="774">
        <f>H19</f>
        <v>100</v>
      </c>
      <c r="V19" s="773" t="s">
        <v>21</v>
      </c>
      <c r="W19" s="774">
        <f>J19</f>
        <v>100</v>
      </c>
      <c r="X19" s="1813"/>
      <c r="Y19" s="3229"/>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2"/>
      <c r="M20" s="1133"/>
      <c r="N20" s="1133"/>
      <c r="O20" s="1133"/>
      <c r="P20" s="3236"/>
      <c r="Q20" s="1810"/>
      <c r="R20" s="773"/>
      <c r="S20" s="774"/>
      <c r="T20" s="773"/>
      <c r="U20" s="774"/>
      <c r="V20" s="773"/>
      <c r="W20" s="774"/>
      <c r="X20" s="1813"/>
      <c r="Y20" s="3229"/>
      <c r="Z20" s="1814"/>
      <c r="AA20" s="1811">
        <v>1</v>
      </c>
      <c r="AB20" s="1811">
        <v>1</v>
      </c>
      <c r="AC20" s="1811">
        <v>1</v>
      </c>
    </row>
    <row r="21" spans="1:29" ht="28.5">
      <c r="A21" s="428"/>
      <c r="B21" s="1386" t="s">
        <v>2102</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6"/>
      <c r="Q21" s="1810" t="str">
        <f>B21</f>
        <v>基础设施水平</v>
      </c>
      <c r="R21" s="773" t="s">
        <v>17</v>
      </c>
      <c r="S21" s="774">
        <f>F21</f>
        <v>100</v>
      </c>
      <c r="T21" s="773" t="s">
        <v>17</v>
      </c>
      <c r="U21" s="774">
        <f>H21</f>
        <v>100</v>
      </c>
      <c r="V21" s="773" t="s">
        <v>17</v>
      </c>
      <c r="W21" s="774">
        <f>J21</f>
        <v>100</v>
      </c>
      <c r="X21" s="1813"/>
      <c r="Y21" s="3229"/>
      <c r="Z21" s="1814" t="str">
        <f>Q21</f>
        <v>基础设施水平</v>
      </c>
      <c r="AA21" s="1811">
        <f t="shared" ref="AA21" si="8">D21/F21</f>
        <v>1</v>
      </c>
      <c r="AB21" s="1811">
        <f t="shared" ref="AB21" si="9">D21/H21</f>
        <v>1</v>
      </c>
      <c r="AC21" s="1811">
        <f t="shared" ref="AC21" si="10">D21/J21</f>
        <v>1</v>
      </c>
    </row>
    <row r="22" spans="1:29" ht="15">
      <c r="A22" s="428"/>
      <c r="B22" s="1386"/>
      <c r="C22" s="2610"/>
      <c r="D22" s="448"/>
      <c r="E22" s="447"/>
      <c r="F22" s="448"/>
      <c r="G22" s="2613"/>
      <c r="H22" s="448"/>
      <c r="I22" s="447"/>
      <c r="J22" s="448"/>
      <c r="K22" s="2614"/>
      <c r="L22" s="1142"/>
      <c r="M22" s="1133"/>
      <c r="N22" s="1133"/>
      <c r="O22" s="1133"/>
      <c r="P22" s="3236"/>
      <c r="Q22" s="1810"/>
      <c r="R22" s="773"/>
      <c r="S22" s="774"/>
      <c r="T22" s="773"/>
      <c r="U22" s="774"/>
      <c r="V22" s="773"/>
      <c r="W22" s="774"/>
      <c r="X22" s="1813"/>
      <c r="Y22" s="3229"/>
      <c r="Z22" s="1814"/>
      <c r="AA22" s="1811">
        <v>1</v>
      </c>
      <c r="AB22" s="1811">
        <v>1</v>
      </c>
      <c r="AC22" s="1811">
        <v>1</v>
      </c>
    </row>
    <row r="23" spans="1:29" ht="57">
      <c r="A23" s="428"/>
      <c r="B23" s="451" t="s">
        <v>2106</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6"/>
      <c r="Q23" s="1810" t="str">
        <f>B23</f>
        <v>自然及人文环境</v>
      </c>
      <c r="R23" s="773" t="s">
        <v>21</v>
      </c>
      <c r="S23" s="774">
        <f>F23</f>
        <v>100</v>
      </c>
      <c r="T23" s="773" t="s">
        <v>21</v>
      </c>
      <c r="U23" s="774">
        <f>H23</f>
        <v>100</v>
      </c>
      <c r="V23" s="773" t="s">
        <v>21</v>
      </c>
      <c r="W23" s="774">
        <f>J23</f>
        <v>100</v>
      </c>
      <c r="X23" s="1813"/>
      <c r="Y23" s="3229"/>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2"/>
      <c r="M24" s="1133"/>
      <c r="N24" s="1133"/>
      <c r="O24" s="1133"/>
      <c r="P24" s="3236"/>
      <c r="Q24" s="1810"/>
      <c r="R24" s="773"/>
      <c r="S24" s="774"/>
      <c r="T24" s="773"/>
      <c r="U24" s="774"/>
      <c r="V24" s="773"/>
      <c r="W24" s="774"/>
      <c r="X24" s="1813"/>
      <c r="Y24" s="3229"/>
      <c r="Z24" s="1814"/>
      <c r="AA24" s="1811">
        <v>1</v>
      </c>
      <c r="AB24" s="1811">
        <v>1</v>
      </c>
      <c r="AC24" s="1811">
        <v>1</v>
      </c>
    </row>
    <row r="25" spans="1:29" ht="15">
      <c r="A25" s="428"/>
      <c r="B25" s="422" t="s">
        <v>2566</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236"/>
      <c r="Q25" s="1810" t="str">
        <f t="shared" ref="Q25:Q46" si="11">B25</f>
        <v>楼层-1</v>
      </c>
      <c r="R25" s="773" t="s">
        <v>21</v>
      </c>
      <c r="S25" s="774">
        <f t="shared" ref="S25:S46" si="12">F25</f>
        <v>100</v>
      </c>
      <c r="T25" s="773" t="s">
        <v>21</v>
      </c>
      <c r="U25" s="774">
        <f t="shared" ref="U25:U46" si="13">H25</f>
        <v>100</v>
      </c>
      <c r="V25" s="773" t="s">
        <v>21</v>
      </c>
      <c r="W25" s="774">
        <f t="shared" ref="W25:W46" si="14">J25</f>
        <v>100</v>
      </c>
      <c r="X25" s="1813"/>
      <c r="Y25" s="3229"/>
      <c r="Z25" s="1814" t="str">
        <f>Q25</f>
        <v>楼层-1</v>
      </c>
      <c r="AA25" s="1811">
        <f t="shared" ref="AA25:AA46" si="15">D25/F25</f>
        <v>1</v>
      </c>
      <c r="AB25" s="1811">
        <f t="shared" ref="AB25:AB46" si="16">D25/H25</f>
        <v>1</v>
      </c>
      <c r="AC25" s="1811">
        <f t="shared" ref="AC25:AC46" si="17">D25/J25</f>
        <v>1</v>
      </c>
    </row>
    <row r="26" spans="1:29" ht="15">
      <c r="A26" s="428"/>
      <c r="B26" s="422" t="s">
        <v>2567</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236"/>
      <c r="Q26" s="1810" t="str">
        <f t="shared" si="11"/>
        <v>朝向</v>
      </c>
      <c r="R26" s="773" t="s">
        <v>21</v>
      </c>
      <c r="S26" s="774">
        <f t="shared" si="12"/>
        <v>100</v>
      </c>
      <c r="T26" s="773" t="s">
        <v>21</v>
      </c>
      <c r="U26" s="774">
        <f t="shared" si="13"/>
        <v>100</v>
      </c>
      <c r="V26" s="773" t="s">
        <v>21</v>
      </c>
      <c r="W26" s="774">
        <f t="shared" si="14"/>
        <v>100</v>
      </c>
      <c r="X26" s="1813"/>
      <c r="Y26" s="3229"/>
      <c r="Z26" s="1814" t="str">
        <f>Q26</f>
        <v>朝向</v>
      </c>
      <c r="AA26" s="1811">
        <f t="shared" si="15"/>
        <v>1</v>
      </c>
      <c r="AB26" s="1811">
        <f t="shared" si="16"/>
        <v>1</v>
      </c>
      <c r="AC26" s="1811">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236"/>
      <c r="Q27" s="1795">
        <f t="shared" si="11"/>
        <v>111</v>
      </c>
      <c r="R27" s="769" t="s">
        <v>21</v>
      </c>
      <c r="S27" s="770">
        <f t="shared" si="12"/>
        <v>100</v>
      </c>
      <c r="T27" s="769" t="s">
        <v>21</v>
      </c>
      <c r="U27" s="770">
        <f t="shared" si="13"/>
        <v>100</v>
      </c>
      <c r="V27" s="769" t="s">
        <v>21</v>
      </c>
      <c r="W27" s="770">
        <f t="shared" si="14"/>
        <v>100</v>
      </c>
      <c r="X27" s="771"/>
      <c r="Y27" s="3229"/>
      <c r="Z27" s="55">
        <f>Q27</f>
        <v>111</v>
      </c>
      <c r="AA27" s="1811">
        <f t="shared" si="15"/>
        <v>1</v>
      </c>
      <c r="AB27" s="1811">
        <f t="shared" si="16"/>
        <v>1</v>
      </c>
      <c r="AC27" s="1811">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236"/>
      <c r="Q28" s="1810">
        <f t="shared" si="11"/>
        <v>111</v>
      </c>
      <c r="R28" s="773" t="s">
        <v>21</v>
      </c>
      <c r="S28" s="774">
        <f t="shared" si="12"/>
        <v>100</v>
      </c>
      <c r="T28" s="773" t="s">
        <v>21</v>
      </c>
      <c r="U28" s="774">
        <f t="shared" si="13"/>
        <v>100</v>
      </c>
      <c r="V28" s="773" t="s">
        <v>21</v>
      </c>
      <c r="W28" s="774">
        <f t="shared" si="14"/>
        <v>100</v>
      </c>
      <c r="X28" s="1813"/>
      <c r="Y28" s="3229"/>
      <c r="Z28" s="1814">
        <f t="shared" ref="Z28:Z46" si="18">Q28</f>
        <v>111</v>
      </c>
      <c r="AA28" s="1811">
        <f t="shared" si="15"/>
        <v>1</v>
      </c>
      <c r="AB28" s="1811">
        <f t="shared" si="16"/>
        <v>1</v>
      </c>
      <c r="AC28" s="1811">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236"/>
      <c r="Q29" s="1810">
        <f t="shared" si="11"/>
        <v>111</v>
      </c>
      <c r="R29" s="773" t="s">
        <v>21</v>
      </c>
      <c r="S29" s="774">
        <f t="shared" si="12"/>
        <v>100</v>
      </c>
      <c r="T29" s="773" t="s">
        <v>21</v>
      </c>
      <c r="U29" s="774">
        <f t="shared" si="13"/>
        <v>100</v>
      </c>
      <c r="V29" s="773" t="s">
        <v>21</v>
      </c>
      <c r="W29" s="774">
        <f t="shared" si="14"/>
        <v>100</v>
      </c>
      <c r="X29" s="1813"/>
      <c r="Y29" s="3229"/>
      <c r="Z29" s="1814">
        <f t="shared" si="18"/>
        <v>111</v>
      </c>
      <c r="AA29" s="1811">
        <f t="shared" si="15"/>
        <v>1</v>
      </c>
      <c r="AB29" s="1811">
        <f t="shared" si="16"/>
        <v>1</v>
      </c>
      <c r="AC29" s="1811">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236"/>
      <c r="Q30" s="1810">
        <f t="shared" si="11"/>
        <v>111</v>
      </c>
      <c r="R30" s="773" t="s">
        <v>21</v>
      </c>
      <c r="S30" s="774">
        <f t="shared" si="12"/>
        <v>100</v>
      </c>
      <c r="T30" s="773" t="s">
        <v>21</v>
      </c>
      <c r="U30" s="774">
        <f t="shared" si="13"/>
        <v>100</v>
      </c>
      <c r="V30" s="773" t="s">
        <v>21</v>
      </c>
      <c r="W30" s="774">
        <f t="shared" si="14"/>
        <v>100</v>
      </c>
      <c r="X30" s="1813"/>
      <c r="Y30" s="3229"/>
      <c r="Z30" s="1814">
        <f t="shared" si="18"/>
        <v>111</v>
      </c>
      <c r="AA30" s="1811">
        <f t="shared" si="15"/>
        <v>1</v>
      </c>
      <c r="AB30" s="1811">
        <f t="shared" si="16"/>
        <v>1</v>
      </c>
      <c r="AC30" s="1811">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236"/>
      <c r="Q31" s="1810">
        <f t="shared" si="11"/>
        <v>111</v>
      </c>
      <c r="R31" s="773" t="s">
        <v>21</v>
      </c>
      <c r="S31" s="774">
        <f t="shared" si="12"/>
        <v>100</v>
      </c>
      <c r="T31" s="773" t="s">
        <v>21</v>
      </c>
      <c r="U31" s="774">
        <f t="shared" si="13"/>
        <v>100</v>
      </c>
      <c r="V31" s="773" t="s">
        <v>21</v>
      </c>
      <c r="W31" s="774">
        <f t="shared" si="14"/>
        <v>100</v>
      </c>
      <c r="X31" s="1813"/>
      <c r="Y31" s="3229"/>
      <c r="Z31" s="1814">
        <f t="shared" si="18"/>
        <v>111</v>
      </c>
      <c r="AA31" s="1811">
        <f t="shared" si="15"/>
        <v>1</v>
      </c>
      <c r="AB31" s="1811">
        <f t="shared" si="16"/>
        <v>1</v>
      </c>
      <c r="AC31" s="1811">
        <f t="shared" si="17"/>
        <v>1</v>
      </c>
    </row>
    <row r="32" spans="1:29" ht="15">
      <c r="A32" s="440" t="s">
        <v>2568</v>
      </c>
      <c r="B32" s="71" t="s">
        <v>2569</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230" t="s">
        <v>2570</v>
      </c>
      <c r="Q32" s="1810" t="str">
        <f t="shared" si="11"/>
        <v>建筑类型</v>
      </c>
      <c r="R32" s="773" t="s">
        <v>21</v>
      </c>
      <c r="S32" s="774">
        <f t="shared" si="12"/>
        <v>100</v>
      </c>
      <c r="T32" s="773" t="s">
        <v>21</v>
      </c>
      <c r="U32" s="774">
        <f t="shared" si="13"/>
        <v>100</v>
      </c>
      <c r="V32" s="773" t="s">
        <v>21</v>
      </c>
      <c r="W32" s="774">
        <f t="shared" si="14"/>
        <v>100</v>
      </c>
      <c r="X32" s="1813"/>
      <c r="Y32" s="3233" t="s">
        <v>2570</v>
      </c>
      <c r="Z32" s="1814" t="str">
        <f t="shared" si="18"/>
        <v>建筑类型</v>
      </c>
      <c r="AA32" s="1811">
        <f t="shared" si="15"/>
        <v>1</v>
      </c>
      <c r="AB32" s="1811">
        <f t="shared" si="16"/>
        <v>1</v>
      </c>
      <c r="AC32" s="1811">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231"/>
      <c r="Q33" s="775" t="str">
        <f t="shared" si="11"/>
        <v>项目建筑规模</v>
      </c>
      <c r="R33" s="776" t="s">
        <v>21</v>
      </c>
      <c r="S33" s="777" t="e">
        <f t="shared" si="12"/>
        <v>#N/A</v>
      </c>
      <c r="T33" s="776" t="s">
        <v>21</v>
      </c>
      <c r="U33" s="777" t="e">
        <f t="shared" si="13"/>
        <v>#N/A</v>
      </c>
      <c r="V33" s="776" t="s">
        <v>21</v>
      </c>
      <c r="W33" s="777" t="e">
        <f t="shared" si="14"/>
        <v>#N/A</v>
      </c>
      <c r="X33" s="778"/>
      <c r="Y33" s="3233"/>
      <c r="Z33" s="779" t="str">
        <f t="shared" si="18"/>
        <v>项目建筑规模</v>
      </c>
      <c r="AA33" s="1811" t="e">
        <f t="shared" si="15"/>
        <v>#N/A</v>
      </c>
      <c r="AB33" s="1811" t="e">
        <f t="shared" si="16"/>
        <v>#N/A</v>
      </c>
      <c r="AC33" s="1811" t="e">
        <f t="shared" si="17"/>
        <v>#N/A</v>
      </c>
    </row>
    <row r="34" spans="1:29" ht="15">
      <c r="A34" s="472"/>
      <c r="B34" s="422" t="s">
        <v>2572</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231"/>
      <c r="Q34" s="1810" t="str">
        <f t="shared" si="11"/>
        <v>建筑结构</v>
      </c>
      <c r="R34" s="773" t="s">
        <v>21</v>
      </c>
      <c r="S34" s="774">
        <f t="shared" si="12"/>
        <v>100</v>
      </c>
      <c r="T34" s="773" t="s">
        <v>21</v>
      </c>
      <c r="U34" s="774">
        <f t="shared" si="13"/>
        <v>100</v>
      </c>
      <c r="V34" s="773" t="s">
        <v>21</v>
      </c>
      <c r="W34" s="774">
        <f t="shared" si="14"/>
        <v>100</v>
      </c>
      <c r="X34" s="1813"/>
      <c r="Y34" s="3233"/>
      <c r="Z34" s="1814" t="str">
        <f t="shared" si="18"/>
        <v>建筑结构</v>
      </c>
      <c r="AA34" s="1811">
        <f t="shared" si="15"/>
        <v>1</v>
      </c>
      <c r="AB34" s="1811">
        <f t="shared" si="16"/>
        <v>1</v>
      </c>
      <c r="AC34" s="1811">
        <f t="shared" si="17"/>
        <v>1</v>
      </c>
    </row>
    <row r="35" spans="1:29" ht="15">
      <c r="A35" s="472"/>
      <c r="B35" s="422" t="s">
        <v>2573</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231"/>
      <c r="Q35" s="1810" t="str">
        <f t="shared" si="11"/>
        <v>建筑品质</v>
      </c>
      <c r="R35" s="773" t="s">
        <v>21</v>
      </c>
      <c r="S35" s="774">
        <f t="shared" si="12"/>
        <v>100</v>
      </c>
      <c r="T35" s="773" t="s">
        <v>21</v>
      </c>
      <c r="U35" s="774">
        <f t="shared" si="13"/>
        <v>100</v>
      </c>
      <c r="V35" s="773" t="s">
        <v>21</v>
      </c>
      <c r="W35" s="774">
        <f t="shared" si="14"/>
        <v>100</v>
      </c>
      <c r="X35" s="1813"/>
      <c r="Y35" s="3233"/>
      <c r="Z35" s="1814" t="str">
        <f t="shared" si="18"/>
        <v>建筑品质</v>
      </c>
      <c r="AA35" s="1811">
        <f t="shared" si="15"/>
        <v>1</v>
      </c>
      <c r="AB35" s="1811">
        <f t="shared" si="16"/>
        <v>1</v>
      </c>
      <c r="AC35" s="1811">
        <f t="shared" si="17"/>
        <v>1</v>
      </c>
    </row>
    <row r="36" spans="1:29" ht="15">
      <c r="A36" s="472"/>
      <c r="B36" s="422" t="s">
        <v>2574</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231"/>
      <c r="Q36" s="1810" t="str">
        <f t="shared" si="11"/>
        <v>公共部分装修</v>
      </c>
      <c r="R36" s="773" t="s">
        <v>21</v>
      </c>
      <c r="S36" s="774">
        <f t="shared" si="12"/>
        <v>100</v>
      </c>
      <c r="T36" s="773" t="s">
        <v>21</v>
      </c>
      <c r="U36" s="774">
        <f t="shared" si="13"/>
        <v>100</v>
      </c>
      <c r="V36" s="773" t="s">
        <v>21</v>
      </c>
      <c r="W36" s="774">
        <f t="shared" si="14"/>
        <v>100</v>
      </c>
      <c r="X36" s="1813"/>
      <c r="Y36" s="3233"/>
      <c r="Z36" s="1814" t="str">
        <f t="shared" si="18"/>
        <v>公共部分装修</v>
      </c>
      <c r="AA36" s="1811">
        <f t="shared" si="15"/>
        <v>1</v>
      </c>
      <c r="AB36" s="1811">
        <f t="shared" si="16"/>
        <v>1</v>
      </c>
      <c r="AC36" s="1811">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31"/>
      <c r="Q37" s="1795" t="str">
        <f t="shared" si="11"/>
        <v>成新度</v>
      </c>
      <c r="R37" s="769" t="s">
        <v>21</v>
      </c>
      <c r="S37" s="770" t="e">
        <f t="shared" si="12"/>
        <v>#N/A</v>
      </c>
      <c r="T37" s="769" t="s">
        <v>21</v>
      </c>
      <c r="U37" s="770" t="e">
        <f t="shared" si="13"/>
        <v>#N/A</v>
      </c>
      <c r="V37" s="769" t="s">
        <v>21</v>
      </c>
      <c r="W37" s="770" t="e">
        <f t="shared" si="14"/>
        <v>#N/A</v>
      </c>
      <c r="X37" s="771"/>
      <c r="Y37" s="3233"/>
      <c r="Z37" s="55" t="str">
        <f t="shared" si="18"/>
        <v>成新度</v>
      </c>
      <c r="AA37" s="772" t="e">
        <f t="shared" si="15"/>
        <v>#N/A</v>
      </c>
      <c r="AB37" s="772" t="e">
        <f t="shared" si="16"/>
        <v>#N/A</v>
      </c>
      <c r="AC37" s="772" t="e">
        <f t="shared" si="17"/>
        <v>#N/A</v>
      </c>
    </row>
    <row r="38" spans="1:29" ht="15">
      <c r="A38" s="472"/>
      <c r="B38" s="422" t="s">
        <v>2576</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231" t="s">
        <v>2570</v>
      </c>
      <c r="Q38" s="1810" t="str">
        <f t="shared" si="11"/>
        <v>物业管理</v>
      </c>
      <c r="R38" s="773" t="s">
        <v>21</v>
      </c>
      <c r="S38" s="774">
        <f t="shared" si="12"/>
        <v>100</v>
      </c>
      <c r="T38" s="773" t="s">
        <v>21</v>
      </c>
      <c r="U38" s="774">
        <f t="shared" si="13"/>
        <v>100</v>
      </c>
      <c r="V38" s="773" t="s">
        <v>21</v>
      </c>
      <c r="W38" s="774">
        <f t="shared" si="14"/>
        <v>100</v>
      </c>
      <c r="X38" s="1813"/>
      <c r="Y38" s="3233" t="s">
        <v>2570</v>
      </c>
      <c r="Z38" s="1814" t="str">
        <f t="shared" si="18"/>
        <v>物业管理</v>
      </c>
      <c r="AA38" s="1811">
        <f t="shared" si="15"/>
        <v>1</v>
      </c>
      <c r="AB38" s="1811">
        <f t="shared" si="16"/>
        <v>1</v>
      </c>
      <c r="AC38" s="1811">
        <f t="shared" si="17"/>
        <v>1</v>
      </c>
    </row>
    <row r="39" spans="1:29" ht="15">
      <c r="A39" s="472"/>
      <c r="B39" s="422" t="s">
        <v>2577</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231"/>
      <c r="Q39" s="1810" t="str">
        <f t="shared" si="11"/>
        <v>市政基础设施</v>
      </c>
      <c r="R39" s="773" t="s">
        <v>21</v>
      </c>
      <c r="S39" s="774">
        <f t="shared" si="12"/>
        <v>100</v>
      </c>
      <c r="T39" s="773" t="s">
        <v>21</v>
      </c>
      <c r="U39" s="774">
        <f t="shared" si="13"/>
        <v>100</v>
      </c>
      <c r="V39" s="773" t="s">
        <v>21</v>
      </c>
      <c r="W39" s="774">
        <f t="shared" si="14"/>
        <v>100</v>
      </c>
      <c r="X39" s="1813"/>
      <c r="Y39" s="3233"/>
      <c r="Z39" s="1814" t="str">
        <f t="shared" si="18"/>
        <v>市政基础设施</v>
      </c>
      <c r="AA39" s="1811">
        <f t="shared" si="15"/>
        <v>1</v>
      </c>
      <c r="AB39" s="1811">
        <f t="shared" si="16"/>
        <v>1</v>
      </c>
      <c r="AC39" s="1811">
        <f t="shared" si="17"/>
        <v>1</v>
      </c>
    </row>
    <row r="40" spans="1:29" ht="15">
      <c r="A40" s="472"/>
      <c r="B40" s="422" t="s">
        <v>2578</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231"/>
      <c r="Q40" s="1810" t="str">
        <f t="shared" si="11"/>
        <v>房型</v>
      </c>
      <c r="R40" s="773" t="s">
        <v>21</v>
      </c>
      <c r="S40" s="774">
        <f t="shared" si="12"/>
        <v>100</v>
      </c>
      <c r="T40" s="773" t="s">
        <v>21</v>
      </c>
      <c r="U40" s="774">
        <f t="shared" si="13"/>
        <v>100</v>
      </c>
      <c r="V40" s="773" t="s">
        <v>21</v>
      </c>
      <c r="W40" s="774">
        <f t="shared" si="14"/>
        <v>100</v>
      </c>
      <c r="X40" s="1813"/>
      <c r="Y40" s="3233"/>
      <c r="Z40" s="1814" t="str">
        <f t="shared" si="18"/>
        <v>房型</v>
      </c>
      <c r="AA40" s="1811">
        <f t="shared" si="15"/>
        <v>1</v>
      </c>
      <c r="AB40" s="1811">
        <f t="shared" si="16"/>
        <v>1</v>
      </c>
      <c r="AC40" s="1811">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231"/>
      <c r="Q41" s="775" t="str">
        <f t="shared" si="11"/>
        <v>单套/主力户型建筑面积</v>
      </c>
      <c r="R41" s="776" t="s">
        <v>21</v>
      </c>
      <c r="S41" s="777">
        <f t="shared" si="12"/>
        <v>100</v>
      </c>
      <c r="T41" s="776" t="s">
        <v>21</v>
      </c>
      <c r="U41" s="777">
        <f t="shared" si="13"/>
        <v>100</v>
      </c>
      <c r="V41" s="776" t="s">
        <v>21</v>
      </c>
      <c r="W41" s="777">
        <f t="shared" si="14"/>
        <v>100</v>
      </c>
      <c r="X41" s="778"/>
      <c r="Y41" s="3233"/>
      <c r="Z41" s="779" t="str">
        <f t="shared" si="18"/>
        <v>单套/主力户型建筑面积</v>
      </c>
      <c r="AA41" s="1811">
        <f t="shared" si="15"/>
        <v>1</v>
      </c>
      <c r="AB41" s="1811">
        <f t="shared" si="16"/>
        <v>1</v>
      </c>
      <c r="AC41" s="1811">
        <f t="shared" si="17"/>
        <v>1</v>
      </c>
    </row>
    <row r="42" spans="1:29" ht="15">
      <c r="A42" s="472"/>
      <c r="B42" s="422" t="s">
        <v>2580</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231"/>
      <c r="Q42" s="1810" t="str">
        <f t="shared" si="11"/>
        <v>内部装修</v>
      </c>
      <c r="R42" s="773" t="s">
        <v>21</v>
      </c>
      <c r="S42" s="774">
        <f t="shared" si="12"/>
        <v>100</v>
      </c>
      <c r="T42" s="773" t="s">
        <v>21</v>
      </c>
      <c r="U42" s="774">
        <f t="shared" si="13"/>
        <v>100</v>
      </c>
      <c r="V42" s="773" t="s">
        <v>21</v>
      </c>
      <c r="W42" s="774">
        <f t="shared" si="14"/>
        <v>100</v>
      </c>
      <c r="X42" s="1813"/>
      <c r="Y42" s="3233"/>
      <c r="Z42" s="1814" t="str">
        <f t="shared" si="18"/>
        <v>内部装修</v>
      </c>
      <c r="AA42" s="1811">
        <f t="shared" si="15"/>
        <v>1</v>
      </c>
      <c r="AB42" s="1811">
        <f t="shared" si="16"/>
        <v>1</v>
      </c>
      <c r="AC42" s="1811">
        <f t="shared" si="17"/>
        <v>1</v>
      </c>
    </row>
    <row r="43" spans="1:29" ht="15">
      <c r="A43" s="472"/>
      <c r="B43" s="422" t="s">
        <v>2581</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231"/>
      <c r="Q43" s="1810" t="str">
        <f t="shared" si="11"/>
        <v>内部装修维护情况</v>
      </c>
      <c r="R43" s="773" t="s">
        <v>21</v>
      </c>
      <c r="S43" s="774">
        <f t="shared" si="12"/>
        <v>100</v>
      </c>
      <c r="T43" s="773" t="s">
        <v>21</v>
      </c>
      <c r="U43" s="774">
        <f t="shared" si="13"/>
        <v>100</v>
      </c>
      <c r="V43" s="773" t="s">
        <v>21</v>
      </c>
      <c r="W43" s="774">
        <f t="shared" si="14"/>
        <v>100</v>
      </c>
      <c r="X43" s="1813"/>
      <c r="Y43" s="3233"/>
      <c r="Z43" s="1814" t="str">
        <f t="shared" si="18"/>
        <v>内部装修维护情况</v>
      </c>
      <c r="AA43" s="1811">
        <f t="shared" si="15"/>
        <v>1</v>
      </c>
      <c r="AB43" s="1811">
        <f t="shared" si="16"/>
        <v>1</v>
      </c>
      <c r="AC43" s="1811">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231"/>
      <c r="Q44" s="1795">
        <f t="shared" si="11"/>
        <v>111</v>
      </c>
      <c r="R44" s="769" t="s">
        <v>21</v>
      </c>
      <c r="S44" s="770">
        <f t="shared" si="12"/>
        <v>100</v>
      </c>
      <c r="T44" s="769" t="s">
        <v>21</v>
      </c>
      <c r="U44" s="770">
        <f t="shared" si="13"/>
        <v>100</v>
      </c>
      <c r="V44" s="769" t="s">
        <v>21</v>
      </c>
      <c r="W44" s="770">
        <f t="shared" si="14"/>
        <v>100</v>
      </c>
      <c r="X44" s="771"/>
      <c r="Y44" s="3233"/>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231"/>
      <c r="Q45" s="1810">
        <f t="shared" si="11"/>
        <v>111</v>
      </c>
      <c r="R45" s="773" t="s">
        <v>21</v>
      </c>
      <c r="S45" s="774">
        <f t="shared" si="12"/>
        <v>100</v>
      </c>
      <c r="T45" s="773" t="s">
        <v>21</v>
      </c>
      <c r="U45" s="774">
        <f t="shared" si="13"/>
        <v>100</v>
      </c>
      <c r="V45" s="773" t="s">
        <v>21</v>
      </c>
      <c r="W45" s="774">
        <f t="shared" si="14"/>
        <v>100</v>
      </c>
      <c r="X45" s="1813"/>
      <c r="Y45" s="3233"/>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232"/>
      <c r="Q46" s="1810">
        <f t="shared" si="11"/>
        <v>111</v>
      </c>
      <c r="R46" s="773" t="s">
        <v>20</v>
      </c>
      <c r="S46" s="774">
        <f t="shared" si="12"/>
        <v>100</v>
      </c>
      <c r="T46" s="773" t="s">
        <v>20</v>
      </c>
      <c r="U46" s="774">
        <f t="shared" si="13"/>
        <v>100</v>
      </c>
      <c r="V46" s="773" t="s">
        <v>20</v>
      </c>
      <c r="W46" s="774">
        <f t="shared" si="14"/>
        <v>100</v>
      </c>
      <c r="X46" s="1813"/>
      <c r="Y46" s="3234"/>
      <c r="Z46" s="1814">
        <f t="shared" si="18"/>
        <v>111</v>
      </c>
      <c r="AA46" s="1811">
        <f t="shared" si="15"/>
        <v>1</v>
      </c>
      <c r="AB46" s="1811">
        <f t="shared" si="16"/>
        <v>1</v>
      </c>
      <c r="AC46" s="1811">
        <f t="shared" si="17"/>
        <v>1</v>
      </c>
    </row>
    <row r="47" spans="1:29" ht="15">
      <c r="A47" s="479" t="s">
        <v>2582</v>
      </c>
      <c r="B47" s="480"/>
      <c r="C47" s="1409" t="s">
        <v>19</v>
      </c>
      <c r="D47" s="1410"/>
      <c r="E47" s="1411"/>
      <c r="F47" s="1412"/>
      <c r="G47" s="1413"/>
      <c r="H47" s="1414"/>
      <c r="I47" s="1411"/>
      <c r="J47" s="1414"/>
      <c r="K47" s="2623"/>
      <c r="L47" s="1145"/>
      <c r="M47" s="1146"/>
      <c r="N47" s="1133"/>
      <c r="O47" s="1146"/>
      <c r="P47" s="3226" t="str">
        <f>A47</f>
        <v>成交单价（元/平方米）</v>
      </c>
      <c r="Q47" s="3226"/>
      <c r="R47" s="3227">
        <f>E47</f>
        <v>0</v>
      </c>
      <c r="S47" s="3227"/>
      <c r="T47" s="3227">
        <f>G47</f>
        <v>0</v>
      </c>
      <c r="U47" s="3227"/>
      <c r="V47" s="3227">
        <f>I47</f>
        <v>0</v>
      </c>
      <c r="W47" s="3227"/>
      <c r="X47" s="758"/>
      <c r="Y47" s="780"/>
      <c r="Z47" s="758"/>
      <c r="AA47" s="758"/>
      <c r="AB47" s="758"/>
      <c r="AC47" s="758"/>
    </row>
    <row r="48" spans="1:29" ht="15.75" thickBot="1">
      <c r="A48" s="486" t="s">
        <v>2583</v>
      </c>
      <c r="B48" s="487"/>
      <c r="C48" s="1415" t="e">
        <f>R49</f>
        <v>#DIV/0!</v>
      </c>
      <c r="D48" s="1416"/>
      <c r="E48" s="1417" t="e">
        <f>R48</f>
        <v>#DIV/0!</v>
      </c>
      <c r="F48" s="1417"/>
      <c r="G48" s="1415" t="e">
        <f>T48</f>
        <v>#DIV/0!</v>
      </c>
      <c r="H48" s="1416"/>
      <c r="I48" s="1417" t="e">
        <f>V48</f>
        <v>#DIV/0!</v>
      </c>
      <c r="J48" s="1416"/>
      <c r="K48" s="2624"/>
      <c r="L48" s="1145"/>
      <c r="M48" s="1146"/>
      <c r="N48" s="1146"/>
      <c r="O48" s="1146"/>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8"/>
      <c r="Y48" s="758"/>
      <c r="Z48" s="758"/>
      <c r="AA48" s="758"/>
      <c r="AB48" s="758"/>
      <c r="AC48" s="758"/>
    </row>
    <row r="49" spans="1:29" ht="15.75" thickBot="1">
      <c r="A49" s="492" t="s">
        <v>2584</v>
      </c>
      <c r="B49" s="493"/>
      <c r="C49" s="1418" t="e">
        <f>R49</f>
        <v>#DIV/0!</v>
      </c>
      <c r="D49" s="1419"/>
      <c r="E49" s="1419"/>
      <c r="F49" s="1419"/>
      <c r="G49" s="1419"/>
      <c r="H49" s="1419"/>
      <c r="I49" s="1419"/>
      <c r="J49" s="1419"/>
      <c r="K49" s="2625"/>
      <c r="L49" s="1145"/>
      <c r="M49" s="1146"/>
      <c r="N49" s="1146"/>
      <c r="O49" s="1146"/>
      <c r="P49" s="3223" t="str">
        <f>A49</f>
        <v>估价对象XX用房的比较价值（楼面单价，元/平方米）</v>
      </c>
      <c r="Q49" s="3224"/>
      <c r="R49" s="3225" t="e">
        <f>IF(F1="售价",ROUND(AVERAGE(R48:V48),0),ROUND(AVERAGE(R48:V48),1))</f>
        <v>#DIV/0!</v>
      </c>
      <c r="S49" s="3225"/>
      <c r="T49" s="3225"/>
      <c r="U49" s="3225"/>
      <c r="V49" s="3225"/>
      <c r="W49" s="322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2" t="s">
        <v>2588</v>
      </c>
      <c r="B57" s="758"/>
      <c r="C57" s="763"/>
      <c r="D57" s="763"/>
      <c r="E57" s="763"/>
      <c r="F57" s="764"/>
      <c r="G57" s="764"/>
      <c r="H57" s="763"/>
      <c r="I57" s="763"/>
      <c r="J57" s="763"/>
      <c r="K57" s="1162"/>
      <c r="L57" s="1163"/>
      <c r="M57" s="1161"/>
      <c r="N57" s="1161"/>
      <c r="O57" s="1161"/>
      <c r="P57" s="2628"/>
      <c r="Q57" s="504"/>
    </row>
    <row r="58" spans="1:29" s="508" customFormat="1" ht="15">
      <c r="A58" s="505" t="s">
        <v>2589</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2590</v>
      </c>
      <c r="B60" s="516"/>
      <c r="C60" s="517"/>
      <c r="D60" s="518"/>
      <c r="E60" s="518"/>
      <c r="F60" s="518"/>
      <c r="G60" s="518"/>
      <c r="H60" s="518"/>
      <c r="I60" s="518"/>
      <c r="J60" s="518"/>
      <c r="K60" s="518"/>
      <c r="L60" s="518"/>
      <c r="M60" s="519"/>
      <c r="N60" s="518"/>
      <c r="O60" s="519"/>
      <c r="P60" s="2630"/>
      <c r="Q60" s="504"/>
    </row>
    <row r="61" spans="1:29" s="117" customFormat="1" ht="15">
      <c r="A61" s="521" t="s">
        <v>2591</v>
      </c>
      <c r="B61" s="510"/>
      <c r="C61" s="522" t="s">
        <v>2592</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2593</v>
      </c>
      <c r="B63" s="528" t="s">
        <v>2559</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2102</v>
      </c>
      <c r="C82" s="539" t="s">
        <v>2609</v>
      </c>
      <c r="D82" s="539" t="s">
        <v>2610</v>
      </c>
      <c r="E82" s="539" t="s">
        <v>2611</v>
      </c>
      <c r="F82" s="539" t="s">
        <v>2612</v>
      </c>
      <c r="G82" s="539" t="s">
        <v>2613</v>
      </c>
      <c r="H82" s="539"/>
      <c r="I82" s="539"/>
      <c r="J82" s="539"/>
      <c r="K82" s="539"/>
      <c r="L82" s="539"/>
      <c r="M82" s="1384"/>
      <c r="N82" s="1155"/>
      <c r="O82" s="1155"/>
      <c r="P82" s="2632"/>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2"/>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2615</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2616</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2568</v>
      </c>
      <c r="B100" s="528" t="s">
        <v>2617</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2619</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2620</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2621</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2622</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2623</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2624</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2579</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2625</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2627</v>
      </c>
    </row>
    <row r="137" spans="1:17" ht="15">
      <c r="B137" s="2640" t="s">
        <v>2628</v>
      </c>
      <c r="C137" s="2641"/>
      <c r="D137" s="2641"/>
      <c r="E137" s="2641"/>
      <c r="F137" s="2641"/>
      <c r="G137" s="2642"/>
      <c r="H137" s="2643"/>
      <c r="I137" s="2644" t="s">
        <v>2629</v>
      </c>
      <c r="J137" s="2641"/>
      <c r="K137" s="2645"/>
    </row>
    <row r="138" spans="1:17" ht="15">
      <c r="B138" s="2646"/>
      <c r="C138" s="146" t="s">
        <v>2630</v>
      </c>
      <c r="D138" s="146" t="s">
        <v>2631</v>
      </c>
      <c r="E138" s="2647" t="s">
        <v>2632</v>
      </c>
      <c r="F138" s="2648" t="s">
        <v>2633</v>
      </c>
      <c r="G138" s="146" t="s">
        <v>2631</v>
      </c>
      <c r="H138" s="147" t="s">
        <v>2632</v>
      </c>
      <c r="I138" s="2649"/>
      <c r="J138" s="146" t="s">
        <v>2634</v>
      </c>
      <c r="K138" s="147" t="s">
        <v>2635</v>
      </c>
    </row>
    <row r="139" spans="1:17" ht="15">
      <c r="B139" s="1086">
        <v>6</v>
      </c>
      <c r="C139" s="1087">
        <v>96</v>
      </c>
      <c r="D139" s="2650" t="s">
        <v>2636</v>
      </c>
      <c r="E139" s="1088">
        <v>100</v>
      </c>
      <c r="F139" s="1089">
        <v>102.5</v>
      </c>
      <c r="G139" s="2650" t="s">
        <v>2636</v>
      </c>
      <c r="H139" s="1090">
        <v>105</v>
      </c>
      <c r="I139" s="2651" t="s">
        <v>2637</v>
      </c>
      <c r="J139" s="1087">
        <v>20</v>
      </c>
      <c r="K139" s="1091">
        <f>C145/(J139-2)</f>
        <v>4.0555555555555553E-3</v>
      </c>
    </row>
    <row r="140" spans="1:17" ht="15">
      <c r="B140" s="1092">
        <v>5</v>
      </c>
      <c r="C140" s="1093">
        <v>100</v>
      </c>
      <c r="D140" s="1093"/>
      <c r="E140" s="1094"/>
      <c r="F140" s="1095">
        <v>102</v>
      </c>
      <c r="G140" s="1093"/>
      <c r="H140" s="1096"/>
      <c r="I140" s="2652" t="s">
        <v>2638</v>
      </c>
      <c r="J140" s="315">
        <f>ROUNDUP((J139-1)/2,0)</f>
        <v>10</v>
      </c>
      <c r="K140" s="1097">
        <v>100</v>
      </c>
    </row>
    <row r="141" spans="1:17" ht="15">
      <c r="B141" s="1092">
        <v>4</v>
      </c>
      <c r="C141" s="1093">
        <v>102</v>
      </c>
      <c r="D141" s="1093"/>
      <c r="E141" s="1094"/>
      <c r="F141" s="1095">
        <v>101.5</v>
      </c>
      <c r="G141" s="1093"/>
      <c r="H141" s="1096"/>
      <c r="I141" s="2652" t="s">
        <v>2639</v>
      </c>
      <c r="J141" s="315">
        <v>1</v>
      </c>
      <c r="K141" s="1098">
        <f>ROUND(100+(J141-J140)*K139*100,1)</f>
        <v>96.4</v>
      </c>
    </row>
    <row r="142" spans="1:17" ht="15">
      <c r="B142" s="1092">
        <v>3</v>
      </c>
      <c r="C142" s="1093">
        <v>103</v>
      </c>
      <c r="D142" s="1093"/>
      <c r="E142" s="1094"/>
      <c r="F142" s="1095">
        <v>101</v>
      </c>
      <c r="G142" s="1093"/>
      <c r="H142" s="1096"/>
      <c r="I142" s="2652" t="s">
        <v>2640</v>
      </c>
      <c r="J142" s="315">
        <f>J139</f>
        <v>20</v>
      </c>
      <c r="K142" s="1099">
        <v>95</v>
      </c>
    </row>
    <row r="143" spans="1:17" ht="15">
      <c r="B143" s="1092">
        <v>2</v>
      </c>
      <c r="C143" s="1093">
        <v>100</v>
      </c>
      <c r="D143" s="1093"/>
      <c r="E143" s="1094"/>
      <c r="F143" s="1095">
        <v>100.5</v>
      </c>
      <c r="G143" s="1093"/>
      <c r="H143" s="1096"/>
      <c r="I143" s="2652" t="s">
        <v>2641</v>
      </c>
      <c r="J143" s="1093">
        <v>15</v>
      </c>
      <c r="K143" s="1098">
        <f>ROUND(100+(J143-J140)*K139*100,1)</f>
        <v>102</v>
      </c>
    </row>
    <row r="144" spans="1:17" ht="15">
      <c r="B144" s="1092">
        <v>1</v>
      </c>
      <c r="C144" s="1093">
        <v>98</v>
      </c>
      <c r="D144" s="2653" t="s">
        <v>2642</v>
      </c>
      <c r="E144" s="1094">
        <v>102</v>
      </c>
      <c r="F144" s="1100">
        <v>100</v>
      </c>
      <c r="G144" s="2653" t="s">
        <v>2642</v>
      </c>
      <c r="H144" s="1096">
        <v>105</v>
      </c>
      <c r="I144" s="2652" t="s">
        <v>2641</v>
      </c>
      <c r="J144" s="1093">
        <v>18</v>
      </c>
      <c r="K144" s="1098">
        <f>ROUND(100+(J144-J140)*K139*100,1)</f>
        <v>103.2</v>
      </c>
    </row>
    <row r="145" spans="2:11" ht="15.75" thickBot="1">
      <c r="B145" s="2654" t="s">
        <v>2643</v>
      </c>
      <c r="C145" s="1101">
        <f>ROUND(MAX(C139:C144)/MIN(C139:C144)-1,3)</f>
        <v>7.2999999999999995E-2</v>
      </c>
      <c r="D145" s="1102"/>
      <c r="E145" s="1102"/>
      <c r="F145" s="2655" t="s">
        <v>2644</v>
      </c>
      <c r="G145" s="2656"/>
      <c r="H145" s="2657"/>
      <c r="I145" s="2658" t="s">
        <v>2641</v>
      </c>
      <c r="J145" s="1103">
        <v>8</v>
      </c>
      <c r="K145" s="1104">
        <f>ROUND(100+(J145-J140)*K139*100,1)</f>
        <v>99.2</v>
      </c>
    </row>
    <row r="147" spans="2:11">
      <c r="B147" s="2639" t="s">
        <v>2645</v>
      </c>
    </row>
    <row r="148" spans="2:11">
      <c r="B148" s="2639"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I47" sqref="I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4" t="s">
        <v>2647</v>
      </c>
      <c r="C1" s="1636" t="s">
        <v>2535</v>
      </c>
      <c r="D1" s="1623" t="s">
        <v>3376</v>
      </c>
      <c r="E1" s="2659"/>
      <c r="F1" s="2586" t="s">
        <v>3418</v>
      </c>
      <c r="G1" s="1633" t="s">
        <v>2648</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2332</v>
      </c>
      <c r="B2" s="1420">
        <f>IF(C2="——",ROUND(C49*D3/10000,0),ROUND(C49*D3/10000,0)-D2)</f>
        <v>481</v>
      </c>
      <c r="C2" s="2588" t="s">
        <v>70</v>
      </c>
      <c r="D2" s="1367" t="e">
        <f ca="1">SUMIF(INDIRECT("'"&amp;F2&amp;"'"&amp;"!A:A"),"承租人权益价值",INDIRECT("'"&amp;F2&amp;"'"&amp;"!c:c"))</f>
        <v>#REF!</v>
      </c>
      <c r="E2" s="2589" t="s">
        <v>2333</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2334</v>
      </c>
      <c r="B3" s="609">
        <f>IF(C2="——",C49,ROUND(B2*10000/D3,0))</f>
        <v>19229</v>
      </c>
      <c r="C3" s="400" t="s">
        <v>2649</v>
      </c>
      <c r="D3" s="399">
        <f>IF(D1="",'数据-汇总表'!E3,SUMIF('数据-汇总表'!$C19:$C33,D1,'数据-汇总表'!$E19:$E33))</f>
        <v>249.95</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2650</v>
      </c>
      <c r="B4" s="402"/>
      <c r="C4" s="3209" t="s">
        <v>2651</v>
      </c>
      <c r="D4" s="3210"/>
      <c r="E4" s="3211" t="s">
        <v>2652</v>
      </c>
      <c r="F4" s="3212"/>
      <c r="G4" s="3209" t="s">
        <v>2653</v>
      </c>
      <c r="H4" s="3210"/>
      <c r="I4" s="3209" t="s">
        <v>2654</v>
      </c>
      <c r="J4" s="3210"/>
      <c r="K4" s="610" t="s">
        <v>2655</v>
      </c>
      <c r="L4" s="1132"/>
      <c r="M4" s="1133"/>
      <c r="N4" s="1133"/>
      <c r="O4" s="1133"/>
      <c r="P4" s="3213" t="s">
        <v>2656</v>
      </c>
      <c r="Q4" s="3214"/>
      <c r="R4" s="3196" t="s">
        <v>2652</v>
      </c>
      <c r="S4" s="3197"/>
      <c r="T4" s="3196" t="s">
        <v>2653</v>
      </c>
      <c r="U4" s="3197"/>
      <c r="V4" s="3221" t="s">
        <v>2654</v>
      </c>
      <c r="W4" s="3221"/>
      <c r="X4" s="1813"/>
      <c r="Y4" s="3196" t="s">
        <v>2656</v>
      </c>
      <c r="Z4" s="3197"/>
      <c r="AA4" s="3191" t="s">
        <v>2652</v>
      </c>
      <c r="AB4" s="3221" t="s">
        <v>2653</v>
      </c>
      <c r="AC4" s="3191" t="s">
        <v>2654</v>
      </c>
    </row>
    <row r="5" spans="1:29" ht="15">
      <c r="A5" s="404"/>
      <c r="B5" s="405"/>
      <c r="C5" s="3202" t="s">
        <v>2547</v>
      </c>
      <c r="D5" s="3203"/>
      <c r="E5" s="3237" t="s">
        <v>3451</v>
      </c>
      <c r="F5" s="3201"/>
      <c r="G5" s="3238" t="s">
        <v>3452</v>
      </c>
      <c r="H5" s="3203"/>
      <c r="I5" s="3238" t="s">
        <v>3453</v>
      </c>
      <c r="J5" s="3203"/>
      <c r="K5" s="610"/>
      <c r="L5" s="1132"/>
      <c r="M5" s="1133"/>
      <c r="N5" s="1133"/>
      <c r="O5" s="1133"/>
      <c r="P5" s="3215"/>
      <c r="Q5" s="3216"/>
      <c r="R5" s="3198"/>
      <c r="S5" s="3199"/>
      <c r="T5" s="3198"/>
      <c r="U5" s="3199"/>
      <c r="V5" s="3221"/>
      <c r="W5" s="3221"/>
      <c r="X5" s="1813"/>
      <c r="Y5" s="3198"/>
      <c r="Z5" s="3199"/>
      <c r="AA5" s="3192"/>
      <c r="AB5" s="3221"/>
      <c r="AC5" s="3192"/>
    </row>
    <row r="6" spans="1:29" ht="15.75" thickBot="1">
      <c r="A6" s="406"/>
      <c r="B6" s="407"/>
      <c r="C6" s="3204" t="s">
        <v>2551</v>
      </c>
      <c r="D6" s="3205"/>
      <c r="E6" s="3206" t="s">
        <v>2551</v>
      </c>
      <c r="F6" s="3207"/>
      <c r="G6" s="3204" t="s">
        <v>2551</v>
      </c>
      <c r="H6" s="3205"/>
      <c r="I6" s="3204" t="s">
        <v>2551</v>
      </c>
      <c r="J6" s="3205"/>
      <c r="K6" s="610" t="s">
        <v>2552</v>
      </c>
      <c r="L6" s="1132"/>
      <c r="M6" s="1133"/>
      <c r="N6" s="1133"/>
      <c r="O6" s="1133"/>
      <c r="P6" s="3217"/>
      <c r="Q6" s="3218"/>
      <c r="R6" s="3198"/>
      <c r="S6" s="3199"/>
      <c r="T6" s="3219"/>
      <c r="U6" s="3220"/>
      <c r="V6" s="3221"/>
      <c r="W6" s="3221"/>
      <c r="X6" s="1813"/>
      <c r="Y6" s="3219"/>
      <c r="Z6" s="3220"/>
      <c r="AA6" s="3193"/>
      <c r="AB6" s="3221"/>
      <c r="AC6" s="3193"/>
    </row>
    <row r="7" spans="1:29" s="117" customFormat="1" ht="15.75" thickBot="1">
      <c r="A7" s="408" t="s">
        <v>2553</v>
      </c>
      <c r="B7" s="409"/>
      <c r="C7" s="410">
        <f>'数据-取费表'!B2</f>
        <v>43296</v>
      </c>
      <c r="D7" s="411">
        <v>100</v>
      </c>
      <c r="E7" s="412">
        <v>43294</v>
      </c>
      <c r="F7" s="413">
        <f>SUMIF(58:58,YEAR(E7)&amp;"-"&amp;MONTH(E7),59:59)</f>
        <v>100</v>
      </c>
      <c r="G7" s="412">
        <v>43294</v>
      </c>
      <c r="H7" s="411">
        <f>SUMIF(58:58,YEAR(G7)&amp;"-"&amp;MONTH(G7),59:59)</f>
        <v>100</v>
      </c>
      <c r="I7" s="412">
        <v>43294</v>
      </c>
      <c r="J7" s="411">
        <f>SUMIF(58:58,YEAR(I7)&amp;"-"&amp;MONTH(I7),59:59)</f>
        <v>100</v>
      </c>
      <c r="K7" s="611"/>
      <c r="L7" s="1134"/>
      <c r="M7" s="1135"/>
      <c r="N7" s="1135"/>
      <c r="O7" s="1135"/>
      <c r="P7" s="3194" t="s">
        <v>2554</v>
      </c>
      <c r="Q7" s="3222"/>
      <c r="R7" s="769" t="s">
        <v>17</v>
      </c>
      <c r="S7" s="770">
        <f t="shared" ref="S7:S15" si="0">F7</f>
        <v>100</v>
      </c>
      <c r="T7" s="769" t="s">
        <v>17</v>
      </c>
      <c r="U7" s="770">
        <f t="shared" ref="U7:U15" si="1">H7</f>
        <v>100</v>
      </c>
      <c r="V7" s="769" t="s">
        <v>17</v>
      </c>
      <c r="W7" s="770">
        <f t="shared" ref="W7:W15" si="2">J7</f>
        <v>100</v>
      </c>
      <c r="X7" s="771"/>
      <c r="Y7" s="3194" t="s">
        <v>2554</v>
      </c>
      <c r="Z7" s="3195"/>
      <c r="AA7" s="772">
        <f>D7/F7</f>
        <v>1</v>
      </c>
      <c r="AB7" s="772">
        <f>D7/H7</f>
        <v>1</v>
      </c>
      <c r="AC7" s="772">
        <f>D7/J7</f>
        <v>1</v>
      </c>
    </row>
    <row r="8" spans="1:29" s="117" customFormat="1" ht="15.75" thickBot="1">
      <c r="A8" s="408" t="s">
        <v>2555</v>
      </c>
      <c r="B8" s="409"/>
      <c r="C8" s="414" t="s">
        <v>2657</v>
      </c>
      <c r="D8" s="411">
        <v>100</v>
      </c>
      <c r="E8" s="414" t="s">
        <v>3417</v>
      </c>
      <c r="F8" s="413">
        <f>SUMIF(61:61,E8,62:62)-SUMIF(61:61,C8,62:62)+100</f>
        <v>100</v>
      </c>
      <c r="G8" s="414" t="s">
        <v>3417</v>
      </c>
      <c r="H8" s="411">
        <f>SUMIF(61:61,G8,62:62)-SUMIF(61:61,C8,62:62)+100</f>
        <v>100</v>
      </c>
      <c r="I8" s="414" t="s">
        <v>3417</v>
      </c>
      <c r="J8" s="411">
        <f>SUMIF(61:61,I8,62:62)-SUMIF(61:61,C8,62:62)+100</f>
        <v>100</v>
      </c>
      <c r="K8" s="611"/>
      <c r="L8" s="1134"/>
      <c r="M8" s="1135"/>
      <c r="N8" s="1135"/>
      <c r="O8" s="1135"/>
      <c r="P8" s="3194" t="s">
        <v>2557</v>
      </c>
      <c r="Q8" s="3195"/>
      <c r="R8" s="769" t="s">
        <v>17</v>
      </c>
      <c r="S8" s="770">
        <f t="shared" si="0"/>
        <v>100</v>
      </c>
      <c r="T8" s="769" t="s">
        <v>17</v>
      </c>
      <c r="U8" s="770">
        <f t="shared" si="1"/>
        <v>100</v>
      </c>
      <c r="V8" s="769" t="s">
        <v>17</v>
      </c>
      <c r="W8" s="770">
        <f t="shared" si="2"/>
        <v>100</v>
      </c>
      <c r="X8" s="771"/>
      <c r="Y8" s="3194" t="s">
        <v>2557</v>
      </c>
      <c r="Z8" s="3195"/>
      <c r="AA8" s="772">
        <f t="shared" ref="AA8:AA46" si="3">D8/F8</f>
        <v>1</v>
      </c>
      <c r="AB8" s="772">
        <f t="shared" ref="AB8:AB46" si="4">D8/H8</f>
        <v>1</v>
      </c>
      <c r="AC8" s="772">
        <f t="shared" ref="AC8:AC46" si="5">D8/J8</f>
        <v>1</v>
      </c>
    </row>
    <row r="9" spans="1:29" s="117" customFormat="1">
      <c r="A9" s="415" t="s">
        <v>2558</v>
      </c>
      <c r="B9" s="71" t="s">
        <v>2559</v>
      </c>
      <c r="C9" s="2978" t="s">
        <v>3445</v>
      </c>
      <c r="D9" s="135">
        <v>100</v>
      </c>
      <c r="E9" s="2978" t="s">
        <v>3445</v>
      </c>
      <c r="F9" s="418">
        <f>SUMIF(63:63,E9,64:64)-SUMIF(63:63,C9,64:64)+100</f>
        <v>100</v>
      </c>
      <c r="G9" s="2978" t="s">
        <v>3445</v>
      </c>
      <c r="H9" s="135">
        <f>SUMIF(63:63,G9,64:64)-SUMIF(63:63,C9,64:64)+100</f>
        <v>100</v>
      </c>
      <c r="I9" s="2978" t="s">
        <v>3445</v>
      </c>
      <c r="J9" s="135">
        <f>SUMIF(63:63,I9,64:64)-SUMIF(63:63,C9,64:64)+100</f>
        <v>100</v>
      </c>
      <c r="K9" s="611"/>
      <c r="L9" s="1134"/>
      <c r="M9" s="1135"/>
      <c r="N9" s="1135"/>
      <c r="O9" s="1135"/>
      <c r="P9" s="3208" t="s">
        <v>2560</v>
      </c>
      <c r="Q9" s="1795" t="str">
        <f t="shared" ref="Q9:Q15" si="6">B9</f>
        <v>用途</v>
      </c>
      <c r="R9" s="769" t="s">
        <v>17</v>
      </c>
      <c r="S9" s="770">
        <f t="shared" si="0"/>
        <v>100</v>
      </c>
      <c r="T9" s="769" t="s">
        <v>17</v>
      </c>
      <c r="U9" s="770">
        <f t="shared" si="1"/>
        <v>100</v>
      </c>
      <c r="V9" s="769" t="s">
        <v>17</v>
      </c>
      <c r="W9" s="770">
        <f t="shared" si="2"/>
        <v>100</v>
      </c>
      <c r="X9" s="771"/>
      <c r="Y9" s="3047" t="s">
        <v>2561</v>
      </c>
      <c r="Z9" s="55" t="str">
        <f t="shared" ref="Z9:Z15" si="7">Q9</f>
        <v>用途</v>
      </c>
      <c r="AA9" s="772">
        <f t="shared" si="3"/>
        <v>1</v>
      </c>
      <c r="AB9" s="772">
        <f t="shared" si="4"/>
        <v>1</v>
      </c>
      <c r="AC9" s="772">
        <f t="shared" si="5"/>
        <v>1</v>
      </c>
    </row>
    <row r="10" spans="1:29" s="427" customFormat="1" ht="27">
      <c r="A10" s="421"/>
      <c r="B10" s="422" t="s">
        <v>2562</v>
      </c>
      <c r="C10" s="423" t="s">
        <v>3446</v>
      </c>
      <c r="D10" s="136">
        <v>100</v>
      </c>
      <c r="E10" s="423" t="s">
        <v>3446</v>
      </c>
      <c r="F10" s="425">
        <f>SUMIF(65:65,E10,66:66)-SUMIF(65:65,C10,66:66)+100</f>
        <v>100</v>
      </c>
      <c r="G10" s="423" t="s">
        <v>3446</v>
      </c>
      <c r="H10" s="136">
        <f>SUMIF(65:65,G10,66:66)-SUMIF(65:65,C10,66:66)+100</f>
        <v>100</v>
      </c>
      <c r="I10" s="423" t="s">
        <v>3446</v>
      </c>
      <c r="J10" s="136">
        <f>SUMIF(65:65,I10,66:66)-SUMIF(65:65,C10,66:66)+100</f>
        <v>100</v>
      </c>
      <c r="K10" s="612">
        <v>1</v>
      </c>
      <c r="L10" s="1137"/>
      <c r="M10" s="1138"/>
      <c r="N10" s="1138"/>
      <c r="O10" s="1138"/>
      <c r="P10" s="3208"/>
      <c r="Q10" s="1795"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772">
        <f t="shared" si="5"/>
        <v>1</v>
      </c>
    </row>
    <row r="11" spans="1:29" ht="15">
      <c r="A11" s="428"/>
      <c r="B11" s="422" t="s">
        <v>2563</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40"/>
      <c r="M11" s="1133"/>
      <c r="N11" s="1133"/>
      <c r="O11" s="1133"/>
      <c r="P11" s="3208"/>
      <c r="Q11" s="1795" t="str">
        <f t="shared" si="6"/>
        <v>容积率</v>
      </c>
      <c r="R11" s="769" t="s">
        <v>17</v>
      </c>
      <c r="S11" s="770">
        <f t="shared" si="0"/>
        <v>100</v>
      </c>
      <c r="T11" s="769" t="s">
        <v>17</v>
      </c>
      <c r="U11" s="770">
        <f t="shared" si="1"/>
        <v>100</v>
      </c>
      <c r="V11" s="769" t="s">
        <v>17</v>
      </c>
      <c r="W11" s="770">
        <f t="shared" si="2"/>
        <v>100</v>
      </c>
      <c r="X11" s="771"/>
      <c r="Y11" s="3047"/>
      <c r="Z11" s="55" t="str">
        <f t="shared" si="7"/>
        <v>容积率</v>
      </c>
      <c r="AA11" s="772">
        <f t="shared" si="3"/>
        <v>1</v>
      </c>
      <c r="AB11" s="772">
        <f t="shared" si="4"/>
        <v>1</v>
      </c>
      <c r="AC11" s="772">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08"/>
      <c r="Q12" s="1795">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08"/>
      <c r="Q13" s="1795">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08"/>
      <c r="Q14" s="1795">
        <f t="shared" si="6"/>
        <v>111</v>
      </c>
      <c r="R14" s="769" t="s">
        <v>17</v>
      </c>
      <c r="S14" s="770">
        <f t="shared" si="0"/>
        <v>100</v>
      </c>
      <c r="T14" s="769" t="s">
        <v>17</v>
      </c>
      <c r="U14" s="770">
        <f t="shared" si="1"/>
        <v>100</v>
      </c>
      <c r="V14" s="769" t="s">
        <v>17</v>
      </c>
      <c r="W14" s="770">
        <f t="shared" si="2"/>
        <v>100</v>
      </c>
      <c r="X14" s="771"/>
      <c r="Y14" s="3047"/>
      <c r="Z14" s="55">
        <f t="shared" si="7"/>
        <v>111</v>
      </c>
      <c r="AA14" s="772">
        <f t="shared" si="3"/>
        <v>1</v>
      </c>
      <c r="AB14" s="772">
        <f t="shared" si="4"/>
        <v>1</v>
      </c>
      <c r="AC14" s="772">
        <f t="shared" si="5"/>
        <v>1</v>
      </c>
    </row>
    <row r="15" spans="1:29" ht="71.25">
      <c r="A15" s="440" t="s">
        <v>2564</v>
      </c>
      <c r="B15" s="69" t="s">
        <v>2658</v>
      </c>
      <c r="C15" s="2605" t="str">
        <f>估价对象房地状况!C4</f>
        <v>估价对象位于XX商圈，周边商业氛围成熟，人流量大，商业繁华度好</v>
      </c>
      <c r="D15" s="441">
        <v>100</v>
      </c>
      <c r="E15" s="442"/>
      <c r="F15" s="443">
        <f>SUMIF(76:76,E16,77:77)-SUMIF(76:76,C16,77:77)+100</f>
        <v>102</v>
      </c>
      <c r="G15" s="444"/>
      <c r="H15" s="441">
        <f>SUMIF(76:76,G16,77:77)-SUMIF(76:76,C16,77:77)+100</f>
        <v>104</v>
      </c>
      <c r="I15" s="442"/>
      <c r="J15" s="441">
        <f>SUMIF(76:76,I16,77:77)-SUMIF(76:76,C16,77:77)+100</f>
        <v>104</v>
      </c>
      <c r="K15" s="614">
        <v>2</v>
      </c>
      <c r="L15" s="1142"/>
      <c r="M15" s="1133"/>
      <c r="N15" s="1133"/>
      <c r="O15" s="1133"/>
      <c r="P15" s="3235" t="s">
        <v>2565</v>
      </c>
      <c r="Q15" s="1810" t="str">
        <f t="shared" si="6"/>
        <v>商业繁华度</v>
      </c>
      <c r="R15" s="773" t="s">
        <v>17</v>
      </c>
      <c r="S15" s="774">
        <f t="shared" si="0"/>
        <v>102</v>
      </c>
      <c r="T15" s="773" t="s">
        <v>17</v>
      </c>
      <c r="U15" s="774">
        <f t="shared" si="1"/>
        <v>104</v>
      </c>
      <c r="V15" s="773" t="s">
        <v>17</v>
      </c>
      <c r="W15" s="774">
        <f t="shared" si="2"/>
        <v>104</v>
      </c>
      <c r="X15" s="1813"/>
      <c r="Y15" s="3228" t="s">
        <v>2565</v>
      </c>
      <c r="Z15" s="1814" t="str">
        <f t="shared" si="7"/>
        <v>商业繁华度</v>
      </c>
      <c r="AA15" s="1811">
        <f t="shared" si="3"/>
        <v>0.98039215686274506</v>
      </c>
      <c r="AB15" s="1811">
        <f t="shared" si="4"/>
        <v>0.96153846153846156</v>
      </c>
      <c r="AC15" s="1811">
        <f t="shared" si="5"/>
        <v>0.96153846153846156</v>
      </c>
    </row>
    <row r="16" spans="1:29" ht="15">
      <c r="A16" s="428"/>
      <c r="B16" s="446"/>
      <c r="C16" s="447" t="s">
        <v>3246</v>
      </c>
      <c r="D16" s="448"/>
      <c r="E16" s="447" t="s">
        <v>3234</v>
      </c>
      <c r="F16" s="449"/>
      <c r="G16" s="447" t="s">
        <v>3434</v>
      </c>
      <c r="H16" s="450"/>
      <c r="I16" s="447" t="s">
        <v>3434</v>
      </c>
      <c r="J16" s="448"/>
      <c r="K16" s="615"/>
      <c r="L16" s="1142"/>
      <c r="M16" s="1133"/>
      <c r="N16" s="1133"/>
      <c r="O16" s="1133"/>
      <c r="P16" s="3236"/>
      <c r="Q16" s="1810"/>
      <c r="R16" s="773"/>
      <c r="S16" s="774"/>
      <c r="T16" s="773"/>
      <c r="U16" s="774"/>
      <c r="V16" s="773"/>
      <c r="W16" s="774"/>
      <c r="X16" s="1813"/>
      <c r="Y16" s="3229"/>
      <c r="Z16" s="1814"/>
      <c r="AA16" s="1811">
        <v>1</v>
      </c>
      <c r="AB16" s="1811">
        <v>1</v>
      </c>
      <c r="AC16" s="1811">
        <v>1</v>
      </c>
    </row>
    <row r="17" spans="1:29" ht="85.5">
      <c r="A17" s="428"/>
      <c r="B17" s="451" t="s">
        <v>2101</v>
      </c>
      <c r="C17" s="2609" t="str">
        <f>估价对象房地状况!C6</f>
        <v>估价对象周边道路状况、公共交通通达情况、停车便捷程度，综合评价交通便捷度较好</v>
      </c>
      <c r="D17" s="450">
        <v>100</v>
      </c>
      <c r="E17" s="452"/>
      <c r="F17" s="453">
        <f>SUMIF(78:78,E18,79:79)-SUMIF(78:78,C18,79:79)+100</f>
        <v>102</v>
      </c>
      <c r="G17" s="454"/>
      <c r="H17" s="455">
        <f>SUMIF(78:78,G18,79:79)-SUMIF(78:78,C18,79:79)+100</f>
        <v>104</v>
      </c>
      <c r="I17" s="452"/>
      <c r="J17" s="455">
        <f>SUMIF(78:78,I18,79:79)-SUMIF(78:78,C18,79:79)+100</f>
        <v>104</v>
      </c>
      <c r="K17" s="614">
        <v>2</v>
      </c>
      <c r="L17" s="1142"/>
      <c r="M17" s="1133"/>
      <c r="N17" s="1133"/>
      <c r="O17" s="1133"/>
      <c r="P17" s="3236"/>
      <c r="Q17" s="1810" t="str">
        <f>B17</f>
        <v>交通便捷度</v>
      </c>
      <c r="R17" s="773" t="s">
        <v>17</v>
      </c>
      <c r="S17" s="774">
        <f>F17</f>
        <v>102</v>
      </c>
      <c r="T17" s="773" t="s">
        <v>17</v>
      </c>
      <c r="U17" s="774">
        <f>H17</f>
        <v>104</v>
      </c>
      <c r="V17" s="773" t="s">
        <v>17</v>
      </c>
      <c r="W17" s="774">
        <f>J17</f>
        <v>104</v>
      </c>
      <c r="X17" s="1813"/>
      <c r="Y17" s="3229"/>
      <c r="Z17" s="1814" t="str">
        <f>Q17</f>
        <v>交通便捷度</v>
      </c>
      <c r="AA17" s="1811">
        <f t="shared" si="3"/>
        <v>0.98039215686274506</v>
      </c>
      <c r="AB17" s="1811">
        <f t="shared" si="4"/>
        <v>0.96153846153846156</v>
      </c>
      <c r="AC17" s="1811">
        <f t="shared" si="5"/>
        <v>0.96153846153846156</v>
      </c>
    </row>
    <row r="18" spans="1:29" ht="15">
      <c r="A18" s="428"/>
      <c r="B18" s="456"/>
      <c r="C18" s="2610" t="s">
        <v>3246</v>
      </c>
      <c r="D18" s="450"/>
      <c r="E18" s="447" t="s">
        <v>3234</v>
      </c>
      <c r="F18" s="453"/>
      <c r="G18" s="447" t="s">
        <v>3434</v>
      </c>
      <c r="H18" s="448"/>
      <c r="I18" s="447" t="s">
        <v>3434</v>
      </c>
      <c r="J18" s="448"/>
      <c r="K18" s="615"/>
      <c r="L18" s="1142"/>
      <c r="M18" s="1133"/>
      <c r="N18" s="1133"/>
      <c r="O18" s="1133"/>
      <c r="P18" s="3236"/>
      <c r="Q18" s="1810"/>
      <c r="R18" s="773"/>
      <c r="S18" s="774"/>
      <c r="T18" s="773"/>
      <c r="U18" s="774"/>
      <c r="V18" s="773"/>
      <c r="W18" s="774"/>
      <c r="X18" s="1813"/>
      <c r="Y18" s="3229"/>
      <c r="Z18" s="1814"/>
      <c r="AA18" s="1811">
        <v>1</v>
      </c>
      <c r="AB18" s="1811">
        <v>1</v>
      </c>
      <c r="AC18" s="1811">
        <v>1</v>
      </c>
    </row>
    <row r="19" spans="1:29" ht="42.75">
      <c r="A19" s="428"/>
      <c r="B19" s="451" t="s">
        <v>2659</v>
      </c>
      <c r="C19" s="2609" t="str">
        <f>估价对象房地状况!C7</f>
        <v>估价对象所在区域公共配套设施齐备情况</v>
      </c>
      <c r="D19" s="455">
        <v>100</v>
      </c>
      <c r="E19" s="457"/>
      <c r="F19" s="458">
        <f>SUMIF(80:80,E20,81:81)-SUMIF(80:80,C20,81:81)+100</f>
        <v>100</v>
      </c>
      <c r="G19" s="459"/>
      <c r="H19" s="450">
        <f>SUMIF(80:80,G20,81:81)-SUMIF(80:80,C20,81:81)+100</f>
        <v>104</v>
      </c>
      <c r="I19" s="457"/>
      <c r="J19" s="450">
        <f>SUMIF(80:80,I20,81:81)-SUMIF(80:80,C20,81:81)+100</f>
        <v>104</v>
      </c>
      <c r="K19" s="614">
        <v>2</v>
      </c>
      <c r="L19" s="1142"/>
      <c r="M19" s="1133"/>
      <c r="N19" s="1133"/>
      <c r="O19" s="1133"/>
      <c r="P19" s="3236"/>
      <c r="Q19" s="1810" t="str">
        <f>B19</f>
        <v>公共配套设施</v>
      </c>
      <c r="R19" s="773" t="s">
        <v>17</v>
      </c>
      <c r="S19" s="774">
        <f>F19</f>
        <v>100</v>
      </c>
      <c r="T19" s="773" t="s">
        <v>17</v>
      </c>
      <c r="U19" s="774">
        <f>H19</f>
        <v>104</v>
      </c>
      <c r="V19" s="773" t="s">
        <v>17</v>
      </c>
      <c r="W19" s="774">
        <f>J19</f>
        <v>104</v>
      </c>
      <c r="X19" s="1813"/>
      <c r="Y19" s="3229"/>
      <c r="Z19" s="1814" t="str">
        <f>Q19</f>
        <v>公共配套设施</v>
      </c>
      <c r="AA19" s="1811">
        <f t="shared" si="3"/>
        <v>1</v>
      </c>
      <c r="AB19" s="1811">
        <f t="shared" si="4"/>
        <v>0.96153846153846156</v>
      </c>
      <c r="AC19" s="1811">
        <f t="shared" si="5"/>
        <v>0.96153846153846156</v>
      </c>
    </row>
    <row r="20" spans="1:29" ht="15">
      <c r="A20" s="428"/>
      <c r="B20" s="456"/>
      <c r="C20" s="447" t="s">
        <v>3246</v>
      </c>
      <c r="D20" s="448"/>
      <c r="E20" s="447" t="s">
        <v>3246</v>
      </c>
      <c r="F20" s="449"/>
      <c r="G20" s="447" t="s">
        <v>3434</v>
      </c>
      <c r="H20" s="448"/>
      <c r="I20" s="447" t="s">
        <v>3434</v>
      </c>
      <c r="J20" s="448"/>
      <c r="K20" s="615"/>
      <c r="L20" s="1142"/>
      <c r="M20" s="1133"/>
      <c r="N20" s="1133"/>
      <c r="O20" s="1133"/>
      <c r="P20" s="3236"/>
      <c r="Q20" s="1810"/>
      <c r="R20" s="773"/>
      <c r="S20" s="774"/>
      <c r="T20" s="773"/>
      <c r="U20" s="774"/>
      <c r="V20" s="773"/>
      <c r="W20" s="774"/>
      <c r="X20" s="1813"/>
      <c r="Y20" s="3229"/>
      <c r="Z20" s="1814"/>
      <c r="AA20" s="1811">
        <v>1</v>
      </c>
      <c r="AB20" s="1811">
        <v>1</v>
      </c>
      <c r="AC20" s="1811">
        <v>1</v>
      </c>
    </row>
    <row r="21" spans="1:29" ht="28.5">
      <c r="A21" s="428"/>
      <c r="B21" s="1386" t="s">
        <v>2660</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236"/>
      <c r="Q21" s="1810" t="str">
        <f>B21</f>
        <v>基础设施水平</v>
      </c>
      <c r="R21" s="773" t="s">
        <v>17</v>
      </c>
      <c r="S21" s="774">
        <f>F21</f>
        <v>100</v>
      </c>
      <c r="T21" s="773" t="s">
        <v>17</v>
      </c>
      <c r="U21" s="774">
        <f>H21</f>
        <v>100</v>
      </c>
      <c r="V21" s="773" t="s">
        <v>17</v>
      </c>
      <c r="W21" s="774">
        <f>J21</f>
        <v>100</v>
      </c>
      <c r="X21" s="1813"/>
      <c r="Y21" s="3229"/>
      <c r="Z21" s="1814" t="str">
        <f>Q21</f>
        <v>基础设施水平</v>
      </c>
      <c r="AA21" s="1811">
        <f t="shared" ref="AA21" si="8">D21/F21</f>
        <v>1</v>
      </c>
      <c r="AB21" s="1811">
        <f t="shared" ref="AB21" si="9">D21/H21</f>
        <v>1</v>
      </c>
      <c r="AC21" s="1811">
        <f t="shared" ref="AC21" si="10">D21/J21</f>
        <v>1</v>
      </c>
    </row>
    <row r="22" spans="1:29" ht="15">
      <c r="A22" s="428"/>
      <c r="B22" s="1386"/>
      <c r="C22" s="2610" t="s">
        <v>3228</v>
      </c>
      <c r="D22" s="448"/>
      <c r="E22" s="2610" t="s">
        <v>3228</v>
      </c>
      <c r="F22" s="449"/>
      <c r="G22" s="2610" t="s">
        <v>3228</v>
      </c>
      <c r="H22" s="448"/>
      <c r="I22" s="2610" t="s">
        <v>3228</v>
      </c>
      <c r="J22" s="448"/>
      <c r="K22" s="1385"/>
      <c r="L22" s="1142"/>
      <c r="M22" s="1133"/>
      <c r="N22" s="1133"/>
      <c r="O22" s="1133"/>
      <c r="P22" s="3236"/>
      <c r="Q22" s="1810"/>
      <c r="R22" s="773"/>
      <c r="S22" s="774"/>
      <c r="T22" s="773"/>
      <c r="U22" s="774"/>
      <c r="V22" s="773"/>
      <c r="W22" s="774"/>
      <c r="X22" s="1813"/>
      <c r="Y22" s="3229"/>
      <c r="Z22" s="1814"/>
      <c r="AA22" s="1811">
        <v>1</v>
      </c>
      <c r="AB22" s="1811">
        <v>1</v>
      </c>
      <c r="AC22" s="1811">
        <v>1</v>
      </c>
    </row>
    <row r="23" spans="1:29" ht="57">
      <c r="A23" s="428"/>
      <c r="B23" s="451" t="s">
        <v>2106</v>
      </c>
      <c r="C23" s="2666" t="str">
        <f>估价对象房地状况!C9</f>
        <v>区域自然环境：；人文环境；综合评价环境状况一般</v>
      </c>
      <c r="D23" s="450">
        <v>100</v>
      </c>
      <c r="E23" s="452"/>
      <c r="F23" s="453">
        <f>SUMIF(84:84,E24,85:85)-SUMIF(84:84,C24,85:85)+100</f>
        <v>100</v>
      </c>
      <c r="G23" s="454"/>
      <c r="H23" s="450">
        <f>SUMIF(84:84,G24,85:85)-SUMIF(84:84,C24,85:85)+100</f>
        <v>102</v>
      </c>
      <c r="I23" s="452"/>
      <c r="J23" s="450">
        <f>SUMIF(84:84,I24,85:85)-SUMIF(84:84,C24,85:85)+100</f>
        <v>102</v>
      </c>
      <c r="K23" s="614">
        <v>2</v>
      </c>
      <c r="L23" s="1142"/>
      <c r="M23" s="1133"/>
      <c r="N23" s="1133"/>
      <c r="O23" s="1133"/>
      <c r="P23" s="3236"/>
      <c r="Q23" s="1810" t="str">
        <f>B23</f>
        <v>自然及人文环境</v>
      </c>
      <c r="R23" s="773" t="s">
        <v>17</v>
      </c>
      <c r="S23" s="774">
        <f>F23</f>
        <v>100</v>
      </c>
      <c r="T23" s="773" t="s">
        <v>17</v>
      </c>
      <c r="U23" s="774">
        <f>H23</f>
        <v>102</v>
      </c>
      <c r="V23" s="773" t="s">
        <v>17</v>
      </c>
      <c r="W23" s="774">
        <f>J23</f>
        <v>102</v>
      </c>
      <c r="X23" s="1813"/>
      <c r="Y23" s="3229"/>
      <c r="Z23" s="1814" t="str">
        <f>Q23</f>
        <v>自然及人文环境</v>
      </c>
      <c r="AA23" s="1811">
        <f t="shared" si="3"/>
        <v>1</v>
      </c>
      <c r="AB23" s="1811">
        <f t="shared" si="4"/>
        <v>0.98039215686274506</v>
      </c>
      <c r="AC23" s="1811">
        <f t="shared" si="5"/>
        <v>0.98039215686274506</v>
      </c>
    </row>
    <row r="24" spans="1:29" ht="15">
      <c r="A24" s="428"/>
      <c r="B24" s="456"/>
      <c r="C24" s="447" t="s">
        <v>3246</v>
      </c>
      <c r="D24" s="448"/>
      <c r="E24" s="447" t="s">
        <v>3246</v>
      </c>
      <c r="F24" s="449"/>
      <c r="G24" s="447" t="s">
        <v>3234</v>
      </c>
      <c r="H24" s="448"/>
      <c r="I24" s="447" t="s">
        <v>3234</v>
      </c>
      <c r="J24" s="448"/>
      <c r="K24" s="615"/>
      <c r="L24" s="1142"/>
      <c r="M24" s="1133"/>
      <c r="N24" s="1133"/>
      <c r="O24" s="1133"/>
      <c r="P24" s="3236"/>
      <c r="Q24" s="1810"/>
      <c r="R24" s="773"/>
      <c r="S24" s="774"/>
      <c r="T24" s="773"/>
      <c r="U24" s="774"/>
      <c r="V24" s="773"/>
      <c r="W24" s="774"/>
      <c r="X24" s="1813"/>
      <c r="Y24" s="3229"/>
      <c r="Z24" s="1814"/>
      <c r="AA24" s="1811">
        <v>1</v>
      </c>
      <c r="AB24" s="1811">
        <v>1</v>
      </c>
      <c r="AC24" s="1811">
        <v>1</v>
      </c>
    </row>
    <row r="25" spans="1:29" ht="15">
      <c r="A25" s="428"/>
      <c r="B25" s="422" t="s">
        <v>2661</v>
      </c>
      <c r="C25" s="616" t="s">
        <v>3432</v>
      </c>
      <c r="D25" s="435">
        <v>100</v>
      </c>
      <c r="E25" s="616" t="s">
        <v>3432</v>
      </c>
      <c r="F25" s="461">
        <f>SUMIF(86:86,E25,87:87)-SUMIF(86:86,C25,87:87)+100</f>
        <v>100</v>
      </c>
      <c r="G25" s="616" t="s">
        <v>3432</v>
      </c>
      <c r="H25" s="435">
        <f>SUMIF(86:86,G25,87:87)-SUMIF(86:86,C25,87:87)+100</f>
        <v>100</v>
      </c>
      <c r="I25" s="616" t="s">
        <v>3432</v>
      </c>
      <c r="J25" s="435">
        <f>SUMIF(86:86,I25,87:87)-SUMIF(86:86,C25,87:87)+100</f>
        <v>100</v>
      </c>
      <c r="K25" s="612">
        <v>3</v>
      </c>
      <c r="L25" s="1142"/>
      <c r="M25" s="1133"/>
      <c r="N25" s="1133"/>
      <c r="O25" s="1133"/>
      <c r="P25" s="3236"/>
      <c r="Q25" s="1810" t="str">
        <f t="shared" ref="Q25:Q46" si="11">B25</f>
        <v>临街状况</v>
      </c>
      <c r="R25" s="773" t="s">
        <v>17</v>
      </c>
      <c r="S25" s="774">
        <f>F25</f>
        <v>100</v>
      </c>
      <c r="T25" s="773" t="s">
        <v>17</v>
      </c>
      <c r="U25" s="774">
        <f>H25</f>
        <v>100</v>
      </c>
      <c r="V25" s="773" t="s">
        <v>17</v>
      </c>
      <c r="W25" s="774">
        <f>J25</f>
        <v>100</v>
      </c>
      <c r="X25" s="1813"/>
      <c r="Y25" s="3229"/>
      <c r="Z25" s="1814" t="str">
        <f>Q25</f>
        <v>临街状况</v>
      </c>
      <c r="AA25" s="1811">
        <f t="shared" si="3"/>
        <v>1</v>
      </c>
      <c r="AB25" s="1811">
        <f t="shared" si="4"/>
        <v>1</v>
      </c>
      <c r="AC25" s="1811">
        <f t="shared" si="5"/>
        <v>1</v>
      </c>
    </row>
    <row r="26" spans="1:29" ht="15">
      <c r="A26" s="428"/>
      <c r="B26" s="1388" t="s">
        <v>2662</v>
      </c>
      <c r="C26" s="2979" t="s">
        <v>3235</v>
      </c>
      <c r="D26" s="435">
        <v>100</v>
      </c>
      <c r="E26" s="2979" t="s">
        <v>3234</v>
      </c>
      <c r="F26" s="461">
        <f>SUMIF(88:88,E26,89:89)-SUMIF(88:88,C26,89:89)+100</f>
        <v>100</v>
      </c>
      <c r="G26" s="2979" t="s">
        <v>3234</v>
      </c>
      <c r="H26" s="435">
        <f>SUMIF(88:88,G26,89:89)-SUMIF(88:88,C26,89:89)+100</f>
        <v>100</v>
      </c>
      <c r="I26" s="2979" t="s">
        <v>3234</v>
      </c>
      <c r="J26" s="435">
        <f>SUMIF(88:88,I26,89:89)-SUMIF(88:88,C26,89:89)+100</f>
        <v>100</v>
      </c>
      <c r="K26" s="613"/>
      <c r="L26" s="1142"/>
      <c r="M26" s="1133"/>
      <c r="N26" s="1133"/>
      <c r="O26" s="1133"/>
      <c r="P26" s="3236"/>
      <c r="Q26" s="1810" t="str">
        <f t="shared" si="11"/>
        <v>平面位置/可视性</v>
      </c>
      <c r="R26" s="773" t="s">
        <v>17</v>
      </c>
      <c r="S26" s="774">
        <f>F26</f>
        <v>100</v>
      </c>
      <c r="T26" s="773" t="s">
        <v>17</v>
      </c>
      <c r="U26" s="774">
        <f>H26</f>
        <v>100</v>
      </c>
      <c r="V26" s="773" t="s">
        <v>17</v>
      </c>
      <c r="W26" s="774">
        <f>J26</f>
        <v>100</v>
      </c>
      <c r="X26" s="1813"/>
      <c r="Y26" s="3229"/>
      <c r="Z26" s="1814" t="str">
        <f>Q26</f>
        <v>平面位置/可视性</v>
      </c>
      <c r="AA26" s="1811">
        <f t="shared" si="3"/>
        <v>1</v>
      </c>
      <c r="AB26" s="1811">
        <f t="shared" si="4"/>
        <v>1</v>
      </c>
      <c r="AC26" s="1811">
        <f t="shared" si="5"/>
        <v>1</v>
      </c>
    </row>
    <row r="27" spans="1:29" s="117" customFormat="1" ht="15">
      <c r="A27" s="431"/>
      <c r="B27" s="451" t="s">
        <v>2663</v>
      </c>
      <c r="C27" s="2980" t="s">
        <v>3246</v>
      </c>
      <c r="D27" s="462">
        <v>100</v>
      </c>
      <c r="E27" s="2980" t="s">
        <v>3455</v>
      </c>
      <c r="F27" s="464">
        <f>SUMIF(90:90,E27,91:91)-SUMIF(90:90,C27,91:91)+100</f>
        <v>104</v>
      </c>
      <c r="G27" s="2980" t="s">
        <v>3455</v>
      </c>
      <c r="H27" s="462">
        <f>SUMIF(90:90,G27,91:91)-SUMIF(90:90,C27,91:91)+100</f>
        <v>104</v>
      </c>
      <c r="I27" s="2980" t="s">
        <v>3455</v>
      </c>
      <c r="J27" s="462">
        <f>SUMIF(90:90,I27,91:91)-SUMIF(90:90,C27,91:91)+100</f>
        <v>104</v>
      </c>
      <c r="K27" s="612">
        <v>2</v>
      </c>
      <c r="L27" s="1134"/>
      <c r="M27" s="1135"/>
      <c r="N27" s="1135"/>
      <c r="O27" s="1135"/>
      <c r="P27" s="3236"/>
      <c r="Q27" s="1795" t="str">
        <f t="shared" si="11"/>
        <v>人流量</v>
      </c>
      <c r="R27" s="769" t="s">
        <v>17</v>
      </c>
      <c r="S27" s="770">
        <f>F27</f>
        <v>104</v>
      </c>
      <c r="T27" s="769" t="s">
        <v>17</v>
      </c>
      <c r="U27" s="770">
        <f>H27</f>
        <v>104</v>
      </c>
      <c r="V27" s="769" t="s">
        <v>17</v>
      </c>
      <c r="W27" s="770">
        <f>J27</f>
        <v>104</v>
      </c>
      <c r="X27" s="771"/>
      <c r="Y27" s="3229"/>
      <c r="Z27" s="55" t="str">
        <f>Q27</f>
        <v>人流量</v>
      </c>
      <c r="AA27" s="1811">
        <f>D27/F27</f>
        <v>0.96153846153846156</v>
      </c>
      <c r="AB27" s="1811">
        <f>D27/H27</f>
        <v>0.96153846153846156</v>
      </c>
      <c r="AC27" s="1811">
        <f>D27/J27</f>
        <v>0.96153846153846156</v>
      </c>
    </row>
    <row r="28" spans="1:29" ht="15">
      <c r="A28" s="428"/>
      <c r="B28" s="422" t="s">
        <v>2664</v>
      </c>
      <c r="C28" s="616" t="s">
        <v>3447</v>
      </c>
      <c r="D28" s="435">
        <v>100</v>
      </c>
      <c r="E28" s="616" t="s">
        <v>3447</v>
      </c>
      <c r="F28" s="461">
        <f>SUMIF(92:92,E28,93:93)-SUMIF(92:92,C28,93:93)+100</f>
        <v>100</v>
      </c>
      <c r="G28" s="616" t="s">
        <v>3447</v>
      </c>
      <c r="H28" s="435">
        <f>SUMIF(92:92,G28,93:93)-SUMIF(92:92,C28,93:93)+100</f>
        <v>100</v>
      </c>
      <c r="I28" s="616" t="s">
        <v>3447</v>
      </c>
      <c r="J28" s="435">
        <f>SUMIF(92:92,I28,93:93)-SUMIF(92:92,C28,93:93)+100</f>
        <v>100</v>
      </c>
      <c r="K28" s="613"/>
      <c r="L28" s="1142"/>
      <c r="M28" s="1133"/>
      <c r="N28" s="1133"/>
      <c r="O28" s="1133"/>
      <c r="P28" s="3236"/>
      <c r="Q28" s="1810" t="str">
        <f t="shared" si="11"/>
        <v>楼层</v>
      </c>
      <c r="R28" s="773" t="s">
        <v>17</v>
      </c>
      <c r="S28" s="774">
        <f t="shared" ref="S28:S46" si="12">F28</f>
        <v>100</v>
      </c>
      <c r="T28" s="773" t="s">
        <v>17</v>
      </c>
      <c r="U28" s="774">
        <f t="shared" ref="U28:U46" si="13">H28</f>
        <v>100</v>
      </c>
      <c r="V28" s="773" t="s">
        <v>17</v>
      </c>
      <c r="W28" s="774">
        <f t="shared" ref="W28:W46" si="14">J28</f>
        <v>100</v>
      </c>
      <c r="X28" s="1813"/>
      <c r="Y28" s="3229"/>
      <c r="Z28" s="1814" t="str">
        <f t="shared" ref="Z28:Z46" si="15">Q28</f>
        <v>楼层</v>
      </c>
      <c r="AA28" s="1811">
        <f t="shared" si="3"/>
        <v>1</v>
      </c>
      <c r="AB28" s="1811">
        <f t="shared" si="4"/>
        <v>1</v>
      </c>
      <c r="AC28" s="1811">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36"/>
      <c r="Q29" s="1810">
        <f t="shared" si="11"/>
        <v>111</v>
      </c>
      <c r="R29" s="773" t="s">
        <v>17</v>
      </c>
      <c r="S29" s="774">
        <f t="shared" si="12"/>
        <v>100</v>
      </c>
      <c r="T29" s="773" t="s">
        <v>17</v>
      </c>
      <c r="U29" s="774">
        <f t="shared" si="13"/>
        <v>100</v>
      </c>
      <c r="V29" s="773" t="s">
        <v>17</v>
      </c>
      <c r="W29" s="774">
        <f t="shared" si="14"/>
        <v>100</v>
      </c>
      <c r="X29" s="1813"/>
      <c r="Y29" s="3229"/>
      <c r="Z29" s="1814">
        <f t="shared" si="15"/>
        <v>111</v>
      </c>
      <c r="AA29" s="1811">
        <f t="shared" si="3"/>
        <v>1</v>
      </c>
      <c r="AB29" s="1811">
        <f t="shared" si="4"/>
        <v>1</v>
      </c>
      <c r="AC29" s="1811">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36"/>
      <c r="Q30" s="1810">
        <f t="shared" si="11"/>
        <v>111</v>
      </c>
      <c r="R30" s="773" t="s">
        <v>17</v>
      </c>
      <c r="S30" s="774">
        <f t="shared" si="12"/>
        <v>100</v>
      </c>
      <c r="T30" s="773" t="s">
        <v>17</v>
      </c>
      <c r="U30" s="774">
        <f t="shared" si="13"/>
        <v>100</v>
      </c>
      <c r="V30" s="773" t="s">
        <v>17</v>
      </c>
      <c r="W30" s="774">
        <f t="shared" si="14"/>
        <v>100</v>
      </c>
      <c r="X30" s="1813"/>
      <c r="Y30" s="3229"/>
      <c r="Z30" s="1814">
        <f t="shared" si="15"/>
        <v>111</v>
      </c>
      <c r="AA30" s="1811">
        <f t="shared" si="3"/>
        <v>1</v>
      </c>
      <c r="AB30" s="1811">
        <f t="shared" si="4"/>
        <v>1</v>
      </c>
      <c r="AC30" s="1811">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36"/>
      <c r="Q31" s="1810">
        <f t="shared" si="11"/>
        <v>111</v>
      </c>
      <c r="R31" s="773" t="s">
        <v>17</v>
      </c>
      <c r="S31" s="774">
        <f t="shared" si="12"/>
        <v>100</v>
      </c>
      <c r="T31" s="773" t="s">
        <v>17</v>
      </c>
      <c r="U31" s="774">
        <f t="shared" si="13"/>
        <v>100</v>
      </c>
      <c r="V31" s="773" t="s">
        <v>17</v>
      </c>
      <c r="W31" s="774">
        <f t="shared" si="14"/>
        <v>100</v>
      </c>
      <c r="X31" s="1813"/>
      <c r="Y31" s="3229"/>
      <c r="Z31" s="1814">
        <f t="shared" si="15"/>
        <v>111</v>
      </c>
      <c r="AA31" s="1811">
        <f t="shared" si="3"/>
        <v>1</v>
      </c>
      <c r="AB31" s="1811">
        <f t="shared" si="4"/>
        <v>1</v>
      </c>
      <c r="AC31" s="1811">
        <f t="shared" si="5"/>
        <v>1</v>
      </c>
    </row>
    <row r="32" spans="1:29" ht="15">
      <c r="A32" s="440" t="s">
        <v>2568</v>
      </c>
      <c r="B32" s="71" t="s">
        <v>2665</v>
      </c>
      <c r="C32" s="2619" t="s">
        <v>3448</v>
      </c>
      <c r="D32" s="467">
        <v>100</v>
      </c>
      <c r="E32" s="2619" t="s">
        <v>3449</v>
      </c>
      <c r="F32" s="461">
        <f>SUMIF(100:100,E32,101:101)-SUMIF(100:100,C32,101:101)+100</f>
        <v>103</v>
      </c>
      <c r="G32" s="2619" t="s">
        <v>3449</v>
      </c>
      <c r="H32" s="435">
        <f>SUMIF(100:100,G32,101:101)-SUMIF(100:100,C32,101:101)+100</f>
        <v>103</v>
      </c>
      <c r="I32" s="2619" t="s">
        <v>3454</v>
      </c>
      <c r="J32" s="467">
        <f>SUMIF(100:100,I32,101:101)-SUMIF(100:100,C32,101:101)+100</f>
        <v>94</v>
      </c>
      <c r="K32" s="612">
        <v>3</v>
      </c>
      <c r="L32" s="1142"/>
      <c r="M32" s="1133"/>
      <c r="N32" s="1133"/>
      <c r="O32" s="1133"/>
      <c r="P32" s="3230" t="s">
        <v>2570</v>
      </c>
      <c r="Q32" s="1810" t="str">
        <f t="shared" si="11"/>
        <v>商业类型</v>
      </c>
      <c r="R32" s="773" t="s">
        <v>17</v>
      </c>
      <c r="S32" s="774">
        <f t="shared" si="12"/>
        <v>103</v>
      </c>
      <c r="T32" s="773" t="s">
        <v>17</v>
      </c>
      <c r="U32" s="774">
        <f t="shared" si="13"/>
        <v>103</v>
      </c>
      <c r="V32" s="773" t="s">
        <v>17</v>
      </c>
      <c r="W32" s="774">
        <f t="shared" si="14"/>
        <v>94</v>
      </c>
      <c r="X32" s="1813"/>
      <c r="Y32" s="3233" t="s">
        <v>2570</v>
      </c>
      <c r="Z32" s="1814" t="str">
        <f t="shared" si="15"/>
        <v>商业类型</v>
      </c>
      <c r="AA32" s="1811">
        <f t="shared" si="3"/>
        <v>0.970873786407767</v>
      </c>
      <c r="AB32" s="1811">
        <f t="shared" si="4"/>
        <v>0.970873786407767</v>
      </c>
      <c r="AC32" s="1811">
        <f t="shared" si="5"/>
        <v>1.0638297872340425</v>
      </c>
    </row>
    <row r="33" spans="1:29" s="471" customFormat="1" ht="15">
      <c r="A33" s="468"/>
      <c r="B33" s="422" t="s">
        <v>2571</v>
      </c>
      <c r="C33" s="469">
        <f>典型户型修正!B24</f>
        <v>249.95</v>
      </c>
      <c r="D33" s="136">
        <v>100</v>
      </c>
      <c r="E33" s="469">
        <v>50</v>
      </c>
      <c r="F33" s="425">
        <f>LOOKUP(E33,103:103,104:104)-LOOKUP(C33,103:103,104:104)+100</f>
        <v>104</v>
      </c>
      <c r="G33" s="469">
        <v>60</v>
      </c>
      <c r="H33" s="136">
        <f>LOOKUP(G33,103:103,104:104)-LOOKUP(C33,103:103,104:104)+100</f>
        <v>104</v>
      </c>
      <c r="I33" s="469">
        <v>92</v>
      </c>
      <c r="J33" s="136">
        <f>LOOKUP(I33,103:103,104:104)-LOOKUP(C33,103:103,104:104)+100</f>
        <v>104</v>
      </c>
      <c r="K33" s="613"/>
      <c r="L33" s="1140"/>
      <c r="M33" s="1143"/>
      <c r="N33" s="1143"/>
      <c r="O33" s="1143"/>
      <c r="P33" s="3231"/>
      <c r="Q33" s="775" t="str">
        <f t="shared" si="11"/>
        <v>项目建筑规模</v>
      </c>
      <c r="R33" s="776" t="s">
        <v>17</v>
      </c>
      <c r="S33" s="777">
        <f t="shared" si="12"/>
        <v>104</v>
      </c>
      <c r="T33" s="776" t="s">
        <v>17</v>
      </c>
      <c r="U33" s="777">
        <f t="shared" si="13"/>
        <v>104</v>
      </c>
      <c r="V33" s="776" t="s">
        <v>17</v>
      </c>
      <c r="W33" s="777">
        <f t="shared" si="14"/>
        <v>104</v>
      </c>
      <c r="X33" s="778"/>
      <c r="Y33" s="3233"/>
      <c r="Z33" s="779" t="str">
        <f t="shared" si="15"/>
        <v>项目建筑规模</v>
      </c>
      <c r="AA33" s="1811">
        <f t="shared" si="3"/>
        <v>0.96153846153846156</v>
      </c>
      <c r="AB33" s="1811">
        <f t="shared" si="4"/>
        <v>0.96153846153846156</v>
      </c>
      <c r="AC33" s="1811">
        <f t="shared" si="5"/>
        <v>0.96153846153846156</v>
      </c>
    </row>
    <row r="34" spans="1:29" ht="15">
      <c r="A34" s="472"/>
      <c r="B34" s="422" t="s">
        <v>2572</v>
      </c>
      <c r="C34" s="2621" t="s">
        <v>3249</v>
      </c>
      <c r="D34" s="435">
        <v>100</v>
      </c>
      <c r="E34" s="2621" t="s">
        <v>3249</v>
      </c>
      <c r="F34" s="461">
        <f>SUMIF(105:105,E34,106:106)-SUMIF(105:105,C34,106:106)+100</f>
        <v>100</v>
      </c>
      <c r="G34" s="2621" t="s">
        <v>3249</v>
      </c>
      <c r="H34" s="435">
        <f>SUMIF(105:105,G34,106:106)-SUMIF(105:105,C34,106:106)+100</f>
        <v>100</v>
      </c>
      <c r="I34" s="2621" t="s">
        <v>3249</v>
      </c>
      <c r="J34" s="435">
        <f>SUMIF(105:105,I34,106:106)-SUMIF(105:105,C34,106:106)+100</f>
        <v>100</v>
      </c>
      <c r="K34" s="612">
        <v>10</v>
      </c>
      <c r="L34" s="1142"/>
      <c r="M34" s="1133"/>
      <c r="N34" s="1133"/>
      <c r="O34" s="1133"/>
      <c r="P34" s="3231"/>
      <c r="Q34" s="1810" t="str">
        <f t="shared" si="11"/>
        <v>建筑结构</v>
      </c>
      <c r="R34" s="773" t="s">
        <v>17</v>
      </c>
      <c r="S34" s="774">
        <f t="shared" si="12"/>
        <v>100</v>
      </c>
      <c r="T34" s="773" t="s">
        <v>17</v>
      </c>
      <c r="U34" s="774">
        <f t="shared" si="13"/>
        <v>100</v>
      </c>
      <c r="V34" s="773" t="s">
        <v>17</v>
      </c>
      <c r="W34" s="774">
        <f t="shared" si="14"/>
        <v>100</v>
      </c>
      <c r="X34" s="1813"/>
      <c r="Y34" s="3233"/>
      <c r="Z34" s="1814" t="str">
        <f t="shared" si="15"/>
        <v>建筑结构</v>
      </c>
      <c r="AA34" s="1811">
        <f t="shared" si="3"/>
        <v>1</v>
      </c>
      <c r="AB34" s="1811">
        <f t="shared" si="4"/>
        <v>1</v>
      </c>
      <c r="AC34" s="1811">
        <f t="shared" si="5"/>
        <v>1</v>
      </c>
    </row>
    <row r="35" spans="1:29" ht="15">
      <c r="A35" s="472"/>
      <c r="B35" s="422" t="s">
        <v>2666</v>
      </c>
      <c r="C35" s="2615" t="s">
        <v>3438</v>
      </c>
      <c r="D35" s="435">
        <v>100</v>
      </c>
      <c r="E35" s="2615" t="s">
        <v>3438</v>
      </c>
      <c r="F35" s="461">
        <f>SUMIF(107:107,E35,108:108)-SUMIF(107:107,C35,108:108)+100</f>
        <v>100</v>
      </c>
      <c r="G35" s="2615" t="s">
        <v>3438</v>
      </c>
      <c r="H35" s="435">
        <f>SUMIF(107:107,G35,108:108)-SUMIF(107:107,C35,108:108)+100</f>
        <v>100</v>
      </c>
      <c r="I35" s="2615" t="s">
        <v>3438</v>
      </c>
      <c r="J35" s="435">
        <f>SUMIF(107:107,I35,108:108)-SUMIF(107:107,C35,108:108)+100</f>
        <v>100</v>
      </c>
      <c r="K35" s="612">
        <v>2</v>
      </c>
      <c r="L35" s="1142"/>
      <c r="M35" s="1133"/>
      <c r="N35" s="1133"/>
      <c r="O35" s="1133"/>
      <c r="P35" s="3231"/>
      <c r="Q35" s="1810" t="str">
        <f t="shared" si="11"/>
        <v>公共部分装修</v>
      </c>
      <c r="R35" s="773" t="s">
        <v>17</v>
      </c>
      <c r="S35" s="774">
        <f t="shared" si="12"/>
        <v>100</v>
      </c>
      <c r="T35" s="773" t="s">
        <v>17</v>
      </c>
      <c r="U35" s="774">
        <f t="shared" si="13"/>
        <v>100</v>
      </c>
      <c r="V35" s="773" t="s">
        <v>17</v>
      </c>
      <c r="W35" s="774">
        <f t="shared" si="14"/>
        <v>100</v>
      </c>
      <c r="X35" s="1813"/>
      <c r="Y35" s="3233"/>
      <c r="Z35" s="1814" t="str">
        <f t="shared" si="15"/>
        <v>公共部分装修</v>
      </c>
      <c r="AA35" s="1811">
        <f t="shared" si="3"/>
        <v>1</v>
      </c>
      <c r="AB35" s="1811">
        <f t="shared" si="4"/>
        <v>1</v>
      </c>
      <c r="AC35" s="1811">
        <f t="shared" si="5"/>
        <v>1</v>
      </c>
    </row>
    <row r="36" spans="1:29" ht="15">
      <c r="A36" s="472"/>
      <c r="B36" s="422" t="s">
        <v>2667</v>
      </c>
      <c r="C36" s="474">
        <v>0.94</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2</v>
      </c>
      <c r="L36" s="1142"/>
      <c r="M36" s="1133"/>
      <c r="N36" s="1133"/>
      <c r="O36" s="1133"/>
      <c r="P36" s="3231"/>
      <c r="Q36" s="1810" t="str">
        <f t="shared" si="11"/>
        <v>成新度</v>
      </c>
      <c r="R36" s="773" t="s">
        <v>17</v>
      </c>
      <c r="S36" s="774">
        <f t="shared" si="12"/>
        <v>100</v>
      </c>
      <c r="T36" s="773" t="s">
        <v>17</v>
      </c>
      <c r="U36" s="774">
        <f t="shared" si="13"/>
        <v>100</v>
      </c>
      <c r="V36" s="773" t="s">
        <v>17</v>
      </c>
      <c r="W36" s="774">
        <f t="shared" si="14"/>
        <v>100</v>
      </c>
      <c r="X36" s="1813"/>
      <c r="Y36" s="3233"/>
      <c r="Z36" s="1814" t="str">
        <f t="shared" si="15"/>
        <v>成新度</v>
      </c>
      <c r="AA36" s="1811">
        <f t="shared" si="3"/>
        <v>1</v>
      </c>
      <c r="AB36" s="1811">
        <f t="shared" si="4"/>
        <v>1</v>
      </c>
      <c r="AC36" s="1811">
        <f t="shared" si="5"/>
        <v>1</v>
      </c>
    </row>
    <row r="37" spans="1:29" s="117" customFormat="1" ht="15">
      <c r="A37" s="473"/>
      <c r="B37" s="422" t="s">
        <v>2668</v>
      </c>
      <c r="C37" s="2615" t="s">
        <v>3228</v>
      </c>
      <c r="D37" s="136">
        <v>100</v>
      </c>
      <c r="E37" s="2615" t="s">
        <v>3228</v>
      </c>
      <c r="F37" s="461">
        <f>SUMIF(112:112,E37,113:113)-SUMIF(112:112,C37,113:113)+100</f>
        <v>100</v>
      </c>
      <c r="G37" s="2615" t="s">
        <v>3228</v>
      </c>
      <c r="H37" s="435">
        <f>SUMIF(112:112,G37,113:113)-SUMIF(112:112,C37,113:113)+100</f>
        <v>100</v>
      </c>
      <c r="I37" s="2615" t="s">
        <v>3228</v>
      </c>
      <c r="J37" s="435">
        <f>SUMIF(112:112,I37,113:113)-SUMIF(112:112,C37,113:113)+100</f>
        <v>100</v>
      </c>
      <c r="K37" s="612">
        <v>2</v>
      </c>
      <c r="L37" s="1134"/>
      <c r="M37" s="1135"/>
      <c r="N37" s="1135"/>
      <c r="O37" s="1135"/>
      <c r="P37" s="3231"/>
      <c r="Q37" s="1795" t="str">
        <f t="shared" si="11"/>
        <v>市政基础设施</v>
      </c>
      <c r="R37" s="769" t="s">
        <v>17</v>
      </c>
      <c r="S37" s="770">
        <f t="shared" si="12"/>
        <v>100</v>
      </c>
      <c r="T37" s="769" t="s">
        <v>17</v>
      </c>
      <c r="U37" s="770">
        <f t="shared" si="13"/>
        <v>100</v>
      </c>
      <c r="V37" s="769" t="s">
        <v>17</v>
      </c>
      <c r="W37" s="770">
        <f t="shared" si="14"/>
        <v>100</v>
      </c>
      <c r="X37" s="771"/>
      <c r="Y37" s="3233"/>
      <c r="Z37" s="55" t="str">
        <f t="shared" si="15"/>
        <v>市政基础设施</v>
      </c>
      <c r="AA37" s="772">
        <f t="shared" si="3"/>
        <v>1</v>
      </c>
      <c r="AB37" s="772">
        <f t="shared" si="4"/>
        <v>1</v>
      </c>
      <c r="AC37" s="772">
        <f t="shared" si="5"/>
        <v>1</v>
      </c>
    </row>
    <row r="38" spans="1:29" ht="15">
      <c r="A38" s="472"/>
      <c r="B38" s="422" t="s">
        <v>2669</v>
      </c>
      <c r="C38" s="2615" t="s">
        <v>3441</v>
      </c>
      <c r="D38" s="435">
        <v>100</v>
      </c>
      <c r="E38" s="2615" t="s">
        <v>3441</v>
      </c>
      <c r="F38" s="461">
        <f>SUMIF(114:114,E38,115:115)-SUMIF(114:114,C38,115:115)+100</f>
        <v>100</v>
      </c>
      <c r="G38" s="2615" t="s">
        <v>3441</v>
      </c>
      <c r="H38" s="435">
        <f>SUMIF(114:114,G38,115:115)-SUMIF(114:114,C38,115:115)+100</f>
        <v>100</v>
      </c>
      <c r="I38" s="2615" t="s">
        <v>3442</v>
      </c>
      <c r="J38" s="435">
        <f>SUMIF(114:114,I38,115:115)-SUMIF(114:114,C38,115:115)+100</f>
        <v>95</v>
      </c>
      <c r="K38" s="612">
        <v>5</v>
      </c>
      <c r="L38" s="1142"/>
      <c r="M38" s="1133"/>
      <c r="N38" s="1133"/>
      <c r="O38" s="1133"/>
      <c r="P38" s="3231" t="s">
        <v>2570</v>
      </c>
      <c r="Q38" s="1810" t="str">
        <f t="shared" si="11"/>
        <v>业态</v>
      </c>
      <c r="R38" s="773" t="s">
        <v>17</v>
      </c>
      <c r="S38" s="774">
        <f t="shared" si="12"/>
        <v>100</v>
      </c>
      <c r="T38" s="773" t="s">
        <v>17</v>
      </c>
      <c r="U38" s="774">
        <f t="shared" si="13"/>
        <v>100</v>
      </c>
      <c r="V38" s="773" t="s">
        <v>17</v>
      </c>
      <c r="W38" s="774">
        <f t="shared" si="14"/>
        <v>95</v>
      </c>
      <c r="X38" s="1813"/>
      <c r="Y38" s="3233" t="s">
        <v>2570</v>
      </c>
      <c r="Z38" s="1814" t="str">
        <f t="shared" si="15"/>
        <v>业态</v>
      </c>
      <c r="AA38" s="1811">
        <f t="shared" si="3"/>
        <v>1</v>
      </c>
      <c r="AB38" s="1811">
        <f t="shared" si="4"/>
        <v>1</v>
      </c>
      <c r="AC38" s="1811">
        <f t="shared" si="5"/>
        <v>1.0526315789473684</v>
      </c>
    </row>
    <row r="39" spans="1:29" ht="15">
      <c r="A39" s="472"/>
      <c r="B39" s="422" t="s">
        <v>2670</v>
      </c>
      <c r="C39" s="2615" t="s">
        <v>3428</v>
      </c>
      <c r="D39" s="435">
        <v>100</v>
      </c>
      <c r="E39" s="2615" t="s">
        <v>3428</v>
      </c>
      <c r="F39" s="461">
        <f>SUMIF(116:116,E39,117:117)-SUMIF(116:116,C39,117:117)+100</f>
        <v>100</v>
      </c>
      <c r="G39" s="2615" t="s">
        <v>3428</v>
      </c>
      <c r="H39" s="435">
        <f>SUMIF(116:116,G39,117:117)-SUMIF(116:116,C39,117:117)+100</f>
        <v>100</v>
      </c>
      <c r="I39" s="2615" t="s">
        <v>3428</v>
      </c>
      <c r="J39" s="435">
        <f>SUMIF(116:116,I39,117:117)-SUMIF(116:116,C39,117:117)+100</f>
        <v>100</v>
      </c>
      <c r="K39" s="612">
        <v>10</v>
      </c>
      <c r="L39" s="1142"/>
      <c r="M39" s="1133"/>
      <c r="N39" s="1133"/>
      <c r="O39" s="1133"/>
      <c r="P39" s="3231"/>
      <c r="Q39" s="1810" t="str">
        <f t="shared" si="11"/>
        <v>层高</v>
      </c>
      <c r="R39" s="773" t="s">
        <v>17</v>
      </c>
      <c r="S39" s="774">
        <f t="shared" si="12"/>
        <v>100</v>
      </c>
      <c r="T39" s="773" t="s">
        <v>17</v>
      </c>
      <c r="U39" s="774">
        <f t="shared" si="13"/>
        <v>100</v>
      </c>
      <c r="V39" s="773" t="s">
        <v>17</v>
      </c>
      <c r="W39" s="774">
        <f t="shared" si="14"/>
        <v>100</v>
      </c>
      <c r="X39" s="1813"/>
      <c r="Y39" s="3233"/>
      <c r="Z39" s="1814" t="str">
        <f t="shared" si="15"/>
        <v>层高</v>
      </c>
      <c r="AA39" s="1811">
        <f t="shared" si="3"/>
        <v>1</v>
      </c>
      <c r="AB39" s="1811">
        <f t="shared" si="4"/>
        <v>1</v>
      </c>
      <c r="AC39" s="1811">
        <f t="shared" si="5"/>
        <v>1</v>
      </c>
    </row>
    <row r="40" spans="1:29" ht="15">
      <c r="A40" s="472"/>
      <c r="B40" s="422" t="s">
        <v>2671</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42"/>
      <c r="M40" s="1133"/>
      <c r="N40" s="1133"/>
      <c r="O40" s="1133"/>
      <c r="P40" s="3231"/>
      <c r="Q40" s="1810" t="str">
        <f t="shared" si="11"/>
        <v>单套建筑面积</v>
      </c>
      <c r="R40" s="773" t="s">
        <v>17</v>
      </c>
      <c r="S40" s="774">
        <f t="shared" si="12"/>
        <v>100</v>
      </c>
      <c r="T40" s="773" t="s">
        <v>17</v>
      </c>
      <c r="U40" s="774">
        <f t="shared" si="13"/>
        <v>100</v>
      </c>
      <c r="V40" s="773" t="s">
        <v>17</v>
      </c>
      <c r="W40" s="774">
        <f t="shared" si="14"/>
        <v>100</v>
      </c>
      <c r="X40" s="1813"/>
      <c r="Y40" s="3233"/>
      <c r="Z40" s="1814" t="str">
        <f t="shared" si="15"/>
        <v>单套建筑面积</v>
      </c>
      <c r="AA40" s="1811">
        <f t="shared" si="3"/>
        <v>1</v>
      </c>
      <c r="AB40" s="1811">
        <f t="shared" si="4"/>
        <v>1</v>
      </c>
      <c r="AC40" s="1811">
        <f t="shared" si="5"/>
        <v>1</v>
      </c>
    </row>
    <row r="41" spans="1:29" s="471" customFormat="1" ht="15">
      <c r="A41" s="468"/>
      <c r="B41" s="1812" t="s">
        <v>2672</v>
      </c>
      <c r="C41" s="616" t="s">
        <v>3225</v>
      </c>
      <c r="D41" s="435">
        <v>100</v>
      </c>
      <c r="E41" s="616" t="s">
        <v>3225</v>
      </c>
      <c r="F41" s="461">
        <f>SUMIF(120:120,E41,121:121)-SUMIF(120:120,C41,121:121)+100</f>
        <v>100</v>
      </c>
      <c r="G41" s="616" t="s">
        <v>3225</v>
      </c>
      <c r="H41" s="435">
        <f>SUMIF(120:120,G41,121:121)-SUMIF(120:120,C41,121:121)+100</f>
        <v>100</v>
      </c>
      <c r="I41" s="616" t="s">
        <v>3225</v>
      </c>
      <c r="J41" s="435">
        <f>SUMIF(120:120,I41,121:121)-SUMIF(120:120,C41,121:121)+100</f>
        <v>100</v>
      </c>
      <c r="K41" s="612"/>
      <c r="L41" s="1140"/>
      <c r="M41" s="1143"/>
      <c r="N41" s="1143"/>
      <c r="O41" s="1143"/>
      <c r="P41" s="3231"/>
      <c r="Q41" s="775" t="str">
        <f t="shared" si="11"/>
        <v>进深比</v>
      </c>
      <c r="R41" s="776" t="s">
        <v>17</v>
      </c>
      <c r="S41" s="777">
        <f t="shared" si="12"/>
        <v>100</v>
      </c>
      <c r="T41" s="776" t="s">
        <v>17</v>
      </c>
      <c r="U41" s="777">
        <f t="shared" si="13"/>
        <v>100</v>
      </c>
      <c r="V41" s="776" t="s">
        <v>17</v>
      </c>
      <c r="W41" s="777">
        <f t="shared" si="14"/>
        <v>100</v>
      </c>
      <c r="X41" s="778"/>
      <c r="Y41" s="3233"/>
      <c r="Z41" s="779" t="str">
        <f t="shared" si="15"/>
        <v>进深比</v>
      </c>
      <c r="AA41" s="1811">
        <f t="shared" si="3"/>
        <v>1</v>
      </c>
      <c r="AB41" s="1811">
        <f t="shared" si="4"/>
        <v>1</v>
      </c>
      <c r="AC41" s="1811">
        <f t="shared" si="5"/>
        <v>1</v>
      </c>
    </row>
    <row r="42" spans="1:29" ht="15">
      <c r="A42" s="472"/>
      <c r="B42" s="422" t="s">
        <v>2673</v>
      </c>
      <c r="C42" s="2615" t="s">
        <v>3440</v>
      </c>
      <c r="D42" s="435">
        <v>100</v>
      </c>
      <c r="E42" s="2615" t="s">
        <v>3440</v>
      </c>
      <c r="F42" s="461">
        <f>SUMIF(122:122,E42,123:123)-SUMIF(122:122,C42,123:123)+100</f>
        <v>100</v>
      </c>
      <c r="G42" s="2615" t="s">
        <v>3440</v>
      </c>
      <c r="H42" s="435">
        <f>SUMIF(122:122,G42,123:123)-SUMIF(122:122,C42,123:123)+100</f>
        <v>100</v>
      </c>
      <c r="I42" s="2615" t="s">
        <v>3440</v>
      </c>
      <c r="J42" s="435">
        <f>SUMIF(122:122,I42,123:123)-SUMIF(122:122,C42,123:123)+100</f>
        <v>100</v>
      </c>
      <c r="K42" s="612">
        <v>3</v>
      </c>
      <c r="L42" s="1142"/>
      <c r="M42" s="1133"/>
      <c r="N42" s="1133"/>
      <c r="O42" s="1133"/>
      <c r="P42" s="3231"/>
      <c r="Q42" s="1810" t="str">
        <f t="shared" si="11"/>
        <v>内部装修</v>
      </c>
      <c r="R42" s="773" t="s">
        <v>17</v>
      </c>
      <c r="S42" s="774">
        <f t="shared" si="12"/>
        <v>100</v>
      </c>
      <c r="T42" s="773" t="s">
        <v>17</v>
      </c>
      <c r="U42" s="774">
        <f t="shared" si="13"/>
        <v>100</v>
      </c>
      <c r="V42" s="773" t="s">
        <v>17</v>
      </c>
      <c r="W42" s="774">
        <f t="shared" si="14"/>
        <v>100</v>
      </c>
      <c r="X42" s="1813"/>
      <c r="Y42" s="3233"/>
      <c r="Z42" s="1814" t="str">
        <f t="shared" si="15"/>
        <v>内部装修</v>
      </c>
      <c r="AA42" s="1811">
        <f t="shared" si="3"/>
        <v>1</v>
      </c>
      <c r="AB42" s="1811">
        <f t="shared" si="4"/>
        <v>1</v>
      </c>
      <c r="AC42" s="1811">
        <f t="shared" si="5"/>
        <v>1</v>
      </c>
    </row>
    <row r="43" spans="1:29" ht="15">
      <c r="A43" s="472"/>
      <c r="B43" s="422" t="s">
        <v>2581</v>
      </c>
      <c r="C43" s="2615" t="s">
        <v>3234</v>
      </c>
      <c r="D43" s="435">
        <v>100</v>
      </c>
      <c r="E43" s="2615" t="s">
        <v>3234</v>
      </c>
      <c r="F43" s="461">
        <f>SUMIF(124:124,E43,125:125)-SUMIF(124:124,C43,125:125)+100</f>
        <v>100</v>
      </c>
      <c r="G43" s="2615" t="s">
        <v>3234</v>
      </c>
      <c r="H43" s="435">
        <f>SUMIF(124:124,G43,125:125)-SUMIF(124:124,C43,125:125)+100</f>
        <v>100</v>
      </c>
      <c r="I43" s="2615" t="s">
        <v>3234</v>
      </c>
      <c r="J43" s="435">
        <f>SUMIF(124:124,I43,125:125)-SUMIF(124:124,C43,125:125)+100</f>
        <v>100</v>
      </c>
      <c r="K43" s="612"/>
      <c r="L43" s="1142"/>
      <c r="M43" s="1133"/>
      <c r="N43" s="1133"/>
      <c r="O43" s="1133"/>
      <c r="P43" s="3231"/>
      <c r="Q43" s="1810" t="str">
        <f t="shared" si="11"/>
        <v>内部装修维护情况</v>
      </c>
      <c r="R43" s="773" t="s">
        <v>17</v>
      </c>
      <c r="S43" s="774">
        <f t="shared" si="12"/>
        <v>100</v>
      </c>
      <c r="T43" s="773" t="s">
        <v>17</v>
      </c>
      <c r="U43" s="774">
        <f t="shared" si="13"/>
        <v>100</v>
      </c>
      <c r="V43" s="773" t="s">
        <v>17</v>
      </c>
      <c r="W43" s="774">
        <f t="shared" si="14"/>
        <v>100</v>
      </c>
      <c r="X43" s="1813"/>
      <c r="Y43" s="3233"/>
      <c r="Z43" s="1814" t="str">
        <f t="shared" si="15"/>
        <v>内部装修维护情况</v>
      </c>
      <c r="AA43" s="1811">
        <f t="shared" si="3"/>
        <v>1</v>
      </c>
      <c r="AB43" s="1811">
        <f t="shared" si="4"/>
        <v>1</v>
      </c>
      <c r="AC43" s="1811">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31"/>
      <c r="Q44" s="1795">
        <f t="shared" si="11"/>
        <v>111</v>
      </c>
      <c r="R44" s="769" t="s">
        <v>17</v>
      </c>
      <c r="S44" s="770">
        <f t="shared" si="12"/>
        <v>100</v>
      </c>
      <c r="T44" s="769" t="s">
        <v>17</v>
      </c>
      <c r="U44" s="770">
        <f t="shared" si="13"/>
        <v>100</v>
      </c>
      <c r="V44" s="769" t="s">
        <v>17</v>
      </c>
      <c r="W44" s="770">
        <f t="shared" si="14"/>
        <v>100</v>
      </c>
      <c r="X44" s="771"/>
      <c r="Y44" s="3233"/>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31"/>
      <c r="Q45" s="1810">
        <f t="shared" si="11"/>
        <v>111</v>
      </c>
      <c r="R45" s="773" t="s">
        <v>17</v>
      </c>
      <c r="S45" s="774">
        <f t="shared" si="12"/>
        <v>100</v>
      </c>
      <c r="T45" s="773" t="s">
        <v>17</v>
      </c>
      <c r="U45" s="774">
        <f t="shared" si="13"/>
        <v>100</v>
      </c>
      <c r="V45" s="773" t="s">
        <v>17</v>
      </c>
      <c r="W45" s="774">
        <f t="shared" si="14"/>
        <v>100</v>
      </c>
      <c r="X45" s="1813"/>
      <c r="Y45" s="3233"/>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32"/>
      <c r="Q46" s="1810">
        <f t="shared" si="11"/>
        <v>111</v>
      </c>
      <c r="R46" s="773" t="s">
        <v>17</v>
      </c>
      <c r="S46" s="774">
        <f t="shared" si="12"/>
        <v>100</v>
      </c>
      <c r="T46" s="773" t="s">
        <v>17</v>
      </c>
      <c r="U46" s="774">
        <f t="shared" si="13"/>
        <v>100</v>
      </c>
      <c r="V46" s="773" t="s">
        <v>17</v>
      </c>
      <c r="W46" s="774">
        <f t="shared" si="14"/>
        <v>100</v>
      </c>
      <c r="X46" s="1813"/>
      <c r="Y46" s="3234"/>
      <c r="Z46" s="1814">
        <f t="shared" si="15"/>
        <v>111</v>
      </c>
      <c r="AA46" s="1811">
        <f t="shared" si="3"/>
        <v>1</v>
      </c>
      <c r="AB46" s="1811">
        <f t="shared" si="4"/>
        <v>1</v>
      </c>
      <c r="AC46" s="1811">
        <f t="shared" si="5"/>
        <v>1</v>
      </c>
    </row>
    <row r="47" spans="1:29" ht="15">
      <c r="A47" s="479" t="s">
        <v>2582</v>
      </c>
      <c r="B47" s="480"/>
      <c r="C47" s="1409" t="s">
        <v>1</v>
      </c>
      <c r="D47" s="1410"/>
      <c r="E47" s="1411">
        <v>24000</v>
      </c>
      <c r="F47" s="1412"/>
      <c r="G47" s="1413">
        <v>24200</v>
      </c>
      <c r="H47" s="1414"/>
      <c r="I47" s="1411">
        <v>20000</v>
      </c>
      <c r="J47" s="1414"/>
      <c r="K47" s="782"/>
      <c r="L47" s="1145"/>
      <c r="M47" s="1146"/>
      <c r="N47" s="1133"/>
      <c r="O47" s="1146"/>
      <c r="P47" s="3226" t="str">
        <f>A47</f>
        <v>成交单价（元/平方米）</v>
      </c>
      <c r="Q47" s="3226"/>
      <c r="R47" s="3221">
        <f>E47</f>
        <v>24000</v>
      </c>
      <c r="S47" s="3221"/>
      <c r="T47" s="3221">
        <f>G47</f>
        <v>24200</v>
      </c>
      <c r="U47" s="3221"/>
      <c r="V47" s="3221">
        <f>I47</f>
        <v>20000</v>
      </c>
      <c r="W47" s="3221"/>
      <c r="X47" s="758"/>
      <c r="Y47" s="780"/>
      <c r="Z47" s="758"/>
      <c r="AA47" s="758"/>
      <c r="AB47" s="758"/>
      <c r="AC47" s="758"/>
    </row>
    <row r="48" spans="1:29" ht="15.75" thickBot="1">
      <c r="A48" s="486" t="s">
        <v>2674</v>
      </c>
      <c r="B48" s="487"/>
      <c r="C48" s="1415">
        <f>R49</f>
        <v>19229</v>
      </c>
      <c r="D48" s="1416"/>
      <c r="E48" s="1417">
        <f>R48</f>
        <v>20707</v>
      </c>
      <c r="F48" s="1417"/>
      <c r="G48" s="1415">
        <f>T48</f>
        <v>18933</v>
      </c>
      <c r="H48" s="1416"/>
      <c r="I48" s="1417">
        <f>V48</f>
        <v>18047</v>
      </c>
      <c r="J48" s="1416"/>
      <c r="K48" s="783"/>
      <c r="L48" s="1145"/>
      <c r="M48" s="1146"/>
      <c r="N48" s="1133"/>
      <c r="O48" s="1146"/>
      <c r="P48" s="3226" t="str">
        <f>A48</f>
        <v>比较价值（元/平方米）</v>
      </c>
      <c r="Q48" s="3226"/>
      <c r="R48" s="3227">
        <f>IF(F1="售价",ROUND(PRODUCT(R47,AA7:AA46),0),ROUND(PRODUCT(R47,AA7:AA46),1))</f>
        <v>20707</v>
      </c>
      <c r="S48" s="3227"/>
      <c r="T48" s="3227">
        <f>IF(F1="售价",ROUND(PRODUCT(T47,AB7:AB46),0),ROUND(PRODUCT(T47,AB7:AB46),1))</f>
        <v>18933</v>
      </c>
      <c r="U48" s="3227"/>
      <c r="V48" s="3227">
        <f>IF(F1="售价",ROUND(PRODUCT(V47,AC7:AC46),0),ROUND(PRODUCT(V47,AC7:AC46),1))</f>
        <v>18047</v>
      </c>
      <c r="W48" s="3227"/>
      <c r="X48" s="758"/>
      <c r="Y48" s="758"/>
      <c r="Z48" s="758"/>
      <c r="AA48" s="758"/>
      <c r="AB48" s="758"/>
      <c r="AC48" s="758"/>
    </row>
    <row r="49" spans="1:29" ht="15.75" thickBot="1">
      <c r="A49" s="492" t="s">
        <v>2675</v>
      </c>
      <c r="B49" s="493"/>
      <c r="C49" s="1419">
        <f>R49</f>
        <v>19229</v>
      </c>
      <c r="D49" s="1419"/>
      <c r="E49" s="1419"/>
      <c r="F49" s="1419"/>
      <c r="G49" s="1419"/>
      <c r="H49" s="1419"/>
      <c r="I49" s="1419"/>
      <c r="J49" s="1419"/>
      <c r="K49" s="784"/>
      <c r="L49" s="1145"/>
      <c r="M49" s="1146"/>
      <c r="N49" s="1133"/>
      <c r="O49" s="1146"/>
      <c r="P49" s="3223" t="str">
        <f>A49</f>
        <v>估价对象XX用房的比较价值（楼面单价，元/平方米）</v>
      </c>
      <c r="Q49" s="3224"/>
      <c r="R49" s="3225">
        <f>IF(F1="售价",ROUND(AVERAGE(R48:V48),0),ROUND(AVERAGE(R48:V48),1))</f>
        <v>19229</v>
      </c>
      <c r="S49" s="3225"/>
      <c r="T49" s="3225"/>
      <c r="U49" s="3225"/>
      <c r="V49" s="3225"/>
      <c r="W49" s="322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2676</v>
      </c>
      <c r="D52" s="498"/>
      <c r="E52" s="499">
        <f>IF(E47&lt;E48,E48/E47-1,E47/E48-1)</f>
        <v>0.15902834790167586</v>
      </c>
      <c r="F52" s="500" t="str">
        <f>IF(OR(E52&gt;=0.3,E52&lt;=-0.3),"超过30%","")</f>
        <v/>
      </c>
      <c r="G52" s="499">
        <f>IF(G47&lt;G48,G48/G47-1,G47/G48-1)</f>
        <v>0.27819151745629322</v>
      </c>
      <c r="H52" s="500" t="str">
        <f>IF(OR(G52&gt;=0.3,G52&lt;=-0.3),"超过30%","")</f>
        <v/>
      </c>
      <c r="I52" s="499">
        <f>IF(I47&lt;I48,I48/I47-1,I47/I48-1)</f>
        <v>0.10821743226020941</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2677</v>
      </c>
      <c r="D53" s="501"/>
      <c r="E53" s="499">
        <f>IF(E48&lt;G48,G48/E48-1,E48/G48-1)</f>
        <v>9.3698832725928272E-2</v>
      </c>
      <c r="F53" s="500" t="str">
        <f>IF(OR(E53&gt;=0.2,E53&lt;=-0.2),"超过20%","")</f>
        <v/>
      </c>
      <c r="G53" s="499">
        <f>IF(G48&lt;I48,I48/G48-1,G48/I48-1)</f>
        <v>4.909403224912734E-2</v>
      </c>
      <c r="H53" s="500" t="str">
        <f>IF(OR(G53&gt;=0.2,G53&lt;=-0.2),"超过20%","")</f>
        <v/>
      </c>
      <c r="I53" s="499">
        <f>IF(I48&lt;E48,E48/I48-1,I48/E48-1)</f>
        <v>0.14739291849060776</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2678</v>
      </c>
      <c r="D54" s="501"/>
      <c r="E54" s="499">
        <f>IF(E47&lt;G47,G47/E47-1,E47/G47-1)</f>
        <v>8.3333333333333037E-3</v>
      </c>
      <c r="F54" s="500" t="str">
        <f>IF(OR(E54&gt;=0.3,E54&lt;=-0.3),"超过30%","")</f>
        <v/>
      </c>
      <c r="G54" s="499">
        <f>IF(G47&lt;I47,I47/G47-1,G47/I47-1)</f>
        <v>0.20999999999999996</v>
      </c>
      <c r="H54" s="500" t="str">
        <f>IF(OR(G54&gt;=0.3,G54&lt;=-0.3),"超过30%","")</f>
        <v/>
      </c>
      <c r="I54" s="499">
        <f>IF(I47&lt;E47,E47/I47-1,I47/E47-1)</f>
        <v>0.19999999999999996</v>
      </c>
      <c r="J54" s="500" t="str">
        <f>IF(OR(I54&gt;=0.3,I54&lt;=-0.3),"超过30%","")</f>
        <v/>
      </c>
      <c r="K54" s="1150"/>
      <c r="L54" s="1151"/>
      <c r="M54" s="1147"/>
      <c r="N54" s="1147"/>
      <c r="O54" s="1147"/>
      <c r="P54" s="2668"/>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8"/>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2679</v>
      </c>
      <c r="B57" s="758"/>
      <c r="C57" s="763"/>
      <c r="D57" s="763"/>
      <c r="E57" s="763"/>
      <c r="F57" s="764"/>
      <c r="G57" s="764"/>
      <c r="H57" s="763"/>
      <c r="I57" s="763"/>
      <c r="J57" s="763"/>
      <c r="K57" s="765"/>
      <c r="L57" s="1163"/>
      <c r="M57" s="1161"/>
      <c r="N57" s="1161"/>
      <c r="O57" s="1161"/>
      <c r="P57" s="2669"/>
      <c r="Q57" s="2670"/>
      <c r="R57" s="758"/>
      <c r="S57" s="758"/>
      <c r="T57" s="758"/>
      <c r="U57" s="758"/>
      <c r="V57" s="758"/>
      <c r="W57" s="758"/>
      <c r="X57" s="758"/>
      <c r="Y57" s="758"/>
      <c r="Z57" s="758"/>
      <c r="AA57" s="758"/>
      <c r="AB57" s="758"/>
      <c r="AC57" s="758"/>
    </row>
    <row r="58" spans="1:29" s="508" customFormat="1" ht="15">
      <c r="A58" s="505" t="s">
        <v>2553</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9"/>
      <c r="B59" s="510"/>
      <c r="C59" s="1575">
        <v>100</v>
      </c>
      <c r="D59" s="512">
        <v>99</v>
      </c>
      <c r="E59" s="512">
        <v>99</v>
      </c>
      <c r="F59" s="512">
        <v>99</v>
      </c>
      <c r="G59" s="512">
        <v>98</v>
      </c>
      <c r="H59" s="512">
        <v>98</v>
      </c>
      <c r="I59" s="512">
        <v>98</v>
      </c>
      <c r="J59" s="512"/>
      <c r="K59" s="512"/>
      <c r="L59" s="512"/>
      <c r="M59" s="513"/>
      <c r="N59" s="512"/>
      <c r="O59" s="513"/>
      <c r="P59" s="2630"/>
    </row>
    <row r="60" spans="1:29" s="117" customFormat="1" ht="15.75" thickBot="1">
      <c r="A60" s="515" t="s">
        <v>2590</v>
      </c>
      <c r="B60" s="516"/>
      <c r="C60" s="517"/>
      <c r="D60" s="518"/>
      <c r="E60" s="518"/>
      <c r="F60" s="518"/>
      <c r="G60" s="518"/>
      <c r="H60" s="518"/>
      <c r="I60" s="518"/>
      <c r="J60" s="518"/>
      <c r="K60" s="518"/>
      <c r="L60" s="518"/>
      <c r="M60" s="519"/>
      <c r="N60" s="518"/>
      <c r="O60" s="519"/>
      <c r="P60" s="2630"/>
      <c r="Q60" s="504"/>
    </row>
    <row r="61" spans="1:29" s="117" customFormat="1" ht="15">
      <c r="A61" s="521" t="s">
        <v>2555</v>
      </c>
      <c r="B61" s="510"/>
      <c r="C61" s="522" t="s">
        <v>2657</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2593</v>
      </c>
      <c r="B63" s="528" t="s">
        <v>2559</v>
      </c>
      <c r="C63" s="529" t="str">
        <f>C9</f>
        <v>商业</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4"/>
      <c r="O65" s="1154"/>
      <c r="P65" s="2632"/>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5"/>
      <c r="O66" s="1155"/>
      <c r="P66" s="2632"/>
      <c r="Q66" s="504"/>
    </row>
    <row r="67" spans="1:17" ht="15.75" thickTop="1">
      <c r="A67" s="534"/>
      <c r="B67" s="546" t="s">
        <v>2563</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2"/>
      <c r="Q67" s="504"/>
    </row>
    <row r="68" spans="1:17" ht="15">
      <c r="A68" s="534"/>
      <c r="B68" s="548"/>
      <c r="C68" s="549">
        <v>0</v>
      </c>
      <c r="D68" s="549">
        <v>1</v>
      </c>
      <c r="E68" s="549">
        <v>2</v>
      </c>
      <c r="F68" s="549">
        <v>3</v>
      </c>
      <c r="G68" s="549">
        <v>4</v>
      </c>
      <c r="H68" s="549"/>
      <c r="I68" s="549"/>
      <c r="J68" s="549"/>
      <c r="K68" s="550"/>
      <c r="L68" s="551"/>
      <c r="M68" s="552"/>
      <c r="N68" s="1154"/>
      <c r="O68" s="1154"/>
      <c r="P68" s="2632"/>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36"/>
      <c r="E73" s="536"/>
      <c r="F73" s="536"/>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4"/>
      <c r="O76" s="1154"/>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32"/>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4"/>
      <c r="O78" s="1154"/>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32"/>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4"/>
      <c r="O80" s="1154"/>
      <c r="P80" s="263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32"/>
      <c r="Q81" s="504"/>
    </row>
    <row r="82" spans="1:17" ht="15.75" thickTop="1">
      <c r="A82" s="534"/>
      <c r="B82" s="546" t="s">
        <v>2660</v>
      </c>
      <c r="C82" s="659" t="s">
        <v>2680</v>
      </c>
      <c r="D82" s="659" t="s">
        <v>2681</v>
      </c>
      <c r="E82" s="659" t="s">
        <v>2682</v>
      </c>
      <c r="F82" s="659" t="s">
        <v>2683</v>
      </c>
      <c r="G82" s="659" t="s">
        <v>2684</v>
      </c>
      <c r="H82" s="539"/>
      <c r="I82" s="539"/>
      <c r="J82" s="539"/>
      <c r="K82" s="539"/>
      <c r="L82" s="539"/>
      <c r="M82" s="1384"/>
      <c r="N82" s="1155"/>
      <c r="O82" s="1155"/>
      <c r="P82" s="2632"/>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5"/>
      <c r="O83" s="1155"/>
      <c r="P83" s="2632"/>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4"/>
      <c r="O84" s="1154"/>
      <c r="P84" s="263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32"/>
      <c r="Q85" s="504"/>
    </row>
    <row r="86" spans="1:17" s="117" customFormat="1" ht="15.75" thickTop="1">
      <c r="A86" s="579"/>
      <c r="B86" s="538" t="s">
        <v>2685</v>
      </c>
      <c r="C86" s="2961" t="s">
        <v>3387</v>
      </c>
      <c r="D86" s="2961" t="s">
        <v>3388</v>
      </c>
      <c r="E86" s="2961" t="s">
        <v>3389</v>
      </c>
      <c r="F86" s="2961" t="s">
        <v>3390</v>
      </c>
      <c r="G86" s="554"/>
      <c r="H86" s="554"/>
      <c r="I86" s="554"/>
      <c r="J86" s="554"/>
      <c r="K86" s="554"/>
      <c r="L86" s="580"/>
      <c r="M86" s="581"/>
      <c r="N86" s="1153"/>
      <c r="O86" s="1153"/>
      <c r="P86" s="2632"/>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5"/>
      <c r="O87" s="1155"/>
      <c r="P87" s="2632"/>
      <c r="Q87" s="504"/>
    </row>
    <row r="88" spans="1:17" s="117" customFormat="1" ht="15.75" thickTop="1">
      <c r="A88" s="579"/>
      <c r="B88" s="538" t="str">
        <f>B26</f>
        <v>平面位置/可视性</v>
      </c>
      <c r="C88" s="2975" t="s">
        <v>2602</v>
      </c>
      <c r="D88" s="2975" t="s">
        <v>2603</v>
      </c>
      <c r="E88" s="2975" t="s">
        <v>2604</v>
      </c>
      <c r="F88" s="2975" t="s">
        <v>2605</v>
      </c>
      <c r="G88" s="2975" t="s">
        <v>2606</v>
      </c>
      <c r="H88" s="554"/>
      <c r="I88" s="554"/>
      <c r="J88" s="554"/>
      <c r="K88" s="554"/>
      <c r="L88" s="554"/>
      <c r="M88" s="581"/>
      <c r="N88" s="1153"/>
      <c r="O88" s="1153"/>
      <c r="P88" s="2632"/>
      <c r="Q88" s="504"/>
    </row>
    <row r="89" spans="1:17" s="117" customFormat="1" ht="15.75" thickBot="1">
      <c r="A89" s="579"/>
      <c r="B89" s="543"/>
      <c r="C89" s="560">
        <v>100</v>
      </c>
      <c r="D89" s="536">
        <v>98</v>
      </c>
      <c r="E89" s="536">
        <v>96</v>
      </c>
      <c r="F89" s="536">
        <v>94</v>
      </c>
      <c r="G89" s="536">
        <v>92</v>
      </c>
      <c r="H89" s="536"/>
      <c r="I89" s="536"/>
      <c r="J89" s="536"/>
      <c r="K89" s="536"/>
      <c r="L89" s="536"/>
      <c r="M89" s="536"/>
      <c r="N89" s="1155"/>
      <c r="O89" s="1155"/>
      <c r="P89" s="2632"/>
      <c r="Q89" s="504"/>
    </row>
    <row r="90" spans="1:17" s="471" customFormat="1" ht="15.75" thickTop="1">
      <c r="A90" s="553"/>
      <c r="B90" s="538" t="str">
        <f>B27</f>
        <v>人流量</v>
      </c>
      <c r="C90" s="2961" t="s">
        <v>3391</v>
      </c>
      <c r="D90" s="2961" t="s">
        <v>3392</v>
      </c>
      <c r="E90" s="2975" t="s">
        <v>2604</v>
      </c>
      <c r="F90" s="2975" t="s">
        <v>2605</v>
      </c>
      <c r="G90" s="2975" t="s">
        <v>2606</v>
      </c>
      <c r="H90" s="555"/>
      <c r="I90" s="555"/>
      <c r="J90" s="555"/>
      <c r="K90" s="555"/>
      <c r="L90" s="556"/>
      <c r="M90" s="557"/>
      <c r="N90" s="1156"/>
      <c r="O90" s="1156"/>
      <c r="P90" s="2633"/>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6"/>
      <c r="O91" s="1156"/>
      <c r="P91" s="2633"/>
      <c r="Q91" s="559"/>
    </row>
    <row r="92" spans="1:17" ht="15.75" thickTop="1">
      <c r="A92" s="534"/>
      <c r="B92" s="538" t="str">
        <f>B28</f>
        <v>楼层</v>
      </c>
      <c r="C92" s="554" t="s">
        <v>3393</v>
      </c>
      <c r="D92" s="554" t="s">
        <v>3394</v>
      </c>
      <c r="E92" s="554"/>
      <c r="F92" s="554"/>
      <c r="G92" s="554"/>
      <c r="H92" s="554"/>
      <c r="I92" s="554"/>
      <c r="J92" s="554"/>
      <c r="K92" s="554"/>
      <c r="L92" s="580"/>
      <c r="M92" s="581"/>
      <c r="N92" s="1154"/>
      <c r="O92" s="1154"/>
      <c r="P92" s="2632"/>
      <c r="Q92" s="504"/>
    </row>
    <row r="93" spans="1:17" ht="15.75" thickBot="1">
      <c r="A93" s="534"/>
      <c r="B93" s="543"/>
      <c r="C93" s="536">
        <v>100</v>
      </c>
      <c r="D93" s="536">
        <v>70</v>
      </c>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36"/>
      <c r="E95" s="536"/>
      <c r="F95" s="536"/>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60"/>
      <c r="D97" s="536"/>
      <c r="E97" s="536"/>
      <c r="F97" s="536"/>
      <c r="G97" s="536"/>
      <c r="H97" s="536"/>
      <c r="I97" s="536"/>
      <c r="J97" s="536"/>
      <c r="K97" s="536"/>
      <c r="L97" s="536"/>
      <c r="M97" s="537"/>
      <c r="N97" s="1155"/>
      <c r="O97" s="1155"/>
      <c r="P97" s="2632"/>
      <c r="Q97" s="504"/>
    </row>
    <row r="98" spans="1:17" ht="15.75" thickTop="1">
      <c r="A98" s="534"/>
      <c r="B98" s="546">
        <f>B31</f>
        <v>111</v>
      </c>
      <c r="C98" s="554"/>
      <c r="D98" s="554"/>
      <c r="E98" s="554"/>
      <c r="F98" s="554"/>
      <c r="G98" s="587"/>
      <c r="H98" s="587"/>
      <c r="I98" s="587"/>
      <c r="J98" s="587"/>
      <c r="K98" s="588"/>
      <c r="L98" s="589"/>
      <c r="M98" s="590"/>
      <c r="N98" s="1154"/>
      <c r="O98" s="1154"/>
      <c r="P98" s="2632"/>
      <c r="Q98" s="504"/>
    </row>
    <row r="99" spans="1:17" ht="15.75" thickBot="1">
      <c r="A99" s="2638"/>
      <c r="B99" s="569"/>
      <c r="C99" s="570"/>
      <c r="D99" s="570"/>
      <c r="E99" s="570"/>
      <c r="F99" s="570"/>
      <c r="G99" s="591"/>
      <c r="H99" s="591"/>
      <c r="I99" s="591"/>
      <c r="J99" s="591"/>
      <c r="K99" s="591"/>
      <c r="L99" s="591"/>
      <c r="M99" s="592"/>
      <c r="N99" s="1155"/>
      <c r="O99" s="1155"/>
      <c r="P99" s="2632"/>
      <c r="Q99" s="504"/>
    </row>
    <row r="100" spans="1:17">
      <c r="A100" s="527" t="s">
        <v>2568</v>
      </c>
      <c r="B100" s="528" t="s">
        <v>2686</v>
      </c>
      <c r="C100" s="2960" t="s">
        <v>3395</v>
      </c>
      <c r="D100" s="2960" t="s">
        <v>3396</v>
      </c>
      <c r="E100" s="2960" t="s">
        <v>3397</v>
      </c>
      <c r="F100" s="2960" t="s">
        <v>3399</v>
      </c>
      <c r="G100" s="2960" t="s">
        <v>3398</v>
      </c>
      <c r="H100" s="530"/>
      <c r="I100" s="530"/>
      <c r="J100" s="530"/>
      <c r="K100" s="531"/>
      <c r="L100" s="532"/>
      <c r="M100" s="533"/>
      <c r="N100" s="1154"/>
      <c r="O100" s="1154"/>
      <c r="P100" s="2632"/>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5"/>
      <c r="O101" s="1155"/>
      <c r="P101" s="2632"/>
      <c r="Q101" s="504"/>
    </row>
    <row r="102" spans="1:17" ht="29.25" thickTop="1">
      <c r="A102" s="534"/>
      <c r="B102" s="538" t="s">
        <v>2618</v>
      </c>
      <c r="C102" s="578" t="str">
        <f>C103&amp;"(含)"&amp;"-"&amp;D103</f>
        <v>0(含)-100</v>
      </c>
      <c r="D102" s="578" t="str">
        <f t="shared" ref="D102:L102" si="23">D103&amp;"(含)"&amp;"-"&amp;E103</f>
        <v>100(含)-200</v>
      </c>
      <c r="E102" s="578" t="str">
        <f t="shared" si="23"/>
        <v>200(含)-400</v>
      </c>
      <c r="F102" s="578" t="str">
        <f t="shared" si="23"/>
        <v>400(含)-600</v>
      </c>
      <c r="G102" s="578" t="str">
        <f t="shared" si="23"/>
        <v>600(含)-800</v>
      </c>
      <c r="H102" s="578" t="str">
        <f t="shared" si="23"/>
        <v>800(含)-1000</v>
      </c>
      <c r="I102" s="578" t="str">
        <f t="shared" si="23"/>
        <v>1000(含)-1500</v>
      </c>
      <c r="J102" s="578" t="str">
        <f t="shared" si="23"/>
        <v>1500(含)-2000</v>
      </c>
      <c r="K102" s="578" t="str">
        <f t="shared" si="23"/>
        <v>2000(含)-</v>
      </c>
      <c r="L102" s="578" t="str">
        <f t="shared" si="23"/>
        <v>(含)-</v>
      </c>
      <c r="M102" s="621" t="str">
        <f>M103&amp;"(含)"&amp;"-"&amp;P103</f>
        <v>(含)-</v>
      </c>
      <c r="N102" s="1153"/>
      <c r="O102" s="1153"/>
      <c r="P102" s="2632"/>
      <c r="Q102" s="504"/>
    </row>
    <row r="103" spans="1:17" s="471" customFormat="1">
      <c r="A103" s="593"/>
      <c r="B103" s="594"/>
      <c r="C103" s="708">
        <v>0</v>
      </c>
      <c r="D103" s="709">
        <v>100</v>
      </c>
      <c r="E103" s="709">
        <v>200</v>
      </c>
      <c r="F103" s="1706">
        <v>400</v>
      </c>
      <c r="G103" s="1706">
        <v>600</v>
      </c>
      <c r="H103" s="1706">
        <v>800</v>
      </c>
      <c r="I103" s="1706">
        <v>1000</v>
      </c>
      <c r="J103" s="1706">
        <v>1500</v>
      </c>
      <c r="K103" s="1706">
        <v>2000</v>
      </c>
      <c r="L103" s="597"/>
      <c r="M103" s="598"/>
      <c r="N103" s="1156"/>
      <c r="O103" s="1156"/>
      <c r="P103" s="2633"/>
      <c r="Q103" s="559"/>
    </row>
    <row r="104" spans="1:17" s="471" customFormat="1" ht="15.75" thickBot="1">
      <c r="A104" s="553"/>
      <c r="B104" s="543"/>
      <c r="C104" s="1212">
        <v>100</v>
      </c>
      <c r="D104" s="1213">
        <v>98</v>
      </c>
      <c r="E104" s="1213">
        <v>96</v>
      </c>
      <c r="F104" s="1213">
        <v>94</v>
      </c>
      <c r="G104" s="1213">
        <v>92</v>
      </c>
      <c r="H104" s="1213">
        <v>90</v>
      </c>
      <c r="I104" s="1213">
        <v>88</v>
      </c>
      <c r="J104" s="1213">
        <v>86</v>
      </c>
      <c r="K104" s="1213">
        <v>84</v>
      </c>
      <c r="L104" s="536"/>
      <c r="M104" s="537"/>
      <c r="N104" s="1155"/>
      <c r="O104" s="1155"/>
      <c r="P104" s="2633"/>
      <c r="Q104" s="559"/>
    </row>
    <row r="105" spans="1:17" ht="15" thickTop="1">
      <c r="A105" s="599"/>
      <c r="B105" s="538" t="s">
        <v>2619</v>
      </c>
      <c r="C105" s="2961" t="s">
        <v>3400</v>
      </c>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4">C106-$K34</f>
        <v>90</v>
      </c>
      <c r="E106" s="544">
        <f t="shared" si="24"/>
        <v>80</v>
      </c>
      <c r="F106" s="544">
        <f t="shared" si="24"/>
        <v>70</v>
      </c>
      <c r="G106" s="544">
        <f t="shared" si="24"/>
        <v>60</v>
      </c>
      <c r="H106" s="544">
        <f t="shared" si="24"/>
        <v>50</v>
      </c>
      <c r="I106" s="544">
        <f t="shared" si="24"/>
        <v>40</v>
      </c>
      <c r="J106" s="544">
        <f t="shared" si="24"/>
        <v>30</v>
      </c>
      <c r="K106" s="544">
        <f t="shared" si="24"/>
        <v>20</v>
      </c>
      <c r="L106" s="544">
        <f t="shared" si="24"/>
        <v>10</v>
      </c>
      <c r="M106" s="545">
        <f t="shared" si="24"/>
        <v>0</v>
      </c>
      <c r="N106" s="1155"/>
      <c r="O106" s="1155"/>
      <c r="P106" s="2632"/>
      <c r="Q106" s="504"/>
    </row>
    <row r="107" spans="1:17" ht="15" thickTop="1">
      <c r="A107" s="599"/>
      <c r="B107" s="538" t="s">
        <v>2621</v>
      </c>
      <c r="C107" s="2961" t="s">
        <v>3401</v>
      </c>
      <c r="D107" s="2961" t="s">
        <v>3402</v>
      </c>
      <c r="E107" s="2961" t="s">
        <v>3403</v>
      </c>
      <c r="F107" s="2963" t="s">
        <v>3404</v>
      </c>
      <c r="G107" s="583"/>
      <c r="H107" s="583"/>
      <c r="I107" s="583"/>
      <c r="J107" s="583"/>
      <c r="K107" s="584"/>
      <c r="L107" s="585"/>
      <c r="M107" s="586"/>
      <c r="N107" s="1154"/>
      <c r="O107" s="1154"/>
      <c r="P107" s="2632"/>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5"/>
      <c r="O108" s="1155"/>
      <c r="P108" s="2632"/>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2"/>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5"/>
      <c r="O111" s="1155"/>
      <c r="P111" s="2632"/>
      <c r="Q111" s="504"/>
    </row>
    <row r="112" spans="1:17" s="471" customFormat="1" ht="15" thickTop="1">
      <c r="A112" s="593"/>
      <c r="B112" s="538" t="s">
        <v>2623</v>
      </c>
      <c r="C112" s="2961" t="s">
        <v>3410</v>
      </c>
      <c r="D112" s="2961" t="s">
        <v>3411</v>
      </c>
      <c r="E112" s="2961" t="s">
        <v>3412</v>
      </c>
      <c r="F112" s="2961" t="s">
        <v>3413</v>
      </c>
      <c r="G112" s="2961" t="s">
        <v>3414</v>
      </c>
      <c r="H112" s="583"/>
      <c r="I112" s="583"/>
      <c r="J112" s="583"/>
      <c r="K112" s="584"/>
      <c r="L112" s="585"/>
      <c r="M112" s="586"/>
      <c r="N112" s="1156"/>
      <c r="O112" s="1156"/>
      <c r="P112" s="2633"/>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6"/>
      <c r="O113" s="1156"/>
      <c r="P113" s="2633"/>
      <c r="Q113" s="559"/>
    </row>
    <row r="114" spans="1:17" ht="15" thickTop="1">
      <c r="A114" s="599"/>
      <c r="B114" s="538" t="s">
        <v>2687</v>
      </c>
      <c r="C114" s="2961" t="s">
        <v>3408</v>
      </c>
      <c r="D114" s="2961" t="s">
        <v>3409</v>
      </c>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5"/>
      <c r="O115" s="1155"/>
      <c r="P115" s="2632"/>
      <c r="Q115" s="504"/>
    </row>
    <row r="116" spans="1:17" ht="15" thickTop="1">
      <c r="A116" s="599"/>
      <c r="B116" s="538" t="s">
        <v>2688</v>
      </c>
      <c r="C116" s="2961" t="s">
        <v>3406</v>
      </c>
      <c r="D116" s="2961" t="s">
        <v>3407</v>
      </c>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90</v>
      </c>
      <c r="E117" s="544">
        <f>D117-$K39</f>
        <v>80</v>
      </c>
      <c r="F117" s="544">
        <f>E117-$K39</f>
        <v>70</v>
      </c>
      <c r="G117" s="544">
        <f>F117-$K39</f>
        <v>60</v>
      </c>
      <c r="H117" s="544"/>
      <c r="I117" s="544"/>
      <c r="J117" s="544"/>
      <c r="K117" s="544"/>
      <c r="L117" s="544"/>
      <c r="M117" s="545"/>
      <c r="N117" s="1155"/>
      <c r="O117" s="1155"/>
      <c r="P117" s="2632"/>
      <c r="Q117" s="504"/>
    </row>
    <row r="118" spans="1:17" ht="15" thickTop="1">
      <c r="A118" s="599"/>
      <c r="B118" s="538" t="s">
        <v>2689</v>
      </c>
      <c r="C118" s="626"/>
      <c r="D118" s="626"/>
      <c r="E118" s="626"/>
      <c r="F118" s="626"/>
      <c r="G118" s="626"/>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2690</v>
      </c>
      <c r="C120" s="2963" t="s">
        <v>3405</v>
      </c>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3"/>
      <c r="Q121" s="559"/>
    </row>
    <row r="122" spans="1:17" ht="15" thickTop="1">
      <c r="A122" s="599"/>
      <c r="B122" s="538" t="s">
        <v>2625</v>
      </c>
      <c r="C122" s="2961" t="s">
        <v>3401</v>
      </c>
      <c r="D122" s="2961" t="s">
        <v>3402</v>
      </c>
      <c r="E122" s="2961" t="s">
        <v>3403</v>
      </c>
      <c r="F122" s="2963" t="s">
        <v>3404</v>
      </c>
      <c r="G122" s="583"/>
      <c r="H122" s="583"/>
      <c r="I122" s="583"/>
      <c r="J122" s="583"/>
      <c r="K122" s="584"/>
      <c r="L122" s="585"/>
      <c r="M122" s="586"/>
      <c r="N122" s="1154"/>
      <c r="O122" s="1154"/>
      <c r="P122" s="2632"/>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5"/>
      <c r="O123" s="1155"/>
      <c r="P123" s="2632"/>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36"/>
      <c r="E129" s="536"/>
      <c r="F129" s="536"/>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671" t="s">
        <v>2691</v>
      </c>
      <c r="C1" s="1622" t="s">
        <v>2535</v>
      </c>
      <c r="D1" s="1623"/>
      <c r="E1" s="1632"/>
      <c r="F1" s="2586"/>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t="e">
        <f ca="1">IF(C2="——",ROUND(C50*D3/10000,0),ROUND(C50*D3/10000,0)-D2)</f>
        <v>#DIV/0!</v>
      </c>
      <c r="C2" s="2588"/>
      <c r="D2" s="1367" t="e">
        <f ca="1">SUMIF(INDIRECT("'"&amp;F2&amp;"'"&amp;"!A:A"),"承租人权益价值",INDIRECT("'"&amp;F2&amp;"'"&amp;"!c:c"))</f>
        <v>#REF!</v>
      </c>
      <c r="E2" s="2589" t="s">
        <v>2333</v>
      </c>
      <c r="F2" s="2590"/>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2334</v>
      </c>
      <c r="B3" s="609" t="e">
        <f ca="1">IF(C2="——",C50,ROUND(B2*10000/D3,0))</f>
        <v>#DIV/0!</v>
      </c>
      <c r="C3" s="400" t="s">
        <v>2649</v>
      </c>
      <c r="D3" s="399">
        <f>IF(D1="",'数据-汇总表'!E3,SUMIF('数据-汇总表'!$C19:$C33,D1,'数据-汇总表'!$E19:$E33))</f>
        <v>249.95</v>
      </c>
      <c r="E3" s="2665"/>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2650</v>
      </c>
      <c r="B4" s="402"/>
      <c r="C4" s="3209" t="s">
        <v>2651</v>
      </c>
      <c r="D4" s="3210"/>
      <c r="E4" s="3211" t="s">
        <v>2652</v>
      </c>
      <c r="F4" s="3212"/>
      <c r="G4" s="3209" t="s">
        <v>2653</v>
      </c>
      <c r="H4" s="3210"/>
      <c r="I4" s="3209" t="s">
        <v>2654</v>
      </c>
      <c r="J4" s="3210"/>
      <c r="K4" s="610" t="s">
        <v>2655</v>
      </c>
      <c r="L4" s="1132"/>
      <c r="M4" s="1133"/>
      <c r="N4" s="1133"/>
      <c r="O4" s="1133"/>
      <c r="P4" s="3245" t="s">
        <v>2656</v>
      </c>
      <c r="Q4" s="3246"/>
      <c r="R4" s="3240" t="s">
        <v>2652</v>
      </c>
      <c r="S4" s="3241"/>
      <c r="T4" s="3240" t="s">
        <v>2653</v>
      </c>
      <c r="U4" s="3241"/>
      <c r="V4" s="3249" t="s">
        <v>2654</v>
      </c>
      <c r="W4" s="3249"/>
      <c r="X4" s="2672"/>
      <c r="Y4" s="3240" t="s">
        <v>2656</v>
      </c>
      <c r="Z4" s="3241"/>
      <c r="AA4" s="3239" t="s">
        <v>2652</v>
      </c>
      <c r="AB4" s="3239" t="s">
        <v>2653</v>
      </c>
      <c r="AC4" s="3242" t="s">
        <v>2654</v>
      </c>
    </row>
    <row r="5" spans="1:29" ht="15">
      <c r="A5" s="404"/>
      <c r="B5" s="405"/>
      <c r="C5" s="3202" t="s">
        <v>2547</v>
      </c>
      <c r="D5" s="3203"/>
      <c r="E5" s="3200" t="s">
        <v>2548</v>
      </c>
      <c r="F5" s="3201"/>
      <c r="G5" s="3202" t="s">
        <v>2549</v>
      </c>
      <c r="H5" s="3203"/>
      <c r="I5" s="3202" t="s">
        <v>2550</v>
      </c>
      <c r="J5" s="3203"/>
      <c r="K5" s="610"/>
      <c r="L5" s="1132"/>
      <c r="M5" s="1133"/>
      <c r="N5" s="1133"/>
      <c r="O5" s="1133"/>
      <c r="P5" s="3247"/>
      <c r="Q5" s="3216"/>
      <c r="R5" s="3198"/>
      <c r="S5" s="3199"/>
      <c r="T5" s="3198"/>
      <c r="U5" s="3199"/>
      <c r="V5" s="3221"/>
      <c r="W5" s="3221"/>
      <c r="X5" s="1813"/>
      <c r="Y5" s="3198"/>
      <c r="Z5" s="3199"/>
      <c r="AA5" s="3192"/>
      <c r="AB5" s="3192"/>
      <c r="AC5" s="3243"/>
    </row>
    <row r="6" spans="1:29" ht="15.75" thickBot="1">
      <c r="A6" s="406"/>
      <c r="B6" s="407"/>
      <c r="C6" s="3204" t="s">
        <v>2551</v>
      </c>
      <c r="D6" s="3205"/>
      <c r="E6" s="3206" t="s">
        <v>2551</v>
      </c>
      <c r="F6" s="3207"/>
      <c r="G6" s="3204" t="s">
        <v>2551</v>
      </c>
      <c r="H6" s="3205"/>
      <c r="I6" s="3204" t="s">
        <v>2551</v>
      </c>
      <c r="J6" s="3205"/>
      <c r="K6" s="610" t="s">
        <v>2552</v>
      </c>
      <c r="L6" s="1132"/>
      <c r="M6" s="1133"/>
      <c r="N6" s="1133"/>
      <c r="O6" s="1133"/>
      <c r="P6" s="3248"/>
      <c r="Q6" s="3218"/>
      <c r="R6" s="3198"/>
      <c r="S6" s="3199"/>
      <c r="T6" s="3219"/>
      <c r="U6" s="3220"/>
      <c r="V6" s="3221"/>
      <c r="W6" s="3221"/>
      <c r="X6" s="1813"/>
      <c r="Y6" s="3219"/>
      <c r="Z6" s="3220"/>
      <c r="AA6" s="3193"/>
      <c r="AB6" s="3193"/>
      <c r="AC6" s="3244"/>
    </row>
    <row r="7" spans="1:29" s="117" customFormat="1" ht="15.75" thickBot="1">
      <c r="A7" s="408" t="s">
        <v>2553</v>
      </c>
      <c r="B7" s="409"/>
      <c r="C7" s="410">
        <f>'数据-取费表'!B2</f>
        <v>43296</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0" t="s">
        <v>2554</v>
      </c>
      <c r="Q7" s="3222"/>
      <c r="R7" s="769" t="s">
        <v>17</v>
      </c>
      <c r="S7" s="770">
        <f t="shared" ref="S7:S15" si="0">F7</f>
        <v>0</v>
      </c>
      <c r="T7" s="769" t="s">
        <v>17</v>
      </c>
      <c r="U7" s="770">
        <f t="shared" ref="U7:U15" si="1">H7</f>
        <v>0</v>
      </c>
      <c r="V7" s="769" t="s">
        <v>17</v>
      </c>
      <c r="W7" s="770">
        <f t="shared" ref="W7:W15" si="2">J7</f>
        <v>0</v>
      </c>
      <c r="X7" s="771"/>
      <c r="Y7" s="3194" t="s">
        <v>2554</v>
      </c>
      <c r="Z7" s="3195"/>
      <c r="AA7" s="772" t="e">
        <f>D7/F7</f>
        <v>#DIV/0!</v>
      </c>
      <c r="AB7" s="772" t="e">
        <f>D7/H7</f>
        <v>#DIV/0!</v>
      </c>
      <c r="AC7" s="2673"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0" t="s">
        <v>2557</v>
      </c>
      <c r="Q8" s="3195"/>
      <c r="R8" s="769" t="s">
        <v>17</v>
      </c>
      <c r="S8" s="770">
        <f t="shared" si="0"/>
        <v>0</v>
      </c>
      <c r="T8" s="769" t="s">
        <v>17</v>
      </c>
      <c r="U8" s="770">
        <f t="shared" si="1"/>
        <v>0</v>
      </c>
      <c r="V8" s="769" t="s">
        <v>17</v>
      </c>
      <c r="W8" s="770">
        <f t="shared" si="2"/>
        <v>0</v>
      </c>
      <c r="X8" s="771"/>
      <c r="Y8" s="3194" t="s">
        <v>2557</v>
      </c>
      <c r="Z8" s="3195"/>
      <c r="AA8" s="772" t="e">
        <f t="shared" ref="AA8:AA47" si="3">D8/F8</f>
        <v>#DIV/0!</v>
      </c>
      <c r="AB8" s="772" t="e">
        <f t="shared" ref="AB8:AB47" si="4">D8/H8</f>
        <v>#DIV/0!</v>
      </c>
      <c r="AC8" s="2673"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08" t="s">
        <v>2560</v>
      </c>
      <c r="Q9" s="1795" t="str">
        <f t="shared" ref="Q9:Q15" si="6">B9</f>
        <v>用途</v>
      </c>
      <c r="R9" s="769" t="s">
        <v>17</v>
      </c>
      <c r="S9" s="770">
        <f t="shared" si="0"/>
        <v>100</v>
      </c>
      <c r="T9" s="769" t="s">
        <v>17</v>
      </c>
      <c r="U9" s="770">
        <f t="shared" si="1"/>
        <v>100</v>
      </c>
      <c r="V9" s="769" t="s">
        <v>17</v>
      </c>
      <c r="W9" s="770">
        <f t="shared" si="2"/>
        <v>100</v>
      </c>
      <c r="X9" s="771"/>
      <c r="Y9" s="3047" t="s">
        <v>2561</v>
      </c>
      <c r="Z9" s="55" t="str">
        <f t="shared" ref="Z9:Z15" si="7">Q9</f>
        <v>用途</v>
      </c>
      <c r="AA9" s="772">
        <f t="shared" si="3"/>
        <v>1</v>
      </c>
      <c r="AB9" s="772">
        <f t="shared" si="4"/>
        <v>1</v>
      </c>
      <c r="AC9" s="2673">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08"/>
      <c r="Q10" s="1795"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2673">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08"/>
      <c r="Q11" s="1795" t="str">
        <f t="shared" si="6"/>
        <v>容积率</v>
      </c>
      <c r="R11" s="769" t="s">
        <v>17</v>
      </c>
      <c r="S11" s="770" t="e">
        <f t="shared" si="0"/>
        <v>#N/A</v>
      </c>
      <c r="T11" s="769" t="s">
        <v>17</v>
      </c>
      <c r="U11" s="770" t="e">
        <f t="shared" si="1"/>
        <v>#N/A</v>
      </c>
      <c r="V11" s="769" t="s">
        <v>17</v>
      </c>
      <c r="W11" s="770" t="e">
        <f t="shared" si="2"/>
        <v>#N/A</v>
      </c>
      <c r="X11" s="771"/>
      <c r="Y11" s="3047"/>
      <c r="Z11" s="55" t="str">
        <f t="shared" si="7"/>
        <v>容积率</v>
      </c>
      <c r="AA11" s="772" t="e">
        <f t="shared" si="3"/>
        <v>#N/A</v>
      </c>
      <c r="AB11" s="772"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208"/>
      <c r="Q12" s="1795">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208"/>
      <c r="Q13" s="1795">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2673">
        <f t="shared" si="5"/>
        <v>1</v>
      </c>
    </row>
    <row r="14" spans="1:29" ht="15.75" thickBot="1">
      <c r="A14" s="436"/>
      <c r="B14" s="2604">
        <v>111</v>
      </c>
      <c r="C14" s="437"/>
      <c r="D14" s="438">
        <v>100</v>
      </c>
      <c r="E14" s="627"/>
      <c r="F14" s="438">
        <f>SUMIF(75:75,E14,76:76)-SUMIF(75:75,C14,76:76)+100</f>
        <v>100</v>
      </c>
      <c r="G14" s="2674"/>
      <c r="H14" s="438">
        <f>SUMIF(75:75,G14,76:76)-SUMIF(75:75,C14,76:76)+100</f>
        <v>100</v>
      </c>
      <c r="I14" s="432"/>
      <c r="J14" s="438">
        <f>SUMIF(75:75,I14,76:76)-SUMIF(75:75,C14,76:76)+100</f>
        <v>100</v>
      </c>
      <c r="K14" s="613"/>
      <c r="L14" s="1142"/>
      <c r="M14" s="1133"/>
      <c r="N14" s="1133"/>
      <c r="O14" s="1133"/>
      <c r="P14" s="3208"/>
      <c r="Q14" s="1795">
        <f t="shared" si="6"/>
        <v>111</v>
      </c>
      <c r="R14" s="769" t="s">
        <v>17</v>
      </c>
      <c r="S14" s="770">
        <f t="shared" si="0"/>
        <v>100</v>
      </c>
      <c r="T14" s="769" t="s">
        <v>17</v>
      </c>
      <c r="U14" s="770">
        <f t="shared" si="1"/>
        <v>100</v>
      </c>
      <c r="V14" s="769" t="s">
        <v>17</v>
      </c>
      <c r="W14" s="770">
        <f t="shared" si="2"/>
        <v>100</v>
      </c>
      <c r="X14" s="771"/>
      <c r="Y14" s="3047"/>
      <c r="Z14" s="55">
        <f t="shared" si="7"/>
        <v>111</v>
      </c>
      <c r="AA14" s="772">
        <f t="shared" si="3"/>
        <v>1</v>
      </c>
      <c r="AB14" s="772">
        <f t="shared" si="4"/>
        <v>1</v>
      </c>
      <c r="AC14" s="2673">
        <f t="shared" si="5"/>
        <v>1</v>
      </c>
    </row>
    <row r="15" spans="1:29" ht="71.25">
      <c r="A15" s="440" t="s">
        <v>2564</v>
      </c>
      <c r="B15" s="628" t="s">
        <v>2692</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35" t="s">
        <v>2565</v>
      </c>
      <c r="Q15" s="1810" t="str">
        <f t="shared" si="6"/>
        <v>办公集聚程度</v>
      </c>
      <c r="R15" s="773" t="s">
        <v>17</v>
      </c>
      <c r="S15" s="774">
        <f t="shared" si="0"/>
        <v>100</v>
      </c>
      <c r="T15" s="773" t="s">
        <v>17</v>
      </c>
      <c r="U15" s="774">
        <f t="shared" si="1"/>
        <v>100</v>
      </c>
      <c r="V15" s="773" t="s">
        <v>17</v>
      </c>
      <c r="W15" s="774">
        <f t="shared" si="2"/>
        <v>100</v>
      </c>
      <c r="X15" s="1813"/>
      <c r="Y15" s="3228" t="s">
        <v>2565</v>
      </c>
      <c r="Z15" s="1814" t="str">
        <f t="shared" si="7"/>
        <v>办公集聚程度</v>
      </c>
      <c r="AA15" s="1811">
        <f t="shared" si="3"/>
        <v>1</v>
      </c>
      <c r="AB15" s="1811">
        <f t="shared" si="4"/>
        <v>1</v>
      </c>
      <c r="AC15" s="2676">
        <f t="shared" si="5"/>
        <v>1</v>
      </c>
    </row>
    <row r="16" spans="1:29" ht="15">
      <c r="A16" s="428"/>
      <c r="B16" s="629"/>
      <c r="C16" s="2613"/>
      <c r="D16" s="448"/>
      <c r="E16" s="447"/>
      <c r="F16" s="448"/>
      <c r="G16" s="2613"/>
      <c r="H16" s="450"/>
      <c r="I16" s="447"/>
      <c r="J16" s="448"/>
      <c r="K16" s="615"/>
      <c r="L16" s="1142"/>
      <c r="M16" s="1133"/>
      <c r="N16" s="1133"/>
      <c r="O16" s="1133"/>
      <c r="P16" s="3236"/>
      <c r="Q16" s="1810"/>
      <c r="R16" s="773"/>
      <c r="S16" s="774"/>
      <c r="T16" s="773"/>
      <c r="U16" s="774"/>
      <c r="V16" s="773"/>
      <c r="W16" s="774"/>
      <c r="X16" s="1813"/>
      <c r="Y16" s="3229"/>
      <c r="Z16" s="1814"/>
      <c r="AA16" s="1811">
        <v>1</v>
      </c>
      <c r="AB16" s="1811">
        <v>1</v>
      </c>
      <c r="AC16" s="2676">
        <v>1</v>
      </c>
    </row>
    <row r="17" spans="1:29" ht="71.25">
      <c r="A17" s="428"/>
      <c r="B17" s="630" t="s">
        <v>2101</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36"/>
      <c r="Q17" s="1810" t="str">
        <f>B17</f>
        <v>交通便捷度</v>
      </c>
      <c r="R17" s="773" t="s">
        <v>17</v>
      </c>
      <c r="S17" s="774">
        <f>F17</f>
        <v>100</v>
      </c>
      <c r="T17" s="773" t="s">
        <v>17</v>
      </c>
      <c r="U17" s="774">
        <f>H17</f>
        <v>100</v>
      </c>
      <c r="V17" s="773" t="s">
        <v>17</v>
      </c>
      <c r="W17" s="774">
        <f>J17</f>
        <v>100</v>
      </c>
      <c r="X17" s="1813"/>
      <c r="Y17" s="3229"/>
      <c r="Z17" s="1814" t="str">
        <f>Q17</f>
        <v>交通便捷度</v>
      </c>
      <c r="AA17" s="1811">
        <f t="shared" si="3"/>
        <v>1</v>
      </c>
      <c r="AB17" s="1811">
        <f t="shared" si="4"/>
        <v>1</v>
      </c>
      <c r="AC17" s="2676">
        <f t="shared" si="5"/>
        <v>1</v>
      </c>
    </row>
    <row r="18" spans="1:29" ht="15">
      <c r="A18" s="428"/>
      <c r="B18" s="631"/>
      <c r="C18" s="2678"/>
      <c r="D18" s="450"/>
      <c r="E18" s="2611"/>
      <c r="F18" s="450"/>
      <c r="G18" s="2612"/>
      <c r="H18" s="448"/>
      <c r="I18" s="2612"/>
      <c r="J18" s="448"/>
      <c r="K18" s="615"/>
      <c r="L18" s="1142"/>
      <c r="M18" s="1133"/>
      <c r="N18" s="1133"/>
      <c r="O18" s="1133"/>
      <c r="P18" s="3236"/>
      <c r="Q18" s="1810"/>
      <c r="R18" s="773"/>
      <c r="S18" s="774"/>
      <c r="T18" s="773"/>
      <c r="U18" s="774"/>
      <c r="V18" s="773"/>
      <c r="W18" s="774"/>
      <c r="X18" s="1813"/>
      <c r="Y18" s="3229"/>
      <c r="Z18" s="1814"/>
      <c r="AA18" s="1811">
        <v>1</v>
      </c>
      <c r="AB18" s="1811">
        <v>1</v>
      </c>
      <c r="AC18" s="2676">
        <v>1</v>
      </c>
    </row>
    <row r="19" spans="1:29" ht="42.75">
      <c r="A19" s="428"/>
      <c r="B19" s="630" t="s">
        <v>2693</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36"/>
      <c r="Q19" s="1810" t="str">
        <f>B19</f>
        <v>公共配套设施</v>
      </c>
      <c r="R19" s="773" t="s">
        <v>17</v>
      </c>
      <c r="S19" s="774">
        <f>F19</f>
        <v>100</v>
      </c>
      <c r="T19" s="773" t="s">
        <v>17</v>
      </c>
      <c r="U19" s="774">
        <f>H19</f>
        <v>100</v>
      </c>
      <c r="V19" s="773" t="s">
        <v>17</v>
      </c>
      <c r="W19" s="774">
        <f>J19</f>
        <v>100</v>
      </c>
      <c r="X19" s="1813"/>
      <c r="Y19" s="3229"/>
      <c r="Z19" s="1814" t="str">
        <f>Q19</f>
        <v>公共配套设施</v>
      </c>
      <c r="AA19" s="1811">
        <f t="shared" si="3"/>
        <v>1</v>
      </c>
      <c r="AB19" s="1811">
        <f t="shared" si="4"/>
        <v>1</v>
      </c>
      <c r="AC19" s="2676">
        <f t="shared" si="5"/>
        <v>1</v>
      </c>
    </row>
    <row r="20" spans="1:29" ht="15">
      <c r="A20" s="428"/>
      <c r="B20" s="631"/>
      <c r="C20" s="2613"/>
      <c r="D20" s="448"/>
      <c r="E20" s="2606"/>
      <c r="F20" s="448"/>
      <c r="G20" s="2607"/>
      <c r="H20" s="448"/>
      <c r="I20" s="2607"/>
      <c r="J20" s="448"/>
      <c r="K20" s="615"/>
      <c r="L20" s="1142"/>
      <c r="M20" s="1133"/>
      <c r="N20" s="1133"/>
      <c r="O20" s="1133"/>
      <c r="P20" s="3236"/>
      <c r="Q20" s="1810"/>
      <c r="R20" s="773"/>
      <c r="S20" s="774"/>
      <c r="T20" s="773"/>
      <c r="U20" s="774"/>
      <c r="V20" s="773"/>
      <c r="W20" s="774"/>
      <c r="X20" s="1813"/>
      <c r="Y20" s="3229"/>
      <c r="Z20" s="1814"/>
      <c r="AA20" s="1811">
        <v>1</v>
      </c>
      <c r="AB20" s="1811">
        <v>1</v>
      </c>
      <c r="AC20" s="2676">
        <v>1</v>
      </c>
    </row>
    <row r="21" spans="1:29" ht="28.5">
      <c r="A21" s="428"/>
      <c r="B21" s="632" t="s">
        <v>2694</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36"/>
      <c r="Q21" s="1810" t="str">
        <f>B21</f>
        <v>基础设施水平</v>
      </c>
      <c r="R21" s="773" t="s">
        <v>17</v>
      </c>
      <c r="S21" s="774">
        <f>F21</f>
        <v>100</v>
      </c>
      <c r="T21" s="773" t="s">
        <v>17</v>
      </c>
      <c r="U21" s="774">
        <f>H21</f>
        <v>100</v>
      </c>
      <c r="V21" s="773" t="s">
        <v>17</v>
      </c>
      <c r="W21" s="774">
        <f>J21</f>
        <v>100</v>
      </c>
      <c r="X21" s="1813"/>
      <c r="Y21" s="3229"/>
      <c r="Z21" s="1814" t="str">
        <f>Q21</f>
        <v>基础设施水平</v>
      </c>
      <c r="AA21" s="1811">
        <f t="shared" ref="AA21" si="8">D21/F21</f>
        <v>1</v>
      </c>
      <c r="AB21" s="1811">
        <f t="shared" ref="AB21" si="9">D21/H21</f>
        <v>1</v>
      </c>
      <c r="AC21" s="2676">
        <f t="shared" ref="AC21" si="10">D21/J21</f>
        <v>1</v>
      </c>
    </row>
    <row r="22" spans="1:29" ht="15">
      <c r="A22" s="428"/>
      <c r="B22" s="632"/>
      <c r="C22" s="2678"/>
      <c r="D22" s="448"/>
      <c r="E22" s="447"/>
      <c r="F22" s="448"/>
      <c r="G22" s="2613"/>
      <c r="H22" s="448"/>
      <c r="I22" s="2613"/>
      <c r="J22" s="448"/>
      <c r="K22" s="1385"/>
      <c r="L22" s="1142"/>
      <c r="M22" s="1133"/>
      <c r="N22" s="1133"/>
      <c r="O22" s="1133"/>
      <c r="P22" s="3236"/>
      <c r="Q22" s="1810"/>
      <c r="R22" s="773"/>
      <c r="S22" s="774"/>
      <c r="T22" s="773"/>
      <c r="U22" s="774"/>
      <c r="V22" s="773"/>
      <c r="W22" s="774"/>
      <c r="X22" s="1813"/>
      <c r="Y22" s="3229"/>
      <c r="Z22" s="1814"/>
      <c r="AA22" s="1811">
        <v>1</v>
      </c>
      <c r="AB22" s="1811">
        <v>1</v>
      </c>
      <c r="AC22" s="2676">
        <v>1</v>
      </c>
    </row>
    <row r="23" spans="1:29" ht="42.75">
      <c r="A23" s="428"/>
      <c r="B23" s="630" t="s">
        <v>2695</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36"/>
      <c r="Q23" s="1810" t="str">
        <f>B23</f>
        <v>环境质量</v>
      </c>
      <c r="R23" s="773" t="s">
        <v>17</v>
      </c>
      <c r="S23" s="774">
        <f>F23</f>
        <v>100</v>
      </c>
      <c r="T23" s="773" t="s">
        <v>17</v>
      </c>
      <c r="U23" s="774">
        <f>H23</f>
        <v>100</v>
      </c>
      <c r="V23" s="773" t="s">
        <v>17</v>
      </c>
      <c r="W23" s="774">
        <f>J23</f>
        <v>100</v>
      </c>
      <c r="X23" s="1813"/>
      <c r="Y23" s="3229"/>
      <c r="Z23" s="1814" t="str">
        <f>Q23</f>
        <v>环境质量</v>
      </c>
      <c r="AA23" s="1811">
        <f t="shared" si="3"/>
        <v>1</v>
      </c>
      <c r="AB23" s="1811">
        <f t="shared" si="4"/>
        <v>1</v>
      </c>
      <c r="AC23" s="2676">
        <f t="shared" si="5"/>
        <v>1</v>
      </c>
    </row>
    <row r="24" spans="1:29" ht="15">
      <c r="A24" s="428"/>
      <c r="B24" s="632"/>
      <c r="C24" s="2613"/>
      <c r="D24" s="448"/>
      <c r="E24" s="2606"/>
      <c r="F24" s="448"/>
      <c r="G24" s="2607"/>
      <c r="H24" s="448"/>
      <c r="I24" s="2607"/>
      <c r="J24" s="448"/>
      <c r="K24" s="615"/>
      <c r="L24" s="1142"/>
      <c r="M24" s="1133"/>
      <c r="N24" s="1133"/>
      <c r="O24" s="1133"/>
      <c r="P24" s="3236"/>
      <c r="Q24" s="1810"/>
      <c r="R24" s="773"/>
      <c r="S24" s="774"/>
      <c r="T24" s="773"/>
      <c r="U24" s="774"/>
      <c r="V24" s="773"/>
      <c r="W24" s="774"/>
      <c r="X24" s="1813"/>
      <c r="Y24" s="3229"/>
      <c r="Z24" s="1814"/>
      <c r="AA24" s="1811">
        <v>1</v>
      </c>
      <c r="AB24" s="1811">
        <v>1</v>
      </c>
      <c r="AC24" s="2676">
        <v>1</v>
      </c>
    </row>
    <row r="25" spans="1:29" ht="27">
      <c r="A25" s="404"/>
      <c r="B25" s="630" t="s">
        <v>2696</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236"/>
      <c r="Q25" s="1810" t="str">
        <f>B25</f>
        <v>毗邻道路的类型与等级</v>
      </c>
      <c r="R25" s="773" t="s">
        <v>17</v>
      </c>
      <c r="S25" s="774">
        <f>F25</f>
        <v>100</v>
      </c>
      <c r="T25" s="773" t="s">
        <v>17</v>
      </c>
      <c r="U25" s="774">
        <f>H25</f>
        <v>100</v>
      </c>
      <c r="V25" s="773" t="s">
        <v>17</v>
      </c>
      <c r="W25" s="774">
        <f>J25</f>
        <v>100</v>
      </c>
      <c r="X25" s="1813"/>
      <c r="Y25" s="3229"/>
      <c r="Z25" s="1814" t="str">
        <f>Q25</f>
        <v>毗邻道路的类型与等级</v>
      </c>
      <c r="AA25" s="1811">
        <f t="shared" si="3"/>
        <v>1</v>
      </c>
      <c r="AB25" s="1811">
        <f t="shared" si="4"/>
        <v>1</v>
      </c>
      <c r="AC25" s="2676">
        <f t="shared" si="5"/>
        <v>1</v>
      </c>
    </row>
    <row r="26" spans="1:29" ht="15">
      <c r="A26" s="404"/>
      <c r="B26" s="631"/>
      <c r="C26" s="633"/>
      <c r="D26" s="435"/>
      <c r="E26" s="616"/>
      <c r="F26" s="435"/>
      <c r="G26" s="633"/>
      <c r="H26" s="435"/>
      <c r="I26" s="616"/>
      <c r="J26" s="435"/>
      <c r="K26" s="615"/>
      <c r="L26" s="1142"/>
      <c r="M26" s="1133"/>
      <c r="N26" s="1133"/>
      <c r="O26" s="1133"/>
      <c r="P26" s="3236"/>
      <c r="Q26" s="1810"/>
      <c r="R26" s="773"/>
      <c r="S26" s="774"/>
      <c r="T26" s="773"/>
      <c r="U26" s="774"/>
      <c r="V26" s="773"/>
      <c r="W26" s="774"/>
      <c r="X26" s="1813"/>
      <c r="Y26" s="3229"/>
      <c r="Z26" s="1814"/>
      <c r="AA26" s="1811">
        <v>1</v>
      </c>
      <c r="AB26" s="1811">
        <v>1</v>
      </c>
      <c r="AC26" s="2676">
        <v>1</v>
      </c>
    </row>
    <row r="27" spans="1:29" ht="15">
      <c r="A27" s="428"/>
      <c r="B27" s="631" t="s">
        <v>2664</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236"/>
      <c r="Q27" s="1810" t="str">
        <f t="shared" ref="Q27:Q47" si="11">B27</f>
        <v>楼层</v>
      </c>
      <c r="R27" s="773" t="s">
        <v>17</v>
      </c>
      <c r="S27" s="774">
        <f>F27</f>
        <v>100</v>
      </c>
      <c r="T27" s="773" t="s">
        <v>17</v>
      </c>
      <c r="U27" s="774">
        <f>H27</f>
        <v>100</v>
      </c>
      <c r="V27" s="773" t="s">
        <v>17</v>
      </c>
      <c r="W27" s="774">
        <f>J27</f>
        <v>100</v>
      </c>
      <c r="X27" s="1813"/>
      <c r="Y27" s="3229"/>
      <c r="Z27" s="1814" t="str">
        <f>Q27</f>
        <v>楼层</v>
      </c>
      <c r="AA27" s="1811">
        <f t="shared" si="3"/>
        <v>1</v>
      </c>
      <c r="AB27" s="1811">
        <f t="shared" si="4"/>
        <v>1</v>
      </c>
      <c r="AC27" s="2676">
        <f t="shared" si="5"/>
        <v>1</v>
      </c>
    </row>
    <row r="28" spans="1:29" s="117" customFormat="1" ht="15">
      <c r="A28" s="431"/>
      <c r="B28" s="630" t="s">
        <v>2697</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236"/>
      <c r="Q28" s="1795" t="str">
        <f t="shared" si="11"/>
        <v>朝向</v>
      </c>
      <c r="R28" s="769" t="s">
        <v>17</v>
      </c>
      <c r="S28" s="770">
        <f>F28</f>
        <v>100</v>
      </c>
      <c r="T28" s="769" t="s">
        <v>17</v>
      </c>
      <c r="U28" s="770">
        <f>H28</f>
        <v>100</v>
      </c>
      <c r="V28" s="769" t="s">
        <v>17</v>
      </c>
      <c r="W28" s="770">
        <f>J28</f>
        <v>100</v>
      </c>
      <c r="X28" s="771"/>
      <c r="Y28" s="3229"/>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236"/>
      <c r="Q29" s="1810">
        <f t="shared" si="11"/>
        <v>111</v>
      </c>
      <c r="R29" s="773" t="s">
        <v>17</v>
      </c>
      <c r="S29" s="774">
        <f t="shared" ref="S29:S47" si="12">F29</f>
        <v>100</v>
      </c>
      <c r="T29" s="773" t="s">
        <v>17</v>
      </c>
      <c r="U29" s="774">
        <f t="shared" ref="U29:U47" si="13">H29</f>
        <v>100</v>
      </c>
      <c r="V29" s="773" t="s">
        <v>17</v>
      </c>
      <c r="W29" s="774">
        <f t="shared" ref="W29:W47" si="14">J29</f>
        <v>100</v>
      </c>
      <c r="X29" s="1813"/>
      <c r="Y29" s="3229"/>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236"/>
      <c r="Q30" s="1810">
        <f t="shared" si="11"/>
        <v>111</v>
      </c>
      <c r="R30" s="773" t="s">
        <v>17</v>
      </c>
      <c r="S30" s="774">
        <f t="shared" si="12"/>
        <v>100</v>
      </c>
      <c r="T30" s="773" t="s">
        <v>17</v>
      </c>
      <c r="U30" s="774">
        <f t="shared" si="13"/>
        <v>100</v>
      </c>
      <c r="V30" s="773" t="s">
        <v>17</v>
      </c>
      <c r="W30" s="774">
        <f t="shared" si="14"/>
        <v>100</v>
      </c>
      <c r="X30" s="1813"/>
      <c r="Y30" s="3229"/>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236"/>
      <c r="Q31" s="1810">
        <f t="shared" si="11"/>
        <v>111</v>
      </c>
      <c r="R31" s="773" t="s">
        <v>17</v>
      </c>
      <c r="S31" s="774">
        <f t="shared" si="12"/>
        <v>100</v>
      </c>
      <c r="T31" s="773" t="s">
        <v>17</v>
      </c>
      <c r="U31" s="774">
        <f t="shared" si="13"/>
        <v>100</v>
      </c>
      <c r="V31" s="773" t="s">
        <v>17</v>
      </c>
      <c r="W31" s="774">
        <f t="shared" si="14"/>
        <v>100</v>
      </c>
      <c r="X31" s="1813"/>
      <c r="Y31" s="3229"/>
      <c r="Z31" s="1814">
        <f t="shared" si="15"/>
        <v>111</v>
      </c>
      <c r="AA31" s="1811">
        <f t="shared" si="3"/>
        <v>1</v>
      </c>
      <c r="AB31" s="1811">
        <f t="shared" si="4"/>
        <v>1</v>
      </c>
      <c r="AC31" s="2676">
        <f t="shared" si="5"/>
        <v>1</v>
      </c>
    </row>
    <row r="32" spans="1:29" ht="15.75" thickBot="1">
      <c r="A32" s="436"/>
      <c r="B32" s="634">
        <v>111</v>
      </c>
      <c r="C32" s="2618"/>
      <c r="D32" s="438">
        <v>100</v>
      </c>
      <c r="E32" s="627"/>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236"/>
      <c r="Q32" s="1810">
        <f t="shared" si="11"/>
        <v>111</v>
      </c>
      <c r="R32" s="773" t="s">
        <v>17</v>
      </c>
      <c r="S32" s="774">
        <f t="shared" si="12"/>
        <v>100</v>
      </c>
      <c r="T32" s="773" t="s">
        <v>17</v>
      </c>
      <c r="U32" s="774">
        <f t="shared" si="13"/>
        <v>100</v>
      </c>
      <c r="V32" s="773" t="s">
        <v>17</v>
      </c>
      <c r="W32" s="774">
        <f t="shared" si="14"/>
        <v>100</v>
      </c>
      <c r="X32" s="1813"/>
      <c r="Y32" s="3229"/>
      <c r="Z32" s="1814">
        <f t="shared" si="15"/>
        <v>111</v>
      </c>
      <c r="AA32" s="1811">
        <f t="shared" si="3"/>
        <v>1</v>
      </c>
      <c r="AB32" s="1811">
        <f t="shared" si="4"/>
        <v>1</v>
      </c>
      <c r="AC32" s="2676">
        <f t="shared" si="5"/>
        <v>1</v>
      </c>
    </row>
    <row r="33" spans="1:29" ht="15">
      <c r="A33" s="440" t="s">
        <v>2568</v>
      </c>
      <c r="B33" s="71" t="s">
        <v>2698</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230" t="s">
        <v>2570</v>
      </c>
      <c r="Q33" s="1810" t="str">
        <f t="shared" si="11"/>
        <v>建筑类型</v>
      </c>
      <c r="R33" s="773" t="s">
        <v>17</v>
      </c>
      <c r="S33" s="774">
        <f t="shared" si="12"/>
        <v>100</v>
      </c>
      <c r="T33" s="773" t="s">
        <v>17</v>
      </c>
      <c r="U33" s="774">
        <f t="shared" si="13"/>
        <v>100</v>
      </c>
      <c r="V33" s="773" t="s">
        <v>17</v>
      </c>
      <c r="W33" s="774">
        <f t="shared" si="14"/>
        <v>100</v>
      </c>
      <c r="X33" s="1813"/>
      <c r="Y33" s="3233" t="s">
        <v>2570</v>
      </c>
      <c r="Z33" s="1814" t="str">
        <f t="shared" si="15"/>
        <v>建筑类型</v>
      </c>
      <c r="AA33" s="1811">
        <f t="shared" si="3"/>
        <v>1</v>
      </c>
      <c r="AB33" s="1811">
        <f t="shared" si="4"/>
        <v>1</v>
      </c>
      <c r="AC33" s="2676">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31"/>
      <c r="Q34" s="775" t="str">
        <f t="shared" si="11"/>
        <v>项目建筑规模</v>
      </c>
      <c r="R34" s="776" t="s">
        <v>17</v>
      </c>
      <c r="S34" s="777" t="e">
        <f t="shared" si="12"/>
        <v>#N/A</v>
      </c>
      <c r="T34" s="776" t="s">
        <v>17</v>
      </c>
      <c r="U34" s="777" t="e">
        <f t="shared" si="13"/>
        <v>#N/A</v>
      </c>
      <c r="V34" s="776" t="s">
        <v>17</v>
      </c>
      <c r="W34" s="777" t="e">
        <f t="shared" si="14"/>
        <v>#N/A</v>
      </c>
      <c r="X34" s="778"/>
      <c r="Y34" s="3233"/>
      <c r="Z34" s="779" t="str">
        <f t="shared" si="15"/>
        <v>项目建筑规模</v>
      </c>
      <c r="AA34" s="1811" t="e">
        <f t="shared" si="3"/>
        <v>#N/A</v>
      </c>
      <c r="AB34" s="1811" t="e">
        <f t="shared" si="4"/>
        <v>#N/A</v>
      </c>
      <c r="AC34" s="2676"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31"/>
      <c r="Q35" s="1810" t="str">
        <f t="shared" si="11"/>
        <v>建筑结构</v>
      </c>
      <c r="R35" s="773" t="s">
        <v>17</v>
      </c>
      <c r="S35" s="774">
        <f t="shared" si="12"/>
        <v>100</v>
      </c>
      <c r="T35" s="773" t="s">
        <v>17</v>
      </c>
      <c r="U35" s="774">
        <f t="shared" si="13"/>
        <v>100</v>
      </c>
      <c r="V35" s="773" t="s">
        <v>17</v>
      </c>
      <c r="W35" s="774">
        <f t="shared" si="14"/>
        <v>100</v>
      </c>
      <c r="X35" s="1813"/>
      <c r="Y35" s="3233"/>
      <c r="Z35" s="1814" t="str">
        <f t="shared" si="15"/>
        <v>建筑结构</v>
      </c>
      <c r="AA35" s="1811">
        <f t="shared" si="3"/>
        <v>1</v>
      </c>
      <c r="AB35" s="1811">
        <f t="shared" si="4"/>
        <v>1</v>
      </c>
      <c r="AC35" s="2676">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31"/>
      <c r="Q36" s="1810" t="str">
        <f t="shared" si="11"/>
        <v>公共部分装修</v>
      </c>
      <c r="R36" s="773" t="s">
        <v>17</v>
      </c>
      <c r="S36" s="774">
        <f t="shared" si="12"/>
        <v>100</v>
      </c>
      <c r="T36" s="773" t="s">
        <v>17</v>
      </c>
      <c r="U36" s="774">
        <f t="shared" si="13"/>
        <v>100</v>
      </c>
      <c r="V36" s="773" t="s">
        <v>17</v>
      </c>
      <c r="W36" s="774">
        <f t="shared" si="14"/>
        <v>100</v>
      </c>
      <c r="X36" s="1813"/>
      <c r="Y36" s="3233"/>
      <c r="Z36" s="1814" t="str">
        <f t="shared" si="15"/>
        <v>公共部分装修</v>
      </c>
      <c r="AA36" s="1811">
        <f t="shared" si="3"/>
        <v>1</v>
      </c>
      <c r="AB36" s="1811">
        <f t="shared" si="4"/>
        <v>1</v>
      </c>
      <c r="AC36" s="2676">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31"/>
      <c r="Q37" s="1810" t="str">
        <f t="shared" si="11"/>
        <v>成新度</v>
      </c>
      <c r="R37" s="773" t="s">
        <v>17</v>
      </c>
      <c r="S37" s="774" t="e">
        <f t="shared" si="12"/>
        <v>#N/A</v>
      </c>
      <c r="T37" s="773" t="s">
        <v>17</v>
      </c>
      <c r="U37" s="774" t="e">
        <f t="shared" si="13"/>
        <v>#N/A</v>
      </c>
      <c r="V37" s="773" t="s">
        <v>17</v>
      </c>
      <c r="W37" s="774" t="e">
        <f t="shared" si="14"/>
        <v>#N/A</v>
      </c>
      <c r="X37" s="1813"/>
      <c r="Y37" s="3233"/>
      <c r="Z37" s="1814" t="str">
        <f t="shared" si="15"/>
        <v>成新度</v>
      </c>
      <c r="AA37" s="1811" t="e">
        <f t="shared" si="3"/>
        <v>#N/A</v>
      </c>
      <c r="AB37" s="1811" t="e">
        <f t="shared" si="4"/>
        <v>#N/A</v>
      </c>
      <c r="AC37" s="2676"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31"/>
      <c r="Q38" s="1795" t="str">
        <f t="shared" si="11"/>
        <v>写字楼等级</v>
      </c>
      <c r="R38" s="769" t="s">
        <v>17</v>
      </c>
      <c r="S38" s="770">
        <f t="shared" si="12"/>
        <v>100</v>
      </c>
      <c r="T38" s="769" t="s">
        <v>17</v>
      </c>
      <c r="U38" s="770">
        <f t="shared" si="13"/>
        <v>100</v>
      </c>
      <c r="V38" s="769" t="s">
        <v>17</v>
      </c>
      <c r="W38" s="770">
        <f t="shared" si="14"/>
        <v>100</v>
      </c>
      <c r="X38" s="771"/>
      <c r="Y38" s="3233"/>
      <c r="Z38" s="55" t="str">
        <f t="shared" si="15"/>
        <v>写字楼等级</v>
      </c>
      <c r="AA38" s="772">
        <f t="shared" si="3"/>
        <v>1</v>
      </c>
      <c r="AB38" s="772">
        <f t="shared" si="4"/>
        <v>1</v>
      </c>
      <c r="AC38" s="2673">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31" t="s">
        <v>2570</v>
      </c>
      <c r="Q39" s="1810" t="str">
        <f t="shared" si="11"/>
        <v>物业管理</v>
      </c>
      <c r="R39" s="773" t="s">
        <v>17</v>
      </c>
      <c r="S39" s="774">
        <f t="shared" si="12"/>
        <v>100</v>
      </c>
      <c r="T39" s="773" t="s">
        <v>17</v>
      </c>
      <c r="U39" s="774">
        <f t="shared" si="13"/>
        <v>100</v>
      </c>
      <c r="V39" s="773" t="s">
        <v>17</v>
      </c>
      <c r="W39" s="774">
        <f t="shared" si="14"/>
        <v>100</v>
      </c>
      <c r="X39" s="1813"/>
      <c r="Y39" s="3233" t="s">
        <v>2570</v>
      </c>
      <c r="Z39" s="1814" t="str">
        <f t="shared" si="15"/>
        <v>物业管理</v>
      </c>
      <c r="AA39" s="1811">
        <f t="shared" si="3"/>
        <v>1</v>
      </c>
      <c r="AB39" s="1811">
        <f t="shared" si="4"/>
        <v>1</v>
      </c>
      <c r="AC39" s="2676">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31"/>
      <c r="Q40" s="1810" t="str">
        <f t="shared" si="11"/>
        <v>市政基础设施</v>
      </c>
      <c r="R40" s="773" t="s">
        <v>17</v>
      </c>
      <c r="S40" s="774">
        <f t="shared" si="12"/>
        <v>100</v>
      </c>
      <c r="T40" s="773" t="s">
        <v>17</v>
      </c>
      <c r="U40" s="774">
        <f t="shared" si="13"/>
        <v>100</v>
      </c>
      <c r="V40" s="773" t="s">
        <v>17</v>
      </c>
      <c r="W40" s="774">
        <f t="shared" si="14"/>
        <v>100</v>
      </c>
      <c r="X40" s="1813"/>
      <c r="Y40" s="3233"/>
      <c r="Z40" s="1814" t="str">
        <f t="shared" si="15"/>
        <v>市政基础设施</v>
      </c>
      <c r="AA40" s="1811">
        <f t="shared" si="3"/>
        <v>1</v>
      </c>
      <c r="AB40" s="1811">
        <f t="shared" si="4"/>
        <v>1</v>
      </c>
      <c r="AC40" s="2676">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31"/>
      <c r="Q41" s="1810" t="str">
        <f t="shared" si="11"/>
        <v>层高</v>
      </c>
      <c r="R41" s="773" t="s">
        <v>17</v>
      </c>
      <c r="S41" s="774">
        <f t="shared" si="12"/>
        <v>100</v>
      </c>
      <c r="T41" s="773" t="s">
        <v>17</v>
      </c>
      <c r="U41" s="774">
        <f t="shared" si="13"/>
        <v>100</v>
      </c>
      <c r="V41" s="773" t="s">
        <v>17</v>
      </c>
      <c r="W41" s="774">
        <f t="shared" si="14"/>
        <v>100</v>
      </c>
      <c r="X41" s="1813"/>
      <c r="Y41" s="3233"/>
      <c r="Z41" s="1814" t="str">
        <f t="shared" si="15"/>
        <v>层高</v>
      </c>
      <c r="AA41" s="1811">
        <f t="shared" si="3"/>
        <v>1</v>
      </c>
      <c r="AB41" s="1811">
        <f t="shared" si="4"/>
        <v>1</v>
      </c>
      <c r="AC41" s="2676">
        <f t="shared" si="5"/>
        <v>1</v>
      </c>
    </row>
    <row r="42" spans="1:29" s="471" customFormat="1" ht="15">
      <c r="A42" s="468"/>
      <c r="B42" s="1812"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31"/>
      <c r="Q42" s="775" t="str">
        <f t="shared" si="11"/>
        <v>单套建筑面积</v>
      </c>
      <c r="R42" s="776" t="s">
        <v>17</v>
      </c>
      <c r="S42" s="777">
        <f t="shared" si="12"/>
        <v>100</v>
      </c>
      <c r="T42" s="776" t="s">
        <v>17</v>
      </c>
      <c r="U42" s="777">
        <f t="shared" si="13"/>
        <v>100</v>
      </c>
      <c r="V42" s="776" t="s">
        <v>17</v>
      </c>
      <c r="W42" s="777">
        <f t="shared" si="14"/>
        <v>100</v>
      </c>
      <c r="X42" s="778"/>
      <c r="Y42" s="3233"/>
      <c r="Z42" s="779" t="str">
        <f t="shared" si="15"/>
        <v>单套建筑面积</v>
      </c>
      <c r="AA42" s="1811">
        <f t="shared" si="3"/>
        <v>1</v>
      </c>
      <c r="AB42" s="1811">
        <f t="shared" si="4"/>
        <v>1</v>
      </c>
      <c r="AC42" s="2676">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31"/>
      <c r="Q43" s="1810" t="str">
        <f t="shared" si="11"/>
        <v>内部装修</v>
      </c>
      <c r="R43" s="773" t="s">
        <v>17</v>
      </c>
      <c r="S43" s="774">
        <f t="shared" si="12"/>
        <v>100</v>
      </c>
      <c r="T43" s="773" t="s">
        <v>17</v>
      </c>
      <c r="U43" s="774">
        <f t="shared" si="13"/>
        <v>100</v>
      </c>
      <c r="V43" s="773" t="s">
        <v>17</v>
      </c>
      <c r="W43" s="774">
        <f t="shared" si="14"/>
        <v>100</v>
      </c>
      <c r="X43" s="1813"/>
      <c r="Y43" s="3233"/>
      <c r="Z43" s="1814" t="str">
        <f t="shared" si="15"/>
        <v>内部装修</v>
      </c>
      <c r="AA43" s="1811">
        <f t="shared" si="3"/>
        <v>1</v>
      </c>
      <c r="AB43" s="1811">
        <f t="shared" si="4"/>
        <v>1</v>
      </c>
      <c r="AC43" s="2676">
        <f t="shared" si="5"/>
        <v>1</v>
      </c>
    </row>
    <row r="44" spans="1:29" ht="15">
      <c r="A44" s="472"/>
      <c r="B44" s="422" t="s">
        <v>2581</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231"/>
      <c r="Q44" s="1810" t="str">
        <f t="shared" si="11"/>
        <v>内部装修维护情况</v>
      </c>
      <c r="R44" s="773" t="s">
        <v>17</v>
      </c>
      <c r="S44" s="774">
        <f t="shared" si="12"/>
        <v>100</v>
      </c>
      <c r="T44" s="773" t="s">
        <v>17</v>
      </c>
      <c r="U44" s="774">
        <f t="shared" si="13"/>
        <v>100</v>
      </c>
      <c r="V44" s="773" t="s">
        <v>17</v>
      </c>
      <c r="W44" s="774">
        <f t="shared" si="14"/>
        <v>100</v>
      </c>
      <c r="X44" s="1813"/>
      <c r="Y44" s="3233"/>
      <c r="Z44" s="1814" t="str">
        <f t="shared" si="15"/>
        <v>内部装修维护情况</v>
      </c>
      <c r="AA44" s="1811">
        <f t="shared" si="3"/>
        <v>1</v>
      </c>
      <c r="AB44" s="1811">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31"/>
      <c r="Q45" s="1795">
        <f t="shared" si="11"/>
        <v>111</v>
      </c>
      <c r="R45" s="769" t="s">
        <v>17</v>
      </c>
      <c r="S45" s="770">
        <f t="shared" si="12"/>
        <v>100</v>
      </c>
      <c r="T45" s="769" t="s">
        <v>17</v>
      </c>
      <c r="U45" s="770">
        <f t="shared" si="13"/>
        <v>100</v>
      </c>
      <c r="V45" s="769" t="s">
        <v>17</v>
      </c>
      <c r="W45" s="770">
        <f t="shared" si="14"/>
        <v>100</v>
      </c>
      <c r="X45" s="771"/>
      <c r="Y45" s="3233"/>
      <c r="Z45" s="55">
        <f t="shared" si="15"/>
        <v>111</v>
      </c>
      <c r="AA45" s="772">
        <f t="shared" si="3"/>
        <v>1</v>
      </c>
      <c r="AB45" s="772">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31"/>
      <c r="Q46" s="1810">
        <f t="shared" si="11"/>
        <v>111</v>
      </c>
      <c r="R46" s="773" t="s">
        <v>17</v>
      </c>
      <c r="S46" s="774">
        <f t="shared" si="12"/>
        <v>100</v>
      </c>
      <c r="T46" s="773" t="s">
        <v>17</v>
      </c>
      <c r="U46" s="774">
        <f t="shared" si="13"/>
        <v>100</v>
      </c>
      <c r="V46" s="773" t="s">
        <v>17</v>
      </c>
      <c r="W46" s="774">
        <f t="shared" si="14"/>
        <v>100</v>
      </c>
      <c r="X46" s="1813"/>
      <c r="Y46" s="3233"/>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32"/>
      <c r="Q47" s="1810">
        <f t="shared" si="11"/>
        <v>111</v>
      </c>
      <c r="R47" s="773" t="s">
        <v>17</v>
      </c>
      <c r="S47" s="774">
        <f t="shared" si="12"/>
        <v>100</v>
      </c>
      <c r="T47" s="773" t="s">
        <v>17</v>
      </c>
      <c r="U47" s="774">
        <f t="shared" si="13"/>
        <v>100</v>
      </c>
      <c r="V47" s="773" t="s">
        <v>17</v>
      </c>
      <c r="W47" s="774">
        <f t="shared" si="14"/>
        <v>100</v>
      </c>
      <c r="X47" s="1813"/>
      <c r="Y47" s="3234"/>
      <c r="Z47" s="1814">
        <f t="shared" si="15"/>
        <v>111</v>
      </c>
      <c r="AA47" s="1811">
        <f t="shared" si="3"/>
        <v>1</v>
      </c>
      <c r="AB47" s="1811">
        <f t="shared" si="4"/>
        <v>1</v>
      </c>
      <c r="AC47" s="2676">
        <f t="shared" si="5"/>
        <v>1</v>
      </c>
    </row>
    <row r="48" spans="1:29" ht="15">
      <c r="A48" s="479" t="s">
        <v>2582</v>
      </c>
      <c r="B48" s="480"/>
      <c r="C48" s="1409" t="s">
        <v>1</v>
      </c>
      <c r="D48" s="1410"/>
      <c r="E48" s="1411"/>
      <c r="F48" s="1412"/>
      <c r="G48" s="1413"/>
      <c r="H48" s="1414"/>
      <c r="I48" s="1411"/>
      <c r="J48" s="485"/>
      <c r="K48" s="782"/>
      <c r="L48" s="1145"/>
      <c r="M48" s="1133"/>
      <c r="N48" s="1133"/>
      <c r="O48" s="1133"/>
      <c r="P48" s="3208" t="str">
        <f>A48</f>
        <v>成交单价（元/平方米）</v>
      </c>
      <c r="Q48" s="3226"/>
      <c r="R48" s="3227">
        <f>E48</f>
        <v>0</v>
      </c>
      <c r="S48" s="3227"/>
      <c r="T48" s="3227">
        <f>G48</f>
        <v>0</v>
      </c>
      <c r="U48" s="3227"/>
      <c r="V48" s="3227">
        <f>I48</f>
        <v>0</v>
      </c>
      <c r="W48" s="3227"/>
      <c r="X48" s="446"/>
      <c r="Y48" s="780"/>
      <c r="Z48" s="446"/>
      <c r="AA48" s="446"/>
      <c r="AB48" s="446"/>
      <c r="AC48" s="629"/>
    </row>
    <row r="49" spans="1:29" ht="15.75" thickBot="1">
      <c r="A49" s="486" t="s">
        <v>2674</v>
      </c>
      <c r="B49" s="487"/>
      <c r="C49" s="1415" t="e">
        <f>R50</f>
        <v>#DIV/0!</v>
      </c>
      <c r="D49" s="1416"/>
      <c r="E49" s="1417" t="e">
        <f>R49</f>
        <v>#DIV/0!</v>
      </c>
      <c r="F49" s="1417"/>
      <c r="G49" s="1415" t="e">
        <f>T49</f>
        <v>#DIV/0!</v>
      </c>
      <c r="H49" s="1416"/>
      <c r="I49" s="1417" t="e">
        <f>V49</f>
        <v>#DIV/0!</v>
      </c>
      <c r="J49" s="489"/>
      <c r="K49" s="783"/>
      <c r="L49" s="1145"/>
      <c r="M49" s="1133"/>
      <c r="N49" s="1133"/>
      <c r="O49" s="1133"/>
      <c r="P49" s="3208" t="str">
        <f>A49</f>
        <v>比较价值（元/平方米）</v>
      </c>
      <c r="Q49" s="3226"/>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6"/>
      <c r="Y49" s="446"/>
      <c r="Z49" s="446"/>
      <c r="AA49" s="446"/>
      <c r="AB49" s="446"/>
      <c r="AC49" s="629"/>
    </row>
    <row r="50" spans="1:29" ht="15.75" thickBot="1">
      <c r="A50" s="492" t="s">
        <v>2675</v>
      </c>
      <c r="B50" s="493"/>
      <c r="C50" s="1419" t="e">
        <f>R50</f>
        <v>#DIV/0!</v>
      </c>
      <c r="D50" s="1419"/>
      <c r="E50" s="1419"/>
      <c r="F50" s="1419"/>
      <c r="G50" s="1419"/>
      <c r="H50" s="1419"/>
      <c r="I50" s="1419"/>
      <c r="J50" s="494"/>
      <c r="K50" s="784"/>
      <c r="L50" s="1145"/>
      <c r="M50" s="1133"/>
      <c r="N50" s="1133"/>
      <c r="O50" s="1133"/>
      <c r="P50" s="3251" t="str">
        <f>A50</f>
        <v>估价对象XX用房的比较价值（楼面单价，元/平方米）</v>
      </c>
      <c r="Q50" s="3252"/>
      <c r="R50" s="3253" t="e">
        <f>IF(F1="售价",ROUND(AVERAGE(R49:V49),0),ROUND(AVERAGE(R49:V49),1))</f>
        <v>#DIV/0!</v>
      </c>
      <c r="S50" s="3253"/>
      <c r="T50" s="3253"/>
      <c r="U50" s="3253"/>
      <c r="V50" s="3253"/>
      <c r="W50" s="3253"/>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2" t="s">
        <v>2679</v>
      </c>
      <c r="B58" s="758"/>
      <c r="C58" s="763"/>
      <c r="D58" s="763"/>
      <c r="E58" s="763"/>
      <c r="F58" s="764"/>
      <c r="G58" s="764"/>
      <c r="H58" s="763"/>
      <c r="I58" s="763"/>
      <c r="J58" s="763"/>
      <c r="K58" s="765"/>
      <c r="L58" s="1163"/>
      <c r="M58" s="1161"/>
      <c r="N58" s="1161"/>
      <c r="O58" s="1161"/>
      <c r="P58" s="2683"/>
      <c r="Q58" s="504"/>
    </row>
    <row r="59" spans="1:29" s="508" customFormat="1" ht="15">
      <c r="A59" s="505" t="s">
        <v>2553</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2590</v>
      </c>
      <c r="B61" s="516"/>
      <c r="C61" s="517"/>
      <c r="D61" s="518"/>
      <c r="E61" s="518"/>
      <c r="F61" s="518"/>
      <c r="G61" s="518"/>
      <c r="H61" s="518"/>
      <c r="I61" s="518"/>
      <c r="J61" s="518"/>
      <c r="K61" s="518"/>
      <c r="L61" s="518"/>
      <c r="M61" s="519"/>
      <c r="N61" s="518"/>
      <c r="O61" s="519"/>
      <c r="P61" s="2684"/>
      <c r="Q61" s="504"/>
    </row>
    <row r="62" spans="1:29" s="117" customFormat="1" ht="15">
      <c r="A62" s="521" t="s">
        <v>2555</v>
      </c>
      <c r="B62" s="510"/>
      <c r="C62" s="522" t="s">
        <v>2657</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2593</v>
      </c>
      <c r="B64" s="528" t="s">
        <v>2559</v>
      </c>
      <c r="C64" s="529">
        <f>C9</f>
        <v>0</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4"/>
      <c r="O66" s="1154"/>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111</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111</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111</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4"/>
      <c r="O77" s="1154"/>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4"/>
      <c r="O79" s="1154"/>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4"/>
      <c r="O81" s="1154"/>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75" thickTop="1">
      <c r="A83" s="534"/>
      <c r="B83" s="546" t="s">
        <v>2694</v>
      </c>
      <c r="C83" s="659" t="s">
        <v>2680</v>
      </c>
      <c r="D83" s="659" t="s">
        <v>2681</v>
      </c>
      <c r="E83" s="659" t="s">
        <v>2682</v>
      </c>
      <c r="F83" s="659" t="s">
        <v>2683</v>
      </c>
      <c r="G83" s="659" t="s">
        <v>2684</v>
      </c>
      <c r="H83" s="539"/>
      <c r="I83" s="539"/>
      <c r="J83" s="539"/>
      <c r="K83" s="539"/>
      <c r="L83" s="539"/>
      <c r="M83" s="1384"/>
      <c r="N83" s="1155"/>
      <c r="O83" s="1155"/>
      <c r="P83" s="2686"/>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6"/>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4"/>
      <c r="O85" s="1154"/>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7.75" thickTop="1">
      <c r="A87" s="579"/>
      <c r="B87" s="538" t="s">
        <v>2704</v>
      </c>
      <c r="C87" s="554"/>
      <c r="D87" s="554"/>
      <c r="E87" s="554"/>
      <c r="F87" s="554"/>
      <c r="G87" s="554"/>
      <c r="H87" s="554"/>
      <c r="I87" s="554"/>
      <c r="J87" s="554"/>
      <c r="K87" s="554"/>
      <c r="L87" s="580"/>
      <c r="M87" s="581"/>
      <c r="N87" s="1153"/>
      <c r="O87" s="1153"/>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5.75"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111</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111</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111</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111</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2568</v>
      </c>
      <c r="B101" s="528" t="s">
        <v>2617</v>
      </c>
      <c r="C101" s="530"/>
      <c r="D101" s="530"/>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2619</v>
      </c>
      <c r="C106" s="554"/>
      <c r="D106" s="554"/>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2621</v>
      </c>
      <c r="C108" s="554"/>
      <c r="D108" s="554"/>
      <c r="E108" s="554"/>
      <c r="F108" s="583"/>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2705</v>
      </c>
      <c r="C113" s="554"/>
      <c r="D113" s="554"/>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2622</v>
      </c>
      <c r="C115" s="554"/>
      <c r="D115" s="554"/>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2623</v>
      </c>
      <c r="C117" s="554"/>
      <c r="D117" s="554"/>
      <c r="E117" s="554"/>
      <c r="F117" s="554"/>
      <c r="G117" s="554"/>
      <c r="H117" s="583"/>
      <c r="I117" s="583"/>
      <c r="J117" s="583"/>
      <c r="K117" s="584"/>
      <c r="L117" s="585"/>
      <c r="M117" s="586"/>
      <c r="N117" s="1154"/>
      <c r="O117" s="1154"/>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5" t="s">
        <v>2706</v>
      </c>
      <c r="C119" s="583"/>
      <c r="D119" s="583"/>
      <c r="E119" s="583"/>
      <c r="F119" s="583"/>
      <c r="G119" s="583"/>
      <c r="H119" s="583"/>
      <c r="I119" s="583"/>
      <c r="J119" s="583"/>
      <c r="K119" s="583"/>
      <c r="L119" s="2691"/>
      <c r="M119" s="2692"/>
      <c r="N119" s="1155"/>
      <c r="O119" s="1155"/>
      <c r="P119" s="2693"/>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2689</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2625</v>
      </c>
      <c r="C123" s="554"/>
      <c r="D123" s="554"/>
      <c r="E123" s="554"/>
      <c r="F123" s="583"/>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111</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111</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671" t="s">
        <v>2707</v>
      </c>
      <c r="C1" s="1622" t="s">
        <v>2535</v>
      </c>
      <c r="D1" s="1623"/>
      <c r="E1" s="1632"/>
      <c r="F1" s="2586"/>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t="e">
        <f ca="1">IF(C2="——",ROUND(C43*D3/10000,0),ROUND(C43*D3/10000,0)-D2)</f>
        <v>#DIV/0!</v>
      </c>
      <c r="C2" s="2588"/>
      <c r="D2" s="1126" t="e">
        <f ca="1">SUMIF(INDIRECT("'"&amp;F2&amp;"'"&amp;"!A:A"),"承租人权益价值",INDIRECT("'"&amp;F2&amp;"'"&amp;"!c:c"))</f>
        <v>#REF!</v>
      </c>
      <c r="E2" s="2589" t="s">
        <v>2333</v>
      </c>
      <c r="F2" s="2590"/>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2334</v>
      </c>
      <c r="B3" s="609" t="e">
        <f ca="1">IF(C2="——",C43,ROUND(B2*10000/D3,0))</f>
        <v>#DIV/0!</v>
      </c>
      <c r="C3" s="400" t="s">
        <v>2649</v>
      </c>
      <c r="D3" s="399">
        <f>IF(D1="",'数据-汇总表'!E3,SUMIF('数据-汇总表'!$C19:$C33,D1,'数据-汇总表'!$E19:$E33))</f>
        <v>249.95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2650</v>
      </c>
      <c r="B4" s="402"/>
      <c r="C4" s="3209" t="s">
        <v>2651</v>
      </c>
      <c r="D4" s="3210"/>
      <c r="E4" s="3211" t="s">
        <v>2652</v>
      </c>
      <c r="F4" s="3212"/>
      <c r="G4" s="3209" t="s">
        <v>2653</v>
      </c>
      <c r="H4" s="3210"/>
      <c r="I4" s="3209" t="s">
        <v>2654</v>
      </c>
      <c r="J4" s="3210"/>
      <c r="K4" s="610" t="s">
        <v>2655</v>
      </c>
      <c r="L4" s="1132"/>
      <c r="M4" s="1133"/>
      <c r="N4" s="1133"/>
      <c r="O4" s="1133"/>
      <c r="P4" s="3213" t="s">
        <v>2656</v>
      </c>
      <c r="Q4" s="3214"/>
      <c r="R4" s="3196" t="s">
        <v>2652</v>
      </c>
      <c r="S4" s="3197"/>
      <c r="T4" s="3196" t="s">
        <v>2653</v>
      </c>
      <c r="U4" s="3197"/>
      <c r="V4" s="3221" t="s">
        <v>2654</v>
      </c>
      <c r="W4" s="3221"/>
      <c r="X4" s="1813"/>
      <c r="Y4" s="3196" t="s">
        <v>2656</v>
      </c>
      <c r="Z4" s="3197"/>
      <c r="AA4" s="3191" t="s">
        <v>2652</v>
      </c>
      <c r="AB4" s="3192" t="s">
        <v>2653</v>
      </c>
      <c r="AC4" s="3191" t="s">
        <v>2654</v>
      </c>
    </row>
    <row r="5" spans="1:29" ht="15">
      <c r="A5" s="404"/>
      <c r="B5" s="405"/>
      <c r="C5" s="3202" t="s">
        <v>2547</v>
      </c>
      <c r="D5" s="3203"/>
      <c r="E5" s="3200" t="s">
        <v>2548</v>
      </c>
      <c r="F5" s="3201"/>
      <c r="G5" s="3202" t="s">
        <v>2549</v>
      </c>
      <c r="H5" s="3203"/>
      <c r="I5" s="3202" t="s">
        <v>2550</v>
      </c>
      <c r="J5" s="3203"/>
      <c r="K5" s="610"/>
      <c r="L5" s="1132"/>
      <c r="M5" s="1133"/>
      <c r="N5" s="1133"/>
      <c r="O5" s="1133"/>
      <c r="P5" s="3215"/>
      <c r="Q5" s="3216"/>
      <c r="R5" s="3198"/>
      <c r="S5" s="3199"/>
      <c r="T5" s="3198"/>
      <c r="U5" s="3199"/>
      <c r="V5" s="3221"/>
      <c r="W5" s="3221"/>
      <c r="X5" s="1813"/>
      <c r="Y5" s="3198"/>
      <c r="Z5" s="3199"/>
      <c r="AA5" s="3192"/>
      <c r="AB5" s="3192"/>
      <c r="AC5" s="3192"/>
    </row>
    <row r="6" spans="1:29" ht="15.75" thickBot="1">
      <c r="A6" s="406"/>
      <c r="B6" s="407"/>
      <c r="C6" s="3204" t="s">
        <v>2551</v>
      </c>
      <c r="D6" s="3205"/>
      <c r="E6" s="3206" t="s">
        <v>2551</v>
      </c>
      <c r="F6" s="3207"/>
      <c r="G6" s="3204" t="s">
        <v>2551</v>
      </c>
      <c r="H6" s="3205"/>
      <c r="I6" s="3204" t="s">
        <v>2551</v>
      </c>
      <c r="J6" s="3205"/>
      <c r="K6" s="610" t="s">
        <v>2552</v>
      </c>
      <c r="L6" s="1132"/>
      <c r="M6" s="1133"/>
      <c r="N6" s="1133"/>
      <c r="O6" s="1133"/>
      <c r="P6" s="3217"/>
      <c r="Q6" s="3218"/>
      <c r="R6" s="3198"/>
      <c r="S6" s="3199"/>
      <c r="T6" s="3219"/>
      <c r="U6" s="3220"/>
      <c r="V6" s="3221"/>
      <c r="W6" s="3221"/>
      <c r="X6" s="1813"/>
      <c r="Y6" s="3219"/>
      <c r="Z6" s="3220"/>
      <c r="AA6" s="3193"/>
      <c r="AB6" s="3193"/>
      <c r="AC6" s="3193"/>
    </row>
    <row r="7" spans="1:29" s="117" customFormat="1" ht="15.75" thickBot="1">
      <c r="A7" s="408" t="s">
        <v>2553</v>
      </c>
      <c r="B7" s="409"/>
      <c r="C7" s="410">
        <f>'数据-取费表'!B2</f>
        <v>43296</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94" t="s">
        <v>2554</v>
      </c>
      <c r="Q7" s="3222"/>
      <c r="R7" s="769" t="s">
        <v>17</v>
      </c>
      <c r="S7" s="770">
        <f t="shared" ref="S7:S15" si="0">F7</f>
        <v>0</v>
      </c>
      <c r="T7" s="769" t="s">
        <v>17</v>
      </c>
      <c r="U7" s="770">
        <f t="shared" ref="U7:U15" si="1">H7</f>
        <v>0</v>
      </c>
      <c r="V7" s="769" t="s">
        <v>17</v>
      </c>
      <c r="W7" s="770">
        <f t="shared" ref="W7:W15" si="2">J7</f>
        <v>0</v>
      </c>
      <c r="X7" s="771"/>
      <c r="Y7" s="3194" t="s">
        <v>2554</v>
      </c>
      <c r="Z7" s="3195"/>
      <c r="AA7" s="772" t="e">
        <f>D7/F7</f>
        <v>#DIV/0!</v>
      </c>
      <c r="AB7" s="772" t="e">
        <f>D7/H7</f>
        <v>#DIV/0!</v>
      </c>
      <c r="AC7" s="772"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94" t="s">
        <v>2557</v>
      </c>
      <c r="Q8" s="3195"/>
      <c r="R8" s="769" t="s">
        <v>17</v>
      </c>
      <c r="S8" s="770">
        <f t="shared" si="0"/>
        <v>0</v>
      </c>
      <c r="T8" s="769" t="s">
        <v>17</v>
      </c>
      <c r="U8" s="770">
        <f t="shared" si="1"/>
        <v>0</v>
      </c>
      <c r="V8" s="769" t="s">
        <v>17</v>
      </c>
      <c r="W8" s="770">
        <f t="shared" si="2"/>
        <v>0</v>
      </c>
      <c r="X8" s="771"/>
      <c r="Y8" s="3194" t="s">
        <v>2557</v>
      </c>
      <c r="Z8" s="3195"/>
      <c r="AA8" s="772" t="e">
        <f t="shared" ref="AA8:AA40" si="3">D8/F8</f>
        <v>#DIV/0!</v>
      </c>
      <c r="AB8" s="772" t="e">
        <f t="shared" ref="AB8:AB40" si="4">D8/H8</f>
        <v>#DIV/0!</v>
      </c>
      <c r="AC8" s="772"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26" t="s">
        <v>2560</v>
      </c>
      <c r="Q9" s="1795" t="str">
        <f t="shared" ref="Q9:Q15" si="6">B9</f>
        <v>用途</v>
      </c>
      <c r="R9" s="769" t="s">
        <v>17</v>
      </c>
      <c r="S9" s="770">
        <f t="shared" si="0"/>
        <v>100</v>
      </c>
      <c r="T9" s="769" t="s">
        <v>17</v>
      </c>
      <c r="U9" s="770">
        <f t="shared" si="1"/>
        <v>100</v>
      </c>
      <c r="V9" s="769" t="s">
        <v>17</v>
      </c>
      <c r="W9" s="770">
        <f t="shared" si="2"/>
        <v>100</v>
      </c>
      <c r="X9" s="771"/>
      <c r="Y9" s="3047" t="s">
        <v>2561</v>
      </c>
      <c r="Z9" s="55" t="str">
        <f t="shared" ref="Z9:Z15" si="7">Q9</f>
        <v>用途</v>
      </c>
      <c r="AA9" s="772">
        <f t="shared" si="3"/>
        <v>1</v>
      </c>
      <c r="AB9" s="772">
        <f t="shared" si="4"/>
        <v>1</v>
      </c>
      <c r="AC9" s="772">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26"/>
      <c r="Q10" s="1795"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772">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26"/>
      <c r="Q11" s="1795" t="str">
        <f t="shared" si="6"/>
        <v>容积率</v>
      </c>
      <c r="R11" s="769" t="s">
        <v>17</v>
      </c>
      <c r="S11" s="770" t="e">
        <f t="shared" si="0"/>
        <v>#N/A</v>
      </c>
      <c r="T11" s="769" t="s">
        <v>17</v>
      </c>
      <c r="U11" s="770" t="e">
        <f t="shared" si="1"/>
        <v>#N/A</v>
      </c>
      <c r="V11" s="769" t="s">
        <v>17</v>
      </c>
      <c r="W11" s="770" t="e">
        <f t="shared" si="2"/>
        <v>#N/A</v>
      </c>
      <c r="X11" s="771"/>
      <c r="Y11" s="3047"/>
      <c r="Z11" s="55" t="str">
        <f t="shared" si="7"/>
        <v>容积率</v>
      </c>
      <c r="AA11" s="772" t="e">
        <f t="shared" si="3"/>
        <v>#N/A</v>
      </c>
      <c r="AB11" s="772" t="e">
        <f t="shared" si="4"/>
        <v>#N/A</v>
      </c>
      <c r="AC11" s="772"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226"/>
      <c r="Q12" s="1795">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226"/>
      <c r="Q13" s="1795">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226"/>
      <c r="Q14" s="1795">
        <f t="shared" si="6"/>
        <v>111</v>
      </c>
      <c r="R14" s="769" t="s">
        <v>17</v>
      </c>
      <c r="S14" s="770">
        <f t="shared" si="0"/>
        <v>100</v>
      </c>
      <c r="T14" s="769" t="s">
        <v>17</v>
      </c>
      <c r="U14" s="770">
        <f t="shared" si="1"/>
        <v>100</v>
      </c>
      <c r="V14" s="769" t="s">
        <v>17</v>
      </c>
      <c r="W14" s="770">
        <f t="shared" si="2"/>
        <v>100</v>
      </c>
      <c r="X14" s="771"/>
      <c r="Y14" s="3047"/>
      <c r="Z14" s="55">
        <f t="shared" si="7"/>
        <v>111</v>
      </c>
      <c r="AA14" s="772">
        <f t="shared" si="3"/>
        <v>1</v>
      </c>
      <c r="AB14" s="772">
        <f t="shared" si="4"/>
        <v>1</v>
      </c>
      <c r="AC14" s="772">
        <f t="shared" si="5"/>
        <v>1</v>
      </c>
    </row>
    <row r="15" spans="1:29" ht="57">
      <c r="A15" s="440" t="s">
        <v>2564</v>
      </c>
      <c r="B15" s="69" t="s">
        <v>2708</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28" t="s">
        <v>2565</v>
      </c>
      <c r="Q15" s="1810" t="str">
        <f t="shared" si="6"/>
        <v>产业集聚程度</v>
      </c>
      <c r="R15" s="773" t="s">
        <v>17</v>
      </c>
      <c r="S15" s="774">
        <f t="shared" si="0"/>
        <v>100</v>
      </c>
      <c r="T15" s="773" t="s">
        <v>17</v>
      </c>
      <c r="U15" s="774">
        <f t="shared" si="1"/>
        <v>100</v>
      </c>
      <c r="V15" s="773" t="s">
        <v>17</v>
      </c>
      <c r="W15" s="774">
        <f t="shared" si="2"/>
        <v>100</v>
      </c>
      <c r="X15" s="1813"/>
      <c r="Y15" s="3228" t="s">
        <v>2565</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2"/>
      <c r="M16" s="1133"/>
      <c r="N16" s="1133"/>
      <c r="O16" s="1141"/>
      <c r="P16" s="3229"/>
      <c r="Q16" s="1810"/>
      <c r="R16" s="773"/>
      <c r="S16" s="774"/>
      <c r="T16" s="773"/>
      <c r="U16" s="774"/>
      <c r="V16" s="773"/>
      <c r="W16" s="774"/>
      <c r="X16" s="1813"/>
      <c r="Y16" s="3229"/>
      <c r="Z16" s="1814"/>
      <c r="AA16" s="1811">
        <v>1</v>
      </c>
      <c r="AB16" s="1811">
        <v>1</v>
      </c>
      <c r="AC16" s="1811">
        <v>1</v>
      </c>
    </row>
    <row r="17" spans="1:29" ht="85.5">
      <c r="A17" s="428"/>
      <c r="B17" s="451" t="s">
        <v>2101</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29"/>
      <c r="Q17" s="1810" t="str">
        <f>B17</f>
        <v>交通便捷度</v>
      </c>
      <c r="R17" s="773" t="s">
        <v>17</v>
      </c>
      <c r="S17" s="774">
        <f>F17</f>
        <v>100</v>
      </c>
      <c r="T17" s="773" t="s">
        <v>17</v>
      </c>
      <c r="U17" s="774">
        <f>H17</f>
        <v>100</v>
      </c>
      <c r="V17" s="773" t="s">
        <v>17</v>
      </c>
      <c r="W17" s="774">
        <f>J17</f>
        <v>100</v>
      </c>
      <c r="X17" s="1813"/>
      <c r="Y17" s="3229"/>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2"/>
      <c r="M18" s="1133"/>
      <c r="N18" s="1133"/>
      <c r="O18" s="1141"/>
      <c r="P18" s="3229"/>
      <c r="Q18" s="1810"/>
      <c r="R18" s="773"/>
      <c r="S18" s="774"/>
      <c r="T18" s="773"/>
      <c r="U18" s="774"/>
      <c r="V18" s="773"/>
      <c r="W18" s="774"/>
      <c r="X18" s="1813"/>
      <c r="Y18" s="3229"/>
      <c r="Z18" s="1814"/>
      <c r="AA18" s="1811">
        <v>1</v>
      </c>
      <c r="AB18" s="1811">
        <v>1</v>
      </c>
      <c r="AC18" s="1811">
        <v>1</v>
      </c>
    </row>
    <row r="19" spans="1:29" ht="42.75">
      <c r="A19" s="428"/>
      <c r="B19" s="451" t="s">
        <v>2693</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29"/>
      <c r="Q19" s="1810" t="str">
        <f>B19</f>
        <v>公共配套设施</v>
      </c>
      <c r="R19" s="773" t="s">
        <v>17</v>
      </c>
      <c r="S19" s="774">
        <f>F19</f>
        <v>100</v>
      </c>
      <c r="T19" s="773" t="s">
        <v>17</v>
      </c>
      <c r="U19" s="774">
        <f>H19</f>
        <v>100</v>
      </c>
      <c r="V19" s="773" t="s">
        <v>17</v>
      </c>
      <c r="W19" s="774">
        <f>J19</f>
        <v>100</v>
      </c>
      <c r="X19" s="1813"/>
      <c r="Y19" s="3229"/>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2"/>
      <c r="M20" s="1133"/>
      <c r="N20" s="1133"/>
      <c r="O20" s="1141"/>
      <c r="P20" s="3229"/>
      <c r="Q20" s="1810"/>
      <c r="R20" s="773"/>
      <c r="S20" s="774"/>
      <c r="T20" s="773"/>
      <c r="U20" s="774"/>
      <c r="V20" s="773"/>
      <c r="W20" s="774"/>
      <c r="X20" s="1813"/>
      <c r="Y20" s="3229"/>
      <c r="Z20" s="1814"/>
      <c r="AA20" s="1811">
        <v>1</v>
      </c>
      <c r="AB20" s="1811">
        <v>1</v>
      </c>
      <c r="AC20" s="1811">
        <v>1</v>
      </c>
    </row>
    <row r="21" spans="1:29" ht="28.5">
      <c r="A21" s="428"/>
      <c r="B21" s="1386" t="s">
        <v>2694</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29"/>
      <c r="Q21" s="1810" t="str">
        <f>B21</f>
        <v>基础设施水平</v>
      </c>
      <c r="R21" s="773" t="s">
        <v>17</v>
      </c>
      <c r="S21" s="774">
        <f>F21</f>
        <v>100</v>
      </c>
      <c r="T21" s="773" t="s">
        <v>17</v>
      </c>
      <c r="U21" s="774">
        <f>H21</f>
        <v>100</v>
      </c>
      <c r="V21" s="773" t="s">
        <v>17</v>
      </c>
      <c r="W21" s="774">
        <f>J21</f>
        <v>100</v>
      </c>
      <c r="X21" s="1813"/>
      <c r="Y21" s="3229"/>
      <c r="Z21" s="1814" t="str">
        <f>Q21</f>
        <v>基础设施水平</v>
      </c>
      <c r="AA21" s="1811">
        <f t="shared" ref="AA21" si="8">D21/F21</f>
        <v>1</v>
      </c>
      <c r="AB21" s="1811">
        <f t="shared" ref="AB21" si="9">D21/H21</f>
        <v>1</v>
      </c>
      <c r="AC21" s="1811">
        <f t="shared" ref="AC21" si="10">D21/J21</f>
        <v>1</v>
      </c>
    </row>
    <row r="22" spans="1:29" ht="15">
      <c r="A22" s="428"/>
      <c r="B22" s="1386"/>
      <c r="C22" s="2610"/>
      <c r="D22" s="448"/>
      <c r="E22" s="447"/>
      <c r="F22" s="449"/>
      <c r="G22" s="447"/>
      <c r="H22" s="448"/>
      <c r="I22" s="447"/>
      <c r="J22" s="448"/>
      <c r="K22" s="1385"/>
      <c r="L22" s="1142"/>
      <c r="M22" s="1133"/>
      <c r="N22" s="1133"/>
      <c r="O22" s="1141"/>
      <c r="P22" s="3229"/>
      <c r="Q22" s="1810"/>
      <c r="R22" s="773"/>
      <c r="S22" s="774"/>
      <c r="T22" s="773"/>
      <c r="U22" s="774"/>
      <c r="V22" s="773"/>
      <c r="W22" s="774"/>
      <c r="X22" s="1813"/>
      <c r="Y22" s="3229"/>
      <c r="Z22" s="1814"/>
      <c r="AA22" s="1811">
        <v>1</v>
      </c>
      <c r="AB22" s="1811">
        <v>1</v>
      </c>
      <c r="AC22" s="1811">
        <v>1</v>
      </c>
    </row>
    <row r="23" spans="1:29" ht="71.25">
      <c r="A23" s="428"/>
      <c r="B23" s="451" t="s">
        <v>2695</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29"/>
      <c r="Q23" s="1810" t="str">
        <f>B23</f>
        <v>环境质量</v>
      </c>
      <c r="R23" s="773" t="s">
        <v>17</v>
      </c>
      <c r="S23" s="774">
        <f>F23</f>
        <v>100</v>
      </c>
      <c r="T23" s="773" t="s">
        <v>17</v>
      </c>
      <c r="U23" s="774">
        <f>H23</f>
        <v>100</v>
      </c>
      <c r="V23" s="773" t="s">
        <v>17</v>
      </c>
      <c r="W23" s="774">
        <f>J23</f>
        <v>100</v>
      </c>
      <c r="X23" s="1813"/>
      <c r="Y23" s="3229"/>
      <c r="Z23" s="1814" t="str">
        <f>Q23</f>
        <v>环境质量</v>
      </c>
      <c r="AA23" s="1811">
        <f t="shared" si="3"/>
        <v>1</v>
      </c>
      <c r="AB23" s="1811">
        <f t="shared" si="4"/>
        <v>1</v>
      </c>
      <c r="AC23" s="1811">
        <f t="shared" si="5"/>
        <v>1</v>
      </c>
    </row>
    <row r="24" spans="1:29" ht="15">
      <c r="A24" s="428"/>
      <c r="B24" s="1386"/>
      <c r="C24" s="447"/>
      <c r="D24" s="448"/>
      <c r="E24" s="2607"/>
      <c r="F24" s="449"/>
      <c r="G24" s="2606"/>
      <c r="H24" s="448"/>
      <c r="I24" s="2607"/>
      <c r="J24" s="448"/>
      <c r="K24" s="615"/>
      <c r="L24" s="1142"/>
      <c r="M24" s="1133"/>
      <c r="N24" s="1133"/>
      <c r="O24" s="1141"/>
      <c r="P24" s="3229"/>
      <c r="Q24" s="1810"/>
      <c r="R24" s="773"/>
      <c r="S24" s="774"/>
      <c r="T24" s="773"/>
      <c r="U24" s="774"/>
      <c r="V24" s="773"/>
      <c r="W24" s="774"/>
      <c r="X24" s="1813"/>
      <c r="Y24" s="3229"/>
      <c r="Z24" s="1814"/>
      <c r="AA24" s="1811">
        <v>1</v>
      </c>
      <c r="AB24" s="1811">
        <v>1</v>
      </c>
      <c r="AC24" s="1811">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29"/>
      <c r="Q25" s="1810">
        <f>B25</f>
        <v>111</v>
      </c>
      <c r="R25" s="773" t="s">
        <v>17</v>
      </c>
      <c r="S25" s="774">
        <f>F25</f>
        <v>100</v>
      </c>
      <c r="T25" s="773" t="s">
        <v>17</v>
      </c>
      <c r="U25" s="774">
        <f>H25</f>
        <v>100</v>
      </c>
      <c r="V25" s="773" t="s">
        <v>17</v>
      </c>
      <c r="W25" s="774">
        <f>J25</f>
        <v>100</v>
      </c>
      <c r="X25" s="1813"/>
      <c r="Y25" s="3229"/>
      <c r="Z25" s="1814">
        <f>Q25</f>
        <v>111</v>
      </c>
      <c r="AA25" s="1811">
        <f t="shared" si="3"/>
        <v>1</v>
      </c>
      <c r="AB25" s="1811">
        <f t="shared" si="4"/>
        <v>1</v>
      </c>
      <c r="AC25" s="1811">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29"/>
      <c r="Q26" s="1810">
        <f t="shared" ref="Q26:Q40" si="11">B26</f>
        <v>111</v>
      </c>
      <c r="R26" s="773" t="s">
        <v>17</v>
      </c>
      <c r="S26" s="774">
        <f>F26</f>
        <v>100</v>
      </c>
      <c r="T26" s="773" t="s">
        <v>17</v>
      </c>
      <c r="U26" s="774">
        <f>H26</f>
        <v>100</v>
      </c>
      <c r="V26" s="773" t="s">
        <v>17</v>
      </c>
      <c r="W26" s="774">
        <f>J26</f>
        <v>100</v>
      </c>
      <c r="X26" s="1813"/>
      <c r="Y26" s="3229"/>
      <c r="Z26" s="1814">
        <f>Q26</f>
        <v>111</v>
      </c>
      <c r="AA26" s="1811">
        <f t="shared" si="3"/>
        <v>1</v>
      </c>
      <c r="AB26" s="1811">
        <f t="shared" si="4"/>
        <v>1</v>
      </c>
      <c r="AC26" s="1811">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29"/>
      <c r="Q27" s="1795">
        <f t="shared" si="11"/>
        <v>111</v>
      </c>
      <c r="R27" s="769" t="s">
        <v>17</v>
      </c>
      <c r="S27" s="770">
        <f>F27</f>
        <v>100</v>
      </c>
      <c r="T27" s="769" t="s">
        <v>17</v>
      </c>
      <c r="U27" s="770">
        <f>H27</f>
        <v>100</v>
      </c>
      <c r="V27" s="769" t="s">
        <v>17</v>
      </c>
      <c r="W27" s="770">
        <f>J27</f>
        <v>100</v>
      </c>
      <c r="X27" s="771"/>
      <c r="Y27" s="3229"/>
      <c r="Z27" s="55">
        <f>Q27</f>
        <v>111</v>
      </c>
      <c r="AA27" s="1811">
        <f>D27/F27</f>
        <v>1</v>
      </c>
      <c r="AB27" s="1811">
        <f>D27/H27</f>
        <v>1</v>
      </c>
      <c r="AC27" s="1811">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29"/>
      <c r="Q28" s="1810">
        <f t="shared" si="11"/>
        <v>111</v>
      </c>
      <c r="R28" s="773" t="s">
        <v>17</v>
      </c>
      <c r="S28" s="774">
        <f t="shared" ref="S28:S40" si="12">F28</f>
        <v>100</v>
      </c>
      <c r="T28" s="773" t="s">
        <v>17</v>
      </c>
      <c r="U28" s="774">
        <f t="shared" ref="U28:U40" si="13">H28</f>
        <v>100</v>
      </c>
      <c r="V28" s="773" t="s">
        <v>17</v>
      </c>
      <c r="W28" s="774">
        <f t="shared" ref="W28:W40" si="14">J28</f>
        <v>100</v>
      </c>
      <c r="X28" s="1813"/>
      <c r="Y28" s="3229"/>
      <c r="Z28" s="1814">
        <f t="shared" ref="Z28:Z40" si="15">Q28</f>
        <v>111</v>
      </c>
      <c r="AA28" s="1811">
        <f t="shared" si="3"/>
        <v>1</v>
      </c>
      <c r="AB28" s="1811">
        <f t="shared" si="4"/>
        <v>1</v>
      </c>
      <c r="AC28" s="1811">
        <f t="shared" si="5"/>
        <v>1</v>
      </c>
    </row>
    <row r="29" spans="1:29" ht="15">
      <c r="A29" s="466" t="s">
        <v>2568</v>
      </c>
      <c r="B29" s="71" t="s">
        <v>2698</v>
      </c>
      <c r="C29" s="2681"/>
      <c r="D29" s="467">
        <v>100</v>
      </c>
      <c r="E29" s="2681"/>
      <c r="F29" s="461">
        <f>SUMIF(88:88,E29,89:89)-SUMIF(88:88,C29,89:89)+100</f>
        <v>100</v>
      </c>
      <c r="G29" s="2681"/>
      <c r="H29" s="435">
        <f>SUMIF(88:88,G29,89:89)-SUMIF(88:88,C29,89:89)+100</f>
        <v>100</v>
      </c>
      <c r="I29" s="2681"/>
      <c r="J29" s="467">
        <f>SUMIF(88:88,I29,89:89)-SUMIF(88:88,C29,89:89)+100</f>
        <v>100</v>
      </c>
      <c r="K29" s="612"/>
      <c r="L29" s="1142"/>
      <c r="M29" s="1133"/>
      <c r="N29" s="1133"/>
      <c r="O29" s="1141"/>
      <c r="P29" s="3254" t="s">
        <v>2570</v>
      </c>
      <c r="Q29" s="1810" t="str">
        <f t="shared" si="11"/>
        <v>建筑类型</v>
      </c>
      <c r="R29" s="773" t="s">
        <v>17</v>
      </c>
      <c r="S29" s="774">
        <f t="shared" si="12"/>
        <v>100</v>
      </c>
      <c r="T29" s="773" t="s">
        <v>17</v>
      </c>
      <c r="U29" s="774">
        <f t="shared" si="13"/>
        <v>100</v>
      </c>
      <c r="V29" s="773" t="s">
        <v>17</v>
      </c>
      <c r="W29" s="774">
        <f t="shared" si="14"/>
        <v>100</v>
      </c>
      <c r="X29" s="1813"/>
      <c r="Y29" s="3233" t="s">
        <v>2570</v>
      </c>
      <c r="Z29" s="1814" t="str">
        <f t="shared" si="15"/>
        <v>建筑类型</v>
      </c>
      <c r="AA29" s="1811">
        <f t="shared" si="3"/>
        <v>1</v>
      </c>
      <c r="AB29" s="1811">
        <f t="shared" si="4"/>
        <v>1</v>
      </c>
      <c r="AC29" s="1811">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33"/>
      <c r="Q30" s="775" t="str">
        <f t="shared" si="11"/>
        <v>项目建筑规模</v>
      </c>
      <c r="R30" s="776" t="s">
        <v>17</v>
      </c>
      <c r="S30" s="777" t="e">
        <f t="shared" si="12"/>
        <v>#N/A</v>
      </c>
      <c r="T30" s="776" t="s">
        <v>17</v>
      </c>
      <c r="U30" s="777" t="e">
        <f t="shared" si="13"/>
        <v>#N/A</v>
      </c>
      <c r="V30" s="776" t="s">
        <v>17</v>
      </c>
      <c r="W30" s="777" t="e">
        <f t="shared" si="14"/>
        <v>#N/A</v>
      </c>
      <c r="X30" s="778"/>
      <c r="Y30" s="3233"/>
      <c r="Z30" s="779" t="str">
        <f t="shared" si="15"/>
        <v>项目建筑规模</v>
      </c>
      <c r="AA30" s="1811" t="e">
        <f t="shared" si="3"/>
        <v>#N/A</v>
      </c>
      <c r="AB30" s="1811" t="e">
        <f t="shared" si="4"/>
        <v>#N/A</v>
      </c>
      <c r="AC30" s="1811"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33"/>
      <c r="Q31" s="1810" t="str">
        <f t="shared" si="11"/>
        <v>建筑结构</v>
      </c>
      <c r="R31" s="773" t="s">
        <v>17</v>
      </c>
      <c r="S31" s="774">
        <f t="shared" si="12"/>
        <v>100</v>
      </c>
      <c r="T31" s="773" t="s">
        <v>17</v>
      </c>
      <c r="U31" s="774">
        <f t="shared" si="13"/>
        <v>100</v>
      </c>
      <c r="V31" s="773" t="s">
        <v>17</v>
      </c>
      <c r="W31" s="774">
        <f t="shared" si="14"/>
        <v>100</v>
      </c>
      <c r="X31" s="1813"/>
      <c r="Y31" s="3233"/>
      <c r="Z31" s="1814" t="str">
        <f t="shared" si="15"/>
        <v>建筑结构</v>
      </c>
      <c r="AA31" s="1811">
        <f t="shared" si="3"/>
        <v>1</v>
      </c>
      <c r="AB31" s="1811">
        <f t="shared" si="4"/>
        <v>1</v>
      </c>
      <c r="AC31" s="1811">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33"/>
      <c r="Q32" s="1810" t="str">
        <f t="shared" si="11"/>
        <v>公共部分装修</v>
      </c>
      <c r="R32" s="773" t="s">
        <v>17</v>
      </c>
      <c r="S32" s="774">
        <f t="shared" si="12"/>
        <v>100</v>
      </c>
      <c r="T32" s="773" t="s">
        <v>17</v>
      </c>
      <c r="U32" s="774">
        <f t="shared" si="13"/>
        <v>100</v>
      </c>
      <c r="V32" s="773" t="s">
        <v>17</v>
      </c>
      <c r="W32" s="774">
        <f t="shared" si="14"/>
        <v>100</v>
      </c>
      <c r="X32" s="1813"/>
      <c r="Y32" s="3233"/>
      <c r="Z32" s="1814" t="str">
        <f t="shared" si="15"/>
        <v>公共部分装修</v>
      </c>
      <c r="AA32" s="1811">
        <f t="shared" si="3"/>
        <v>1</v>
      </c>
      <c r="AB32" s="1811">
        <f t="shared" si="4"/>
        <v>1</v>
      </c>
      <c r="AC32" s="1811">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33"/>
      <c r="Q33" s="1810" t="str">
        <f t="shared" si="11"/>
        <v>成新度</v>
      </c>
      <c r="R33" s="773" t="s">
        <v>17</v>
      </c>
      <c r="S33" s="774" t="e">
        <f t="shared" si="12"/>
        <v>#N/A</v>
      </c>
      <c r="T33" s="773" t="s">
        <v>17</v>
      </c>
      <c r="U33" s="774" t="e">
        <f t="shared" si="13"/>
        <v>#N/A</v>
      </c>
      <c r="V33" s="773" t="s">
        <v>17</v>
      </c>
      <c r="W33" s="774" t="e">
        <f t="shared" si="14"/>
        <v>#N/A</v>
      </c>
      <c r="X33" s="1813"/>
      <c r="Y33" s="3233"/>
      <c r="Z33" s="1814" t="str">
        <f t="shared" si="15"/>
        <v>成新度</v>
      </c>
      <c r="AA33" s="1811" t="e">
        <f t="shared" si="3"/>
        <v>#N/A</v>
      </c>
      <c r="AB33" s="1811" t="e">
        <f t="shared" si="4"/>
        <v>#N/A</v>
      </c>
      <c r="AC33" s="1811"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33"/>
      <c r="Q34" s="1795" t="str">
        <f t="shared" si="11"/>
        <v>物业管理</v>
      </c>
      <c r="R34" s="769" t="s">
        <v>17</v>
      </c>
      <c r="S34" s="770">
        <f t="shared" si="12"/>
        <v>100</v>
      </c>
      <c r="T34" s="769" t="s">
        <v>17</v>
      </c>
      <c r="U34" s="770">
        <f t="shared" si="13"/>
        <v>100</v>
      </c>
      <c r="V34" s="769" t="s">
        <v>17</v>
      </c>
      <c r="W34" s="770">
        <f t="shared" si="14"/>
        <v>100</v>
      </c>
      <c r="X34" s="771"/>
      <c r="Y34" s="3233"/>
      <c r="Z34" s="55" t="str">
        <f t="shared" si="15"/>
        <v>物业管理</v>
      </c>
      <c r="AA34" s="772">
        <f t="shared" si="3"/>
        <v>1</v>
      </c>
      <c r="AB34" s="772">
        <f t="shared" si="4"/>
        <v>1</v>
      </c>
      <c r="AC34" s="772">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33" t="s">
        <v>2570</v>
      </c>
      <c r="Q35" s="1810" t="str">
        <f t="shared" si="11"/>
        <v>市政基础设施</v>
      </c>
      <c r="R35" s="773" t="s">
        <v>17</v>
      </c>
      <c r="S35" s="774">
        <f t="shared" si="12"/>
        <v>100</v>
      </c>
      <c r="T35" s="773" t="s">
        <v>17</v>
      </c>
      <c r="U35" s="774">
        <f t="shared" si="13"/>
        <v>100</v>
      </c>
      <c r="V35" s="773" t="s">
        <v>17</v>
      </c>
      <c r="W35" s="774">
        <f t="shared" si="14"/>
        <v>100</v>
      </c>
      <c r="X35" s="1813"/>
      <c r="Y35" s="3233" t="s">
        <v>2570</v>
      </c>
      <c r="Z35" s="1814" t="str">
        <f t="shared" si="15"/>
        <v>市政基础设施</v>
      </c>
      <c r="AA35" s="1811">
        <f t="shared" si="3"/>
        <v>1</v>
      </c>
      <c r="AB35" s="1811">
        <f t="shared" si="4"/>
        <v>1</v>
      </c>
      <c r="AC35" s="1811">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33"/>
      <c r="Q36" s="1810" t="str">
        <f t="shared" si="11"/>
        <v>内部装修</v>
      </c>
      <c r="R36" s="773" t="s">
        <v>17</v>
      </c>
      <c r="S36" s="774">
        <f t="shared" si="12"/>
        <v>100</v>
      </c>
      <c r="T36" s="773" t="s">
        <v>17</v>
      </c>
      <c r="U36" s="774">
        <f t="shared" si="13"/>
        <v>100</v>
      </c>
      <c r="V36" s="773" t="s">
        <v>17</v>
      </c>
      <c r="W36" s="774">
        <f t="shared" si="14"/>
        <v>100</v>
      </c>
      <c r="X36" s="1813"/>
      <c r="Y36" s="3233"/>
      <c r="Z36" s="1814" t="str">
        <f t="shared" si="15"/>
        <v>内部装修</v>
      </c>
      <c r="AA36" s="1811">
        <f t="shared" si="3"/>
        <v>1</v>
      </c>
      <c r="AB36" s="1811">
        <f t="shared" si="4"/>
        <v>1</v>
      </c>
      <c r="AC36" s="1811">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33"/>
      <c r="Q37" s="1810" t="str">
        <f t="shared" si="11"/>
        <v>内部装修状况</v>
      </c>
      <c r="R37" s="773" t="s">
        <v>17</v>
      </c>
      <c r="S37" s="774">
        <f t="shared" si="12"/>
        <v>100</v>
      </c>
      <c r="T37" s="773" t="s">
        <v>17</v>
      </c>
      <c r="U37" s="774">
        <f t="shared" si="13"/>
        <v>100</v>
      </c>
      <c r="V37" s="773" t="s">
        <v>17</v>
      </c>
      <c r="W37" s="774">
        <f t="shared" si="14"/>
        <v>100</v>
      </c>
      <c r="X37" s="1813"/>
      <c r="Y37" s="3233"/>
      <c r="Z37" s="1814" t="str">
        <f t="shared" si="15"/>
        <v>内部装修状况</v>
      </c>
      <c r="AA37" s="1811">
        <f t="shared" si="3"/>
        <v>1</v>
      </c>
      <c r="AB37" s="1811">
        <f t="shared" si="4"/>
        <v>1</v>
      </c>
      <c r="AC37" s="1811">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33"/>
      <c r="Q38" s="775">
        <f t="shared" si="11"/>
        <v>111</v>
      </c>
      <c r="R38" s="776" t="s">
        <v>17</v>
      </c>
      <c r="S38" s="777">
        <f t="shared" si="12"/>
        <v>100</v>
      </c>
      <c r="T38" s="776" t="s">
        <v>17</v>
      </c>
      <c r="U38" s="777">
        <f t="shared" si="13"/>
        <v>100</v>
      </c>
      <c r="V38" s="776" t="s">
        <v>17</v>
      </c>
      <c r="W38" s="777">
        <f t="shared" si="14"/>
        <v>100</v>
      </c>
      <c r="X38" s="778"/>
      <c r="Y38" s="3233"/>
      <c r="Z38" s="779">
        <f t="shared" si="15"/>
        <v>111</v>
      </c>
      <c r="AA38" s="1811">
        <f t="shared" si="3"/>
        <v>1</v>
      </c>
      <c r="AB38" s="1811">
        <f t="shared" si="4"/>
        <v>1</v>
      </c>
      <c r="AC38" s="1811">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33"/>
      <c r="Q39" s="1810">
        <f t="shared" si="11"/>
        <v>111</v>
      </c>
      <c r="R39" s="773" t="s">
        <v>17</v>
      </c>
      <c r="S39" s="774">
        <f t="shared" si="12"/>
        <v>100</v>
      </c>
      <c r="T39" s="773" t="s">
        <v>17</v>
      </c>
      <c r="U39" s="774">
        <f t="shared" si="13"/>
        <v>100</v>
      </c>
      <c r="V39" s="773" t="s">
        <v>17</v>
      </c>
      <c r="W39" s="774">
        <f t="shared" si="14"/>
        <v>100</v>
      </c>
      <c r="X39" s="1813"/>
      <c r="Y39" s="3233"/>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34"/>
      <c r="Q40" s="1810">
        <f t="shared" si="11"/>
        <v>111</v>
      </c>
      <c r="R40" s="773" t="s">
        <v>17</v>
      </c>
      <c r="S40" s="774">
        <f t="shared" si="12"/>
        <v>100</v>
      </c>
      <c r="T40" s="773" t="s">
        <v>17</v>
      </c>
      <c r="U40" s="774">
        <f t="shared" si="13"/>
        <v>100</v>
      </c>
      <c r="V40" s="773" t="s">
        <v>17</v>
      </c>
      <c r="W40" s="774">
        <f t="shared" si="14"/>
        <v>100</v>
      </c>
      <c r="X40" s="1813"/>
      <c r="Y40" s="3234"/>
      <c r="Z40" s="1814">
        <f t="shared" si="15"/>
        <v>111</v>
      </c>
      <c r="AA40" s="1811">
        <f t="shared" si="3"/>
        <v>1</v>
      </c>
      <c r="AB40" s="1811">
        <f t="shared" si="4"/>
        <v>1</v>
      </c>
      <c r="AC40" s="1811">
        <f t="shared" si="5"/>
        <v>1</v>
      </c>
    </row>
    <row r="41" spans="1:29" ht="15">
      <c r="A41" s="479" t="s">
        <v>2582</v>
      </c>
      <c r="B41" s="480"/>
      <c r="C41" s="1409" t="s">
        <v>1</v>
      </c>
      <c r="D41" s="1410"/>
      <c r="E41" s="1411"/>
      <c r="F41" s="1412"/>
      <c r="G41" s="1413"/>
      <c r="H41" s="1414"/>
      <c r="I41" s="1411"/>
      <c r="J41" s="1414"/>
      <c r="K41" s="782"/>
      <c r="L41" s="1145"/>
      <c r="M41" s="1146"/>
      <c r="N41" s="1133"/>
      <c r="O41" s="1146"/>
      <c r="P41" s="3226" t="str">
        <f>A41</f>
        <v>成交单价（元/平方米）</v>
      </c>
      <c r="Q41" s="3226"/>
      <c r="R41" s="3227">
        <f>E41</f>
        <v>0</v>
      </c>
      <c r="S41" s="3227"/>
      <c r="T41" s="3227">
        <f>G41</f>
        <v>0</v>
      </c>
      <c r="U41" s="3227"/>
      <c r="V41" s="3227">
        <f>I41</f>
        <v>0</v>
      </c>
      <c r="W41" s="3227"/>
      <c r="X41" s="758"/>
      <c r="Y41" s="780"/>
      <c r="Z41" s="758"/>
      <c r="AA41" s="758"/>
      <c r="AB41" s="758"/>
      <c r="AC41" s="758"/>
    </row>
    <row r="42" spans="1:29" ht="15.75" thickBot="1">
      <c r="A42" s="486" t="s">
        <v>2674</v>
      </c>
      <c r="B42" s="487"/>
      <c r="C42" s="1415" t="e">
        <f>R43</f>
        <v>#DIV/0!</v>
      </c>
      <c r="D42" s="1416"/>
      <c r="E42" s="1417" t="e">
        <f>R42</f>
        <v>#DIV/0!</v>
      </c>
      <c r="F42" s="1417"/>
      <c r="G42" s="1415" t="e">
        <f>T42</f>
        <v>#DIV/0!</v>
      </c>
      <c r="H42" s="1416"/>
      <c r="I42" s="1417" t="e">
        <f>V42</f>
        <v>#DIV/0!</v>
      </c>
      <c r="J42" s="1416"/>
      <c r="K42" s="783"/>
      <c r="L42" s="1145"/>
      <c r="M42" s="1146"/>
      <c r="N42" s="1133"/>
      <c r="O42" s="1146"/>
      <c r="P42" s="3226" t="str">
        <f>A42</f>
        <v>比较价值（元/平方米）</v>
      </c>
      <c r="Q42" s="3226"/>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8"/>
      <c r="Y42" s="758"/>
      <c r="Z42" s="758"/>
      <c r="AA42" s="758"/>
      <c r="AB42" s="758"/>
      <c r="AC42" s="758"/>
    </row>
    <row r="43" spans="1:29" ht="15.75" thickBot="1">
      <c r="A43" s="492" t="s">
        <v>2675</v>
      </c>
      <c r="B43" s="493"/>
      <c r="C43" s="1419" t="e">
        <f>R43</f>
        <v>#DIV/0!</v>
      </c>
      <c r="D43" s="1419"/>
      <c r="E43" s="1419"/>
      <c r="F43" s="1419"/>
      <c r="G43" s="1419"/>
      <c r="H43" s="1419"/>
      <c r="I43" s="1419"/>
      <c r="J43" s="1419"/>
      <c r="K43" s="784"/>
      <c r="L43" s="1145"/>
      <c r="M43" s="1146"/>
      <c r="N43" s="1146"/>
      <c r="O43" s="1146"/>
      <c r="P43" s="3223" t="str">
        <f>A43</f>
        <v>估价对象XX用房的比较价值（楼面单价，元/平方米）</v>
      </c>
      <c r="Q43" s="3224"/>
      <c r="R43" s="3225" t="e">
        <f>IF(F1="售价",ROUND(AVERAGE(R42:V42),0),ROUND(AVERAGE(R42:V42),1))</f>
        <v>#DIV/0!</v>
      </c>
      <c r="S43" s="3225"/>
      <c r="T43" s="3225"/>
      <c r="U43" s="3225"/>
      <c r="V43" s="3225"/>
      <c r="W43" s="322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2679</v>
      </c>
      <c r="B51" s="758"/>
      <c r="C51" s="763"/>
      <c r="D51" s="763"/>
      <c r="E51" s="763"/>
      <c r="F51" s="764"/>
      <c r="G51" s="764"/>
      <c r="H51" s="763"/>
      <c r="I51" s="763"/>
      <c r="J51" s="763"/>
      <c r="K51" s="1162"/>
      <c r="L51" s="1163"/>
      <c r="M51" s="1161"/>
      <c r="N51" s="1161"/>
      <c r="O51" s="1161"/>
      <c r="P51" s="503"/>
      <c r="Q51" s="504"/>
    </row>
    <row r="52" spans="1:17" s="508" customFormat="1" ht="15">
      <c r="A52" s="505" t="s">
        <v>2553</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2593</v>
      </c>
      <c r="B57" s="528" t="s">
        <v>2559</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2694</v>
      </c>
      <c r="C76" s="659" t="s">
        <v>2680</v>
      </c>
      <c r="D76" s="659" t="s">
        <v>2681</v>
      </c>
      <c r="E76" s="659" t="s">
        <v>2682</v>
      </c>
      <c r="F76" s="659" t="s">
        <v>2683</v>
      </c>
      <c r="G76" s="659" t="s">
        <v>2684</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2568</v>
      </c>
      <c r="B88" s="528" t="s">
        <v>2617</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2619</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2621</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2622</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2623</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2625</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2711</v>
      </c>
      <c r="C106" s="578" t="s">
        <v>2602</v>
      </c>
      <c r="D106" s="578" t="s">
        <v>2603</v>
      </c>
      <c r="E106" s="578" t="s">
        <v>2604</v>
      </c>
      <c r="F106" s="578" t="s">
        <v>2605</v>
      </c>
      <c r="G106" s="578" t="s">
        <v>2606</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2712</v>
      </c>
      <c r="B1" s="1621"/>
      <c r="C1" s="1622" t="s">
        <v>2535</v>
      </c>
      <c r="D1" s="1623"/>
      <c r="E1" s="1624"/>
      <c r="F1" s="2586"/>
      <c r="G1" s="1625" t="s">
        <v>2648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2332</v>
      </c>
      <c r="B2" s="1420" t="e">
        <f ca="1">IF(C2="——",IF(B37="元/平方米",ROUND(C39*D3/10000,0),ROUND(F3*C39/10000,0)),IF(B37="元/平方米",ROUND(C39*D3/10000,0),ROUND(F3*C39/10000,0))-D2)</f>
        <v>#DIV/0!</v>
      </c>
      <c r="C2" s="2588"/>
      <c r="D2" s="1126" t="e">
        <f ca="1">SUMIF(INDIRECT("'"&amp;F2&amp;"'"&amp;"!A:A"),"承租人权益价值",INDIRECT("'"&amp;F2&amp;"'"&amp;"!c:c"))</f>
        <v>#REF!</v>
      </c>
      <c r="E2" s="2589" t="s">
        <v>2333</v>
      </c>
      <c r="F2" s="2590"/>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2650</v>
      </c>
      <c r="B4" s="402"/>
      <c r="C4" s="3209" t="s">
        <v>2651</v>
      </c>
      <c r="D4" s="3210"/>
      <c r="E4" s="3211" t="s">
        <v>2652</v>
      </c>
      <c r="F4" s="3212"/>
      <c r="G4" s="3209" t="s">
        <v>2653</v>
      </c>
      <c r="H4" s="3210"/>
      <c r="I4" s="3209" t="s">
        <v>2654</v>
      </c>
      <c r="J4" s="3210"/>
      <c r="K4" s="610" t="s">
        <v>2655</v>
      </c>
      <c r="L4" s="1132"/>
      <c r="M4" s="1133"/>
      <c r="N4" s="1133"/>
      <c r="O4" s="1133"/>
      <c r="P4" s="3213" t="s">
        <v>2656</v>
      </c>
      <c r="Q4" s="3214"/>
      <c r="R4" s="3196" t="s">
        <v>2652</v>
      </c>
      <c r="S4" s="3197"/>
      <c r="T4" s="3196" t="s">
        <v>2653</v>
      </c>
      <c r="U4" s="3197"/>
      <c r="V4" s="3221" t="s">
        <v>2654</v>
      </c>
      <c r="W4" s="3221"/>
      <c r="X4" s="1813"/>
      <c r="Y4" s="3196" t="s">
        <v>2656</v>
      </c>
      <c r="Z4" s="3197"/>
      <c r="AA4" s="3191" t="s">
        <v>2652</v>
      </c>
      <c r="AB4" s="3192" t="s">
        <v>2653</v>
      </c>
      <c r="AC4" s="3191" t="s">
        <v>2654</v>
      </c>
    </row>
    <row r="5" spans="1:29" ht="15">
      <c r="A5" s="404"/>
      <c r="B5" s="405"/>
      <c r="C5" s="3202" t="s">
        <v>2547</v>
      </c>
      <c r="D5" s="3203"/>
      <c r="E5" s="3200" t="s">
        <v>2548</v>
      </c>
      <c r="F5" s="3201"/>
      <c r="G5" s="3202" t="s">
        <v>2549</v>
      </c>
      <c r="H5" s="3203"/>
      <c r="I5" s="3202" t="s">
        <v>2550</v>
      </c>
      <c r="J5" s="3203"/>
      <c r="K5" s="610"/>
      <c r="L5" s="1132"/>
      <c r="M5" s="1133"/>
      <c r="N5" s="1133"/>
      <c r="O5" s="1133"/>
      <c r="P5" s="3215"/>
      <c r="Q5" s="3216"/>
      <c r="R5" s="3198"/>
      <c r="S5" s="3199"/>
      <c r="T5" s="3198"/>
      <c r="U5" s="3199"/>
      <c r="V5" s="3221"/>
      <c r="W5" s="3221"/>
      <c r="X5" s="1813"/>
      <c r="Y5" s="3198"/>
      <c r="Z5" s="3199"/>
      <c r="AA5" s="3192"/>
      <c r="AB5" s="3192"/>
      <c r="AC5" s="3192"/>
    </row>
    <row r="6" spans="1:29" ht="15.75" thickBot="1">
      <c r="A6" s="406"/>
      <c r="B6" s="407"/>
      <c r="C6" s="3204" t="s">
        <v>2551</v>
      </c>
      <c r="D6" s="3205"/>
      <c r="E6" s="3206" t="s">
        <v>2551</v>
      </c>
      <c r="F6" s="3207"/>
      <c r="G6" s="3204" t="s">
        <v>2551</v>
      </c>
      <c r="H6" s="3205"/>
      <c r="I6" s="3204" t="s">
        <v>2551</v>
      </c>
      <c r="J6" s="3205"/>
      <c r="K6" s="610" t="s">
        <v>2552</v>
      </c>
      <c r="L6" s="1132"/>
      <c r="M6" s="1133"/>
      <c r="N6" s="1133"/>
      <c r="O6" s="1133"/>
      <c r="P6" s="3217"/>
      <c r="Q6" s="3218"/>
      <c r="R6" s="3198"/>
      <c r="S6" s="3199"/>
      <c r="T6" s="3219"/>
      <c r="U6" s="3220"/>
      <c r="V6" s="3221"/>
      <c r="W6" s="3221"/>
      <c r="X6" s="1813"/>
      <c r="Y6" s="3219"/>
      <c r="Z6" s="3220"/>
      <c r="AA6" s="3193"/>
      <c r="AB6" s="3193"/>
      <c r="AC6" s="3193"/>
    </row>
    <row r="7" spans="1:29" s="117" customFormat="1" ht="15.75" thickBot="1">
      <c r="A7" s="408" t="s">
        <v>2553</v>
      </c>
      <c r="B7" s="409"/>
      <c r="C7" s="410">
        <f>'数据-取费表'!B2</f>
        <v>43296</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94" t="s">
        <v>2554</v>
      </c>
      <c r="Q7" s="3222"/>
      <c r="R7" s="769" t="s">
        <v>17</v>
      </c>
      <c r="S7" s="770">
        <f t="shared" ref="S7:S14" si="0">F7</f>
        <v>0</v>
      </c>
      <c r="T7" s="769" t="s">
        <v>17</v>
      </c>
      <c r="U7" s="770">
        <f t="shared" ref="U7:U14" si="1">H7</f>
        <v>0</v>
      </c>
      <c r="V7" s="769" t="s">
        <v>17</v>
      </c>
      <c r="W7" s="770">
        <f t="shared" ref="W7:W14" si="2">J7</f>
        <v>0</v>
      </c>
      <c r="X7" s="771"/>
      <c r="Y7" s="3194" t="s">
        <v>2554</v>
      </c>
      <c r="Z7" s="3195"/>
      <c r="AA7" s="772" t="e">
        <f>D7/F7</f>
        <v>#DIV/0!</v>
      </c>
      <c r="AB7" s="772" t="e">
        <f>D7/H7</f>
        <v>#DIV/0!</v>
      </c>
      <c r="AC7" s="772"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94" t="s">
        <v>2557</v>
      </c>
      <c r="Q8" s="3195"/>
      <c r="R8" s="769" t="s">
        <v>17</v>
      </c>
      <c r="S8" s="770">
        <f t="shared" si="0"/>
        <v>0</v>
      </c>
      <c r="T8" s="769" t="s">
        <v>17</v>
      </c>
      <c r="U8" s="770">
        <f t="shared" si="1"/>
        <v>0</v>
      </c>
      <c r="V8" s="769" t="s">
        <v>17</v>
      </c>
      <c r="W8" s="770">
        <f t="shared" si="2"/>
        <v>0</v>
      </c>
      <c r="X8" s="771"/>
      <c r="Y8" s="3194" t="s">
        <v>2557</v>
      </c>
      <c r="Z8" s="3195"/>
      <c r="AA8" s="772" t="e">
        <f t="shared" ref="AA8:AA36" si="3">D8/F8</f>
        <v>#DIV/0!</v>
      </c>
      <c r="AB8" s="772" t="e">
        <f t="shared" ref="AB8:AB36" si="4">D8/H8</f>
        <v>#DIV/0!</v>
      </c>
      <c r="AC8" s="772" t="e">
        <f t="shared" ref="AC8:AC36" si="5">D8/J8</f>
        <v>#DIV/0!</v>
      </c>
    </row>
    <row r="9" spans="1:29" s="117" customFormat="1">
      <c r="A9" s="68" t="s">
        <v>2558</v>
      </c>
      <c r="B9" s="639" t="s">
        <v>2559</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26" t="s">
        <v>2560</v>
      </c>
      <c r="Q9" s="1795" t="str">
        <f t="shared" ref="Q9:Q14" si="6">B9</f>
        <v>用途</v>
      </c>
      <c r="R9" s="769" t="s">
        <v>17</v>
      </c>
      <c r="S9" s="770">
        <f t="shared" si="0"/>
        <v>100</v>
      </c>
      <c r="T9" s="769" t="s">
        <v>17</v>
      </c>
      <c r="U9" s="770">
        <f t="shared" si="1"/>
        <v>100</v>
      </c>
      <c r="V9" s="769" t="s">
        <v>17</v>
      </c>
      <c r="W9" s="770">
        <f t="shared" si="2"/>
        <v>100</v>
      </c>
      <c r="X9" s="771"/>
      <c r="Y9" s="3047" t="s">
        <v>2561</v>
      </c>
      <c r="Z9" s="55" t="str">
        <f t="shared" ref="Z9:Z14" si="7">Q9</f>
        <v>用途</v>
      </c>
      <c r="AA9" s="772">
        <f t="shared" si="3"/>
        <v>1</v>
      </c>
      <c r="AB9" s="772">
        <f t="shared" si="4"/>
        <v>1</v>
      </c>
      <c r="AC9" s="772">
        <f t="shared" si="5"/>
        <v>1</v>
      </c>
    </row>
    <row r="10" spans="1:29" s="427" customFormat="1" ht="27">
      <c r="A10" s="640"/>
      <c r="B10" s="641" t="s">
        <v>2562</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26"/>
      <c r="Q10" s="1795"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26"/>
      <c r="Q11" s="1795">
        <f t="shared" si="6"/>
        <v>111</v>
      </c>
      <c r="R11" s="769" t="s">
        <v>17</v>
      </c>
      <c r="S11" s="770">
        <f t="shared" si="0"/>
        <v>100</v>
      </c>
      <c r="T11" s="769" t="s">
        <v>17</v>
      </c>
      <c r="U11" s="770">
        <f t="shared" si="1"/>
        <v>100</v>
      </c>
      <c r="V11" s="769" t="s">
        <v>17</v>
      </c>
      <c r="W11" s="770">
        <f t="shared" si="2"/>
        <v>100</v>
      </c>
      <c r="X11" s="771"/>
      <c r="Y11" s="3047"/>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26"/>
      <c r="Q12" s="1795">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26"/>
      <c r="Q13" s="1795">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85.5">
      <c r="A14" s="401" t="s">
        <v>2564</v>
      </c>
      <c r="B14" s="628" t="s">
        <v>2714</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28" t="s">
        <v>2565</v>
      </c>
      <c r="Q14" s="1810" t="str">
        <f t="shared" si="6"/>
        <v>交通便捷度</v>
      </c>
      <c r="R14" s="773" t="s">
        <v>17</v>
      </c>
      <c r="S14" s="774">
        <f t="shared" si="0"/>
        <v>100</v>
      </c>
      <c r="T14" s="773" t="s">
        <v>17</v>
      </c>
      <c r="U14" s="774">
        <f t="shared" si="1"/>
        <v>100</v>
      </c>
      <c r="V14" s="773" t="s">
        <v>17</v>
      </c>
      <c r="W14" s="774">
        <f t="shared" si="2"/>
        <v>100</v>
      </c>
      <c r="X14" s="1813"/>
      <c r="Y14" s="3228" t="s">
        <v>2565</v>
      </c>
      <c r="Z14" s="1814" t="str">
        <f t="shared" si="7"/>
        <v>交通便捷度</v>
      </c>
      <c r="AA14" s="1811">
        <f t="shared" si="3"/>
        <v>1</v>
      </c>
      <c r="AB14" s="1811">
        <f t="shared" si="4"/>
        <v>1</v>
      </c>
      <c r="AC14" s="1811">
        <f t="shared" si="5"/>
        <v>1</v>
      </c>
    </row>
    <row r="15" spans="1:29" ht="15">
      <c r="A15" s="404"/>
      <c r="B15" s="646"/>
      <c r="C15" s="447"/>
      <c r="D15" s="448"/>
      <c r="E15" s="447"/>
      <c r="F15" s="449"/>
      <c r="G15" s="447"/>
      <c r="H15" s="450"/>
      <c r="I15" s="447"/>
      <c r="J15" s="448"/>
      <c r="K15" s="615"/>
      <c r="L15" s="1142"/>
      <c r="M15" s="1133"/>
      <c r="N15" s="1133"/>
      <c r="O15" s="1133"/>
      <c r="P15" s="3229"/>
      <c r="Q15" s="1810"/>
      <c r="R15" s="773"/>
      <c r="S15" s="774"/>
      <c r="T15" s="773"/>
      <c r="U15" s="774"/>
      <c r="V15" s="773"/>
      <c r="W15" s="774"/>
      <c r="X15" s="1813"/>
      <c r="Y15" s="3229"/>
      <c r="Z15" s="1814"/>
      <c r="AA15" s="1811">
        <v>1</v>
      </c>
      <c r="AB15" s="1811">
        <v>1</v>
      </c>
      <c r="AC15" s="1811">
        <v>1</v>
      </c>
    </row>
    <row r="16" spans="1:29" ht="42.75">
      <c r="A16" s="404"/>
      <c r="B16" s="630" t="s">
        <v>2693</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29"/>
      <c r="Q16" s="1810" t="str">
        <f>B16</f>
        <v>公共配套设施</v>
      </c>
      <c r="R16" s="773" t="s">
        <v>17</v>
      </c>
      <c r="S16" s="774">
        <f>F16</f>
        <v>100</v>
      </c>
      <c r="T16" s="773" t="s">
        <v>17</v>
      </c>
      <c r="U16" s="774">
        <f>H16</f>
        <v>100</v>
      </c>
      <c r="V16" s="773" t="s">
        <v>17</v>
      </c>
      <c r="W16" s="774">
        <f>J16</f>
        <v>100</v>
      </c>
      <c r="X16" s="1813"/>
      <c r="Y16" s="3229"/>
      <c r="Z16" s="1814" t="str">
        <f>Q16</f>
        <v>公共配套设施</v>
      </c>
      <c r="AA16" s="1811">
        <f t="shared" si="3"/>
        <v>1</v>
      </c>
      <c r="AB16" s="1811">
        <f t="shared" si="4"/>
        <v>1</v>
      </c>
      <c r="AC16" s="1811">
        <f t="shared" si="5"/>
        <v>1</v>
      </c>
    </row>
    <row r="17" spans="1:29" ht="15">
      <c r="A17" s="404"/>
      <c r="B17" s="631"/>
      <c r="C17" s="2610"/>
      <c r="D17" s="448"/>
      <c r="E17" s="447"/>
      <c r="F17" s="449"/>
      <c r="G17" s="447"/>
      <c r="H17" s="448"/>
      <c r="I17" s="447"/>
      <c r="J17" s="448"/>
      <c r="K17" s="615"/>
      <c r="L17" s="1142"/>
      <c r="M17" s="1133"/>
      <c r="N17" s="1133"/>
      <c r="O17" s="1133"/>
      <c r="P17" s="3229"/>
      <c r="Q17" s="1810"/>
      <c r="R17" s="773"/>
      <c r="S17" s="774"/>
      <c r="T17" s="773"/>
      <c r="U17" s="774"/>
      <c r="V17" s="773"/>
      <c r="W17" s="774"/>
      <c r="X17" s="1813"/>
      <c r="Y17" s="3229"/>
      <c r="Z17" s="1814"/>
      <c r="AA17" s="1811">
        <v>1</v>
      </c>
      <c r="AB17" s="1811">
        <v>1</v>
      </c>
      <c r="AC17" s="1811">
        <v>1</v>
      </c>
    </row>
    <row r="18" spans="1:29" ht="28.5">
      <c r="A18" s="404"/>
      <c r="B18" s="632" t="s">
        <v>2694</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29"/>
      <c r="Q18" s="1810" t="str">
        <f>B18</f>
        <v>基础设施水平</v>
      </c>
      <c r="R18" s="773" t="s">
        <v>17</v>
      </c>
      <c r="S18" s="774">
        <f>F18</f>
        <v>100</v>
      </c>
      <c r="T18" s="773" t="s">
        <v>17</v>
      </c>
      <c r="U18" s="774">
        <f>H18</f>
        <v>100</v>
      </c>
      <c r="V18" s="773" t="s">
        <v>17</v>
      </c>
      <c r="W18" s="774">
        <f>J18</f>
        <v>100</v>
      </c>
      <c r="X18" s="1813"/>
      <c r="Y18" s="3229"/>
      <c r="Z18" s="1814" t="str">
        <f>Q18</f>
        <v>基础设施水平</v>
      </c>
      <c r="AA18" s="1811">
        <f t="shared" ref="AA18" si="8">D18/F18</f>
        <v>1</v>
      </c>
      <c r="AB18" s="1811">
        <f t="shared" ref="AB18" si="9">D18/H18</f>
        <v>1</v>
      </c>
      <c r="AC18" s="1811">
        <f t="shared" ref="AC18" si="10">D18/J18</f>
        <v>1</v>
      </c>
    </row>
    <row r="19" spans="1:29" ht="15">
      <c r="A19" s="404"/>
      <c r="B19" s="632"/>
      <c r="C19" s="2610"/>
      <c r="D19" s="450"/>
      <c r="E19" s="2610"/>
      <c r="F19" s="453"/>
      <c r="G19" s="2610"/>
      <c r="H19" s="448"/>
      <c r="I19" s="447"/>
      <c r="J19" s="448"/>
      <c r="K19" s="1385"/>
      <c r="L19" s="1142"/>
      <c r="M19" s="1133"/>
      <c r="N19" s="1133"/>
      <c r="O19" s="1133"/>
      <c r="P19" s="3229"/>
      <c r="Q19" s="1810"/>
      <c r="R19" s="773"/>
      <c r="S19" s="774"/>
      <c r="T19" s="773"/>
      <c r="U19" s="774"/>
      <c r="V19" s="773"/>
      <c r="W19" s="774"/>
      <c r="X19" s="1813"/>
      <c r="Y19" s="3229"/>
      <c r="Z19" s="1814"/>
      <c r="AA19" s="1811">
        <v>1</v>
      </c>
      <c r="AB19" s="1811">
        <v>1</v>
      </c>
      <c r="AC19" s="1811">
        <v>1</v>
      </c>
    </row>
    <row r="20" spans="1:29" ht="57">
      <c r="A20" s="404"/>
      <c r="B20" s="630" t="s">
        <v>2715</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29"/>
      <c r="Q20" s="1810" t="str">
        <f>B20</f>
        <v>自然及人文环境</v>
      </c>
      <c r="R20" s="773" t="s">
        <v>17</v>
      </c>
      <c r="S20" s="774">
        <f>F20</f>
        <v>100</v>
      </c>
      <c r="T20" s="773" t="s">
        <v>17</v>
      </c>
      <c r="U20" s="774">
        <f>H20</f>
        <v>100</v>
      </c>
      <c r="V20" s="773" t="s">
        <v>17</v>
      </c>
      <c r="W20" s="774">
        <f>J20</f>
        <v>100</v>
      </c>
      <c r="X20" s="1813"/>
      <c r="Y20" s="3229"/>
      <c r="Z20" s="1814" t="str">
        <f>Q20</f>
        <v>自然及人文环境</v>
      </c>
      <c r="AA20" s="1811">
        <f t="shared" si="3"/>
        <v>1</v>
      </c>
      <c r="AB20" s="1811">
        <f t="shared" si="4"/>
        <v>1</v>
      </c>
      <c r="AC20" s="1811">
        <f t="shared" si="5"/>
        <v>1</v>
      </c>
    </row>
    <row r="21" spans="1:29" ht="15">
      <c r="A21" s="404"/>
      <c r="B21" s="631"/>
      <c r="C21" s="447"/>
      <c r="D21" s="448"/>
      <c r="E21" s="447"/>
      <c r="F21" s="449"/>
      <c r="G21" s="447"/>
      <c r="H21" s="448"/>
      <c r="I21" s="447"/>
      <c r="J21" s="448"/>
      <c r="K21" s="615"/>
      <c r="L21" s="1142"/>
      <c r="M21" s="1133"/>
      <c r="N21" s="1133"/>
      <c r="O21" s="1133"/>
      <c r="P21" s="3229"/>
      <c r="Q21" s="1810"/>
      <c r="R21" s="773"/>
      <c r="S21" s="774"/>
      <c r="T21" s="773"/>
      <c r="U21" s="774"/>
      <c r="V21" s="773"/>
      <c r="W21" s="774"/>
      <c r="X21" s="1813"/>
      <c r="Y21" s="3229"/>
      <c r="Z21" s="1814"/>
      <c r="AA21" s="1811">
        <v>1</v>
      </c>
      <c r="AB21" s="1811">
        <v>1</v>
      </c>
      <c r="AC21" s="1811">
        <v>1</v>
      </c>
    </row>
    <row r="22" spans="1:29" ht="15">
      <c r="A22" s="404"/>
      <c r="B22" s="630" t="s">
        <v>2716</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29"/>
      <c r="Q22" s="1810" t="str">
        <f>B22</f>
        <v>楼层</v>
      </c>
      <c r="R22" s="773" t="s">
        <v>17</v>
      </c>
      <c r="S22" s="774">
        <f>F22</f>
        <v>100</v>
      </c>
      <c r="T22" s="773" t="s">
        <v>17</v>
      </c>
      <c r="U22" s="774">
        <f>H22</f>
        <v>100</v>
      </c>
      <c r="V22" s="773" t="s">
        <v>17</v>
      </c>
      <c r="W22" s="774">
        <f>J22</f>
        <v>100</v>
      </c>
      <c r="X22" s="1813"/>
      <c r="Y22" s="3229"/>
      <c r="Z22" s="1814" t="str">
        <f>Q22</f>
        <v>楼层</v>
      </c>
      <c r="AA22" s="1811">
        <f t="shared" si="3"/>
        <v>1</v>
      </c>
      <c r="AB22" s="1811">
        <f t="shared" si="4"/>
        <v>1</v>
      </c>
      <c r="AC22" s="1811">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29"/>
      <c r="Q23" s="1810">
        <f>B23</f>
        <v>111</v>
      </c>
      <c r="R23" s="773" t="s">
        <v>17</v>
      </c>
      <c r="S23" s="774">
        <f>F23</f>
        <v>100</v>
      </c>
      <c r="T23" s="773" t="s">
        <v>17</v>
      </c>
      <c r="U23" s="774">
        <f>H23</f>
        <v>100</v>
      </c>
      <c r="V23" s="773" t="s">
        <v>17</v>
      </c>
      <c r="W23" s="774">
        <f>J23</f>
        <v>100</v>
      </c>
      <c r="X23" s="1813"/>
      <c r="Y23" s="3229"/>
      <c r="Z23" s="1814">
        <f>Q23</f>
        <v>111</v>
      </c>
      <c r="AA23" s="1811">
        <f t="shared" si="3"/>
        <v>1</v>
      </c>
      <c r="AB23" s="1811">
        <f t="shared" si="4"/>
        <v>1</v>
      </c>
      <c r="AC23" s="1811">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29"/>
      <c r="Q24" s="1810">
        <f t="shared" ref="Q24:Q36" si="11">B24</f>
        <v>111</v>
      </c>
      <c r="R24" s="773" t="s">
        <v>17</v>
      </c>
      <c r="S24" s="774">
        <f>F24</f>
        <v>100</v>
      </c>
      <c r="T24" s="773" t="s">
        <v>17</v>
      </c>
      <c r="U24" s="774">
        <f>H24</f>
        <v>100</v>
      </c>
      <c r="V24" s="773" t="s">
        <v>17</v>
      </c>
      <c r="W24" s="774">
        <f>J24</f>
        <v>100</v>
      </c>
      <c r="X24" s="1813"/>
      <c r="Y24" s="3229"/>
      <c r="Z24" s="1814">
        <f>Q24</f>
        <v>111</v>
      </c>
      <c r="AA24" s="1811">
        <f t="shared" si="3"/>
        <v>1</v>
      </c>
      <c r="AB24" s="1811">
        <f t="shared" si="4"/>
        <v>1</v>
      </c>
      <c r="AC24" s="1811">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229"/>
      <c r="Q25" s="1795">
        <f t="shared" si="11"/>
        <v>111</v>
      </c>
      <c r="R25" s="769" t="s">
        <v>17</v>
      </c>
      <c r="S25" s="770">
        <f>F25</f>
        <v>100</v>
      </c>
      <c r="T25" s="769" t="s">
        <v>17</v>
      </c>
      <c r="U25" s="770">
        <f>H25</f>
        <v>100</v>
      </c>
      <c r="V25" s="769" t="s">
        <v>17</v>
      </c>
      <c r="W25" s="770">
        <f>J25</f>
        <v>100</v>
      </c>
      <c r="X25" s="771"/>
      <c r="Y25" s="3229"/>
      <c r="Z25" s="55">
        <f>Q25</f>
        <v>111</v>
      </c>
      <c r="AA25" s="1811">
        <f>D25/F25</f>
        <v>1</v>
      </c>
      <c r="AB25" s="1811">
        <f>D25/H25</f>
        <v>1</v>
      </c>
      <c r="AC25" s="1811">
        <f>D25/J25</f>
        <v>1</v>
      </c>
    </row>
    <row r="26" spans="1:29" ht="15">
      <c r="A26" s="651" t="s">
        <v>2568</v>
      </c>
      <c r="B26" s="70" t="s">
        <v>2717</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54" t="s">
        <v>2570</v>
      </c>
      <c r="Q26" s="1810" t="str">
        <f t="shared" si="11"/>
        <v>配套类型</v>
      </c>
      <c r="R26" s="773" t="s">
        <v>17</v>
      </c>
      <c r="S26" s="774">
        <f t="shared" ref="S26:S36" si="12">F26</f>
        <v>100</v>
      </c>
      <c r="T26" s="773" t="s">
        <v>17</v>
      </c>
      <c r="U26" s="774">
        <f t="shared" ref="U26:U36" si="13">H26</f>
        <v>100</v>
      </c>
      <c r="V26" s="773" t="s">
        <v>17</v>
      </c>
      <c r="W26" s="774">
        <f t="shared" ref="W26:W36" si="14">J26</f>
        <v>100</v>
      </c>
      <c r="X26" s="1813"/>
      <c r="Y26" s="3233" t="s">
        <v>2570</v>
      </c>
      <c r="Z26" s="1814" t="str">
        <f t="shared" ref="Z26:Z36" si="15">Q26</f>
        <v>配套类型</v>
      </c>
      <c r="AA26" s="1811">
        <f t="shared" si="3"/>
        <v>1</v>
      </c>
      <c r="AB26" s="1811">
        <f t="shared" si="4"/>
        <v>1</v>
      </c>
      <c r="AC26" s="1811">
        <f t="shared" si="5"/>
        <v>1</v>
      </c>
    </row>
    <row r="27" spans="1:29" s="471" customFormat="1" ht="15">
      <c r="A27" s="652"/>
      <c r="B27" s="653" t="s">
        <v>2718</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233"/>
      <c r="Q27" s="775" t="str">
        <f t="shared" si="11"/>
        <v>项目停车位配比</v>
      </c>
      <c r="R27" s="776" t="s">
        <v>17</v>
      </c>
      <c r="S27" s="777">
        <f t="shared" si="12"/>
        <v>100</v>
      </c>
      <c r="T27" s="776" t="s">
        <v>17</v>
      </c>
      <c r="U27" s="777">
        <f t="shared" si="13"/>
        <v>100</v>
      </c>
      <c r="V27" s="776" t="s">
        <v>17</v>
      </c>
      <c r="W27" s="777">
        <f t="shared" si="14"/>
        <v>100</v>
      </c>
      <c r="X27" s="778"/>
      <c r="Y27" s="3233"/>
      <c r="Z27" s="779" t="str">
        <f t="shared" si="15"/>
        <v>项目停车位配比</v>
      </c>
      <c r="AA27" s="1811">
        <f t="shared" si="3"/>
        <v>1</v>
      </c>
      <c r="AB27" s="1811">
        <f t="shared" si="4"/>
        <v>1</v>
      </c>
      <c r="AC27" s="1811">
        <f t="shared" si="5"/>
        <v>1</v>
      </c>
    </row>
    <row r="28" spans="1:29" ht="15">
      <c r="A28" s="655"/>
      <c r="B28" s="653" t="s">
        <v>2719</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33"/>
      <c r="Q28" s="1810" t="str">
        <f t="shared" si="11"/>
        <v>公共部分装修</v>
      </c>
      <c r="R28" s="773" t="s">
        <v>17</v>
      </c>
      <c r="S28" s="774">
        <f t="shared" si="12"/>
        <v>100</v>
      </c>
      <c r="T28" s="773" t="s">
        <v>17</v>
      </c>
      <c r="U28" s="774">
        <f t="shared" si="13"/>
        <v>100</v>
      </c>
      <c r="V28" s="773" t="s">
        <v>17</v>
      </c>
      <c r="W28" s="774">
        <f t="shared" si="14"/>
        <v>100</v>
      </c>
      <c r="X28" s="1813"/>
      <c r="Y28" s="3233"/>
      <c r="Z28" s="1814" t="str">
        <f t="shared" si="15"/>
        <v>公共部分装修</v>
      </c>
      <c r="AA28" s="1811">
        <f t="shared" si="3"/>
        <v>1</v>
      </c>
      <c r="AB28" s="1811">
        <f t="shared" si="4"/>
        <v>1</v>
      </c>
      <c r="AC28" s="1811">
        <f t="shared" si="5"/>
        <v>1</v>
      </c>
    </row>
    <row r="29" spans="1:29" ht="15">
      <c r="A29" s="655"/>
      <c r="B29" s="653"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33"/>
      <c r="Q29" s="1810" t="str">
        <f t="shared" si="11"/>
        <v>成新率</v>
      </c>
      <c r="R29" s="773" t="s">
        <v>17</v>
      </c>
      <c r="S29" s="774" t="e">
        <f t="shared" si="12"/>
        <v>#N/A</v>
      </c>
      <c r="T29" s="773" t="s">
        <v>17</v>
      </c>
      <c r="U29" s="774" t="e">
        <f t="shared" si="13"/>
        <v>#N/A</v>
      </c>
      <c r="V29" s="773" t="s">
        <v>17</v>
      </c>
      <c r="W29" s="774" t="e">
        <f t="shared" si="14"/>
        <v>#N/A</v>
      </c>
      <c r="X29" s="1813"/>
      <c r="Y29" s="3233"/>
      <c r="Z29" s="1814" t="str">
        <f t="shared" si="15"/>
        <v>成新率</v>
      </c>
      <c r="AA29" s="1811" t="e">
        <f t="shared" si="3"/>
        <v>#N/A</v>
      </c>
      <c r="AB29" s="1811" t="e">
        <f t="shared" si="4"/>
        <v>#N/A</v>
      </c>
      <c r="AC29" s="1811" t="e">
        <f t="shared" si="5"/>
        <v>#N/A</v>
      </c>
    </row>
    <row r="30" spans="1:29" ht="15">
      <c r="A30" s="655"/>
      <c r="B30" s="653" t="s">
        <v>2721</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233"/>
      <c r="Q30" s="1810" t="str">
        <f t="shared" si="11"/>
        <v>物业等级</v>
      </c>
      <c r="R30" s="773" t="s">
        <v>17</v>
      </c>
      <c r="S30" s="774">
        <f t="shared" si="12"/>
        <v>100</v>
      </c>
      <c r="T30" s="773" t="s">
        <v>17</v>
      </c>
      <c r="U30" s="774">
        <f t="shared" si="13"/>
        <v>100</v>
      </c>
      <c r="V30" s="773" t="s">
        <v>17</v>
      </c>
      <c r="W30" s="774">
        <f t="shared" si="14"/>
        <v>100</v>
      </c>
      <c r="X30" s="1813"/>
      <c r="Y30" s="3233"/>
      <c r="Z30" s="1814" t="str">
        <f t="shared" si="15"/>
        <v>物业等级</v>
      </c>
      <c r="AA30" s="1811">
        <f t="shared" si="3"/>
        <v>1</v>
      </c>
      <c r="AB30" s="1811">
        <f t="shared" si="4"/>
        <v>1</v>
      </c>
      <c r="AC30" s="1811">
        <f t="shared" si="5"/>
        <v>1</v>
      </c>
    </row>
    <row r="31" spans="1:29" s="117" customFormat="1" ht="15">
      <c r="A31" s="657"/>
      <c r="B31" s="653"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33"/>
      <c r="Q31" s="1795" t="str">
        <f t="shared" si="11"/>
        <v>停车位面积</v>
      </c>
      <c r="R31" s="769" t="s">
        <v>17</v>
      </c>
      <c r="S31" s="770" t="e">
        <f t="shared" si="12"/>
        <v>#N/A</v>
      </c>
      <c r="T31" s="769" t="s">
        <v>17</v>
      </c>
      <c r="U31" s="770" t="e">
        <f t="shared" si="13"/>
        <v>#N/A</v>
      </c>
      <c r="V31" s="769" t="s">
        <v>17</v>
      </c>
      <c r="W31" s="770" t="e">
        <f t="shared" si="14"/>
        <v>#N/A</v>
      </c>
      <c r="X31" s="771"/>
      <c r="Y31" s="3233"/>
      <c r="Z31" s="55" t="str">
        <f t="shared" si="15"/>
        <v>停车位面积</v>
      </c>
      <c r="AA31" s="772" t="e">
        <f t="shared" si="3"/>
        <v>#N/A</v>
      </c>
      <c r="AB31" s="772" t="e">
        <f t="shared" si="4"/>
        <v>#N/A</v>
      </c>
      <c r="AC31" s="772" t="e">
        <f t="shared" si="5"/>
        <v>#N/A</v>
      </c>
    </row>
    <row r="32" spans="1:29" ht="15">
      <c r="A32" s="655"/>
      <c r="B32" s="653" t="s">
        <v>2723</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33" t="s">
        <v>2570</v>
      </c>
      <c r="Q32" s="1810" t="str">
        <f t="shared" si="11"/>
        <v>车位类型</v>
      </c>
      <c r="R32" s="773" t="s">
        <v>17</v>
      </c>
      <c r="S32" s="774">
        <f t="shared" si="12"/>
        <v>100</v>
      </c>
      <c r="T32" s="773" t="s">
        <v>17</v>
      </c>
      <c r="U32" s="774">
        <f t="shared" si="13"/>
        <v>100</v>
      </c>
      <c r="V32" s="773" t="s">
        <v>17</v>
      </c>
      <c r="W32" s="774">
        <f t="shared" si="14"/>
        <v>100</v>
      </c>
      <c r="X32" s="1813"/>
      <c r="Y32" s="3233" t="s">
        <v>2570</v>
      </c>
      <c r="Z32" s="1814" t="str">
        <f t="shared" si="15"/>
        <v>车位类型</v>
      </c>
      <c r="AA32" s="1811">
        <f t="shared" si="3"/>
        <v>1</v>
      </c>
      <c r="AB32" s="1811">
        <f t="shared" si="4"/>
        <v>1</v>
      </c>
      <c r="AC32" s="1811">
        <f t="shared" si="5"/>
        <v>1</v>
      </c>
    </row>
    <row r="33" spans="1:29" ht="15">
      <c r="A33" s="655"/>
      <c r="B33" s="653" t="s">
        <v>2724</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33"/>
      <c r="Q33" s="1810" t="str">
        <f t="shared" si="11"/>
        <v>是否直接入户</v>
      </c>
      <c r="R33" s="773" t="s">
        <v>17</v>
      </c>
      <c r="S33" s="774">
        <f t="shared" si="12"/>
        <v>100</v>
      </c>
      <c r="T33" s="773" t="s">
        <v>17</v>
      </c>
      <c r="U33" s="774">
        <f t="shared" si="13"/>
        <v>100</v>
      </c>
      <c r="V33" s="773" t="s">
        <v>17</v>
      </c>
      <c r="W33" s="774">
        <f t="shared" si="14"/>
        <v>100</v>
      </c>
      <c r="X33" s="1813"/>
      <c r="Y33" s="3233"/>
      <c r="Z33" s="1814" t="str">
        <f t="shared" si="15"/>
        <v>是否直接入户</v>
      </c>
      <c r="AA33" s="1811">
        <f t="shared" si="3"/>
        <v>1</v>
      </c>
      <c r="AB33" s="1811">
        <f t="shared" si="4"/>
        <v>1</v>
      </c>
      <c r="AC33" s="1811">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33"/>
      <c r="Q34" s="1810">
        <f t="shared" si="11"/>
        <v>111</v>
      </c>
      <c r="R34" s="773" t="s">
        <v>17</v>
      </c>
      <c r="S34" s="774">
        <f t="shared" si="12"/>
        <v>100</v>
      </c>
      <c r="T34" s="773" t="s">
        <v>17</v>
      </c>
      <c r="U34" s="774">
        <f t="shared" si="13"/>
        <v>100</v>
      </c>
      <c r="V34" s="773" t="s">
        <v>17</v>
      </c>
      <c r="W34" s="774">
        <f t="shared" si="14"/>
        <v>100</v>
      </c>
      <c r="X34" s="1813"/>
      <c r="Y34" s="3233"/>
      <c r="Z34" s="1814">
        <f t="shared" si="15"/>
        <v>111</v>
      </c>
      <c r="AA34" s="1811">
        <f t="shared" si="3"/>
        <v>1</v>
      </c>
      <c r="AB34" s="1811">
        <f t="shared" si="4"/>
        <v>1</v>
      </c>
      <c r="AC34" s="1811">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33"/>
      <c r="Q35" s="775">
        <f t="shared" si="11"/>
        <v>111</v>
      </c>
      <c r="R35" s="776" t="s">
        <v>17</v>
      </c>
      <c r="S35" s="777">
        <f t="shared" si="12"/>
        <v>100</v>
      </c>
      <c r="T35" s="776" t="s">
        <v>17</v>
      </c>
      <c r="U35" s="777">
        <f t="shared" si="13"/>
        <v>100</v>
      </c>
      <c r="V35" s="776" t="s">
        <v>17</v>
      </c>
      <c r="W35" s="777">
        <f t="shared" si="14"/>
        <v>100</v>
      </c>
      <c r="X35" s="778"/>
      <c r="Y35" s="3233"/>
      <c r="Z35" s="779">
        <f t="shared" si="15"/>
        <v>111</v>
      </c>
      <c r="AA35" s="1811">
        <f t="shared" si="3"/>
        <v>1</v>
      </c>
      <c r="AB35" s="1811">
        <f t="shared" si="4"/>
        <v>1</v>
      </c>
      <c r="AC35" s="1811">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33"/>
      <c r="Q36" s="1810">
        <f t="shared" si="11"/>
        <v>111</v>
      </c>
      <c r="R36" s="773" t="s">
        <v>17</v>
      </c>
      <c r="S36" s="774">
        <f t="shared" si="12"/>
        <v>100</v>
      </c>
      <c r="T36" s="773" t="s">
        <v>17</v>
      </c>
      <c r="U36" s="774">
        <f t="shared" si="13"/>
        <v>100</v>
      </c>
      <c r="V36" s="773" t="s">
        <v>17</v>
      </c>
      <c r="W36" s="774">
        <f t="shared" si="14"/>
        <v>100</v>
      </c>
      <c r="X36" s="1813"/>
      <c r="Y36" s="3233"/>
      <c r="Z36" s="1814">
        <f t="shared" si="15"/>
        <v>111</v>
      </c>
      <c r="AA36" s="1811">
        <f t="shared" si="3"/>
        <v>1</v>
      </c>
      <c r="AB36" s="1811">
        <f t="shared" si="4"/>
        <v>1</v>
      </c>
      <c r="AC36" s="1811">
        <f t="shared" si="5"/>
        <v>1</v>
      </c>
    </row>
    <row r="37" spans="1:29" ht="15">
      <c r="A37" s="479" t="s">
        <v>2725</v>
      </c>
      <c r="B37" s="2697" t="s">
        <v>2726</v>
      </c>
      <c r="C37" s="1409" t="s">
        <v>1</v>
      </c>
      <c r="D37" s="1410"/>
      <c r="E37" s="1411"/>
      <c r="F37" s="1412"/>
      <c r="G37" s="1413"/>
      <c r="H37" s="1414"/>
      <c r="I37" s="1411"/>
      <c r="J37" s="1414"/>
      <c r="K37" s="618"/>
      <c r="L37" s="1145"/>
      <c r="M37" s="1146"/>
      <c r="N37" s="1133"/>
      <c r="O37" s="1146"/>
      <c r="P37" s="3226" t="str">
        <f>A37</f>
        <v>成交单价</v>
      </c>
      <c r="Q37" s="3226"/>
      <c r="R37" s="3227">
        <f>E37</f>
        <v>0</v>
      </c>
      <c r="S37" s="3227"/>
      <c r="T37" s="3227">
        <f>G37</f>
        <v>0</v>
      </c>
      <c r="U37" s="3227"/>
      <c r="V37" s="3227">
        <f>I37</f>
        <v>0</v>
      </c>
      <c r="W37" s="3227"/>
      <c r="X37" s="758"/>
      <c r="Y37" s="780"/>
      <c r="Z37" s="758"/>
      <c r="AA37" s="758"/>
      <c r="AB37" s="758"/>
      <c r="AC37" s="758"/>
    </row>
    <row r="38" spans="1:29" ht="15.75" thickBot="1">
      <c r="A38" s="486" t="s">
        <v>2727</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226" t="str">
        <f>A38</f>
        <v>比较价值（元/平方米）</v>
      </c>
      <c r="Q38" s="3226"/>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8"/>
      <c r="Y38" s="758"/>
      <c r="Z38" s="758"/>
      <c r="AA38" s="758"/>
      <c r="AB38" s="758"/>
      <c r="AC38" s="758"/>
    </row>
    <row r="39" spans="1:29" ht="15.75" thickBot="1">
      <c r="A39" s="492" t="s">
        <v>2728</v>
      </c>
      <c r="B39" s="493"/>
      <c r="C39" s="1419" t="e">
        <f>R39</f>
        <v>#DIV/0!</v>
      </c>
      <c r="D39" s="1419"/>
      <c r="E39" s="1419"/>
      <c r="F39" s="1419"/>
      <c r="G39" s="1419"/>
      <c r="H39" s="1419"/>
      <c r="I39" s="1419"/>
      <c r="J39" s="1419"/>
      <c r="K39" s="620"/>
      <c r="L39" s="1145"/>
      <c r="M39" s="1146"/>
      <c r="N39" s="1146"/>
      <c r="O39" s="1146"/>
      <c r="P39" s="3223" t="str">
        <f>A39</f>
        <v>估价对象XX用房的比较价值（楼面单价，元/平方米）</v>
      </c>
      <c r="Q39" s="3224"/>
      <c r="R39" s="3225" t="e">
        <f>IF(F1="售价",ROUND(AVERAGE(R38:V38),0),ROUND(AVERAGE(R38:V38),1))</f>
        <v>#DIV/0!</v>
      </c>
      <c r="S39" s="3225"/>
      <c r="T39" s="3225"/>
      <c r="U39" s="3225"/>
      <c r="V39" s="3225"/>
      <c r="W39" s="322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2732</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2733</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2590</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2555</v>
      </c>
      <c r="B51" s="510"/>
      <c r="C51" s="522" t="s">
        <v>2657</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2593</v>
      </c>
      <c r="B53" s="528" t="s">
        <v>2559</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2608</v>
      </c>
      <c r="C65" s="578" t="s">
        <v>2602</v>
      </c>
      <c r="D65" s="578" t="s">
        <v>2603</v>
      </c>
      <c r="E65" s="578" t="s">
        <v>2604</v>
      </c>
      <c r="F65" s="578" t="s">
        <v>2605</v>
      </c>
      <c r="G65" s="578" t="s">
        <v>2606</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2694</v>
      </c>
      <c r="C67" s="659" t="s">
        <v>2680</v>
      </c>
      <c r="D67" s="659" t="s">
        <v>2681</v>
      </c>
      <c r="E67" s="659" t="s">
        <v>2682</v>
      </c>
      <c r="F67" s="659" t="s">
        <v>2683</v>
      </c>
      <c r="G67" s="659" t="s">
        <v>2684</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2614</v>
      </c>
      <c r="C69" s="578" t="s">
        <v>2602</v>
      </c>
      <c r="D69" s="578" t="s">
        <v>2603</v>
      </c>
      <c r="E69" s="578" t="s">
        <v>2604</v>
      </c>
      <c r="F69" s="578" t="s">
        <v>2605</v>
      </c>
      <c r="G69" s="578" t="s">
        <v>2606</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2734</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2568</v>
      </c>
      <c r="B79" s="528" t="s">
        <v>2735</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2736</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2621</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2738</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2740</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2741</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2712</v>
      </c>
      <c r="B1" s="1621"/>
      <c r="C1" s="1622" t="s">
        <v>2535</v>
      </c>
      <c r="D1" s="1623"/>
      <c r="E1" s="1632"/>
      <c r="F1" s="2586"/>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t="e">
        <f ca="1">IF(C2="——",ROUND(C37*D3/10000,0),ROUND(C37*D3/10000,0)-D2)</f>
        <v>#DIV/0!</v>
      </c>
      <c r="C2" s="2588"/>
      <c r="D2" s="1126" t="e">
        <f ca="1">SUMIF(INDIRECT("'"&amp;F2&amp;"'"&amp;"!A:A"),"承租人权益价值",INDIRECT("'"&amp;F2&amp;"'"&amp;"!c:c"))</f>
        <v>#REF!</v>
      </c>
      <c r="E2" s="2589" t="s">
        <v>2333</v>
      </c>
      <c r="F2" s="2590"/>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2334</v>
      </c>
      <c r="B3" s="609" t="e">
        <f ca="1">IF(C2="——",C37,ROUND(B2*10000/D3,0))</f>
        <v>#DIV/0!</v>
      </c>
      <c r="C3" s="400" t="s">
        <v>2649</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2650</v>
      </c>
      <c r="B4" s="402"/>
      <c r="C4" s="3209" t="s">
        <v>2651</v>
      </c>
      <c r="D4" s="3210"/>
      <c r="E4" s="3211" t="s">
        <v>2652</v>
      </c>
      <c r="F4" s="3212"/>
      <c r="G4" s="3209" t="s">
        <v>2653</v>
      </c>
      <c r="H4" s="3210"/>
      <c r="I4" s="3209" t="s">
        <v>2654</v>
      </c>
      <c r="J4" s="3210"/>
      <c r="K4" s="610" t="s">
        <v>2655</v>
      </c>
      <c r="L4" s="1132"/>
      <c r="M4" s="1133"/>
      <c r="N4" s="1133"/>
      <c r="O4" s="1133"/>
      <c r="P4" s="3213" t="s">
        <v>2656</v>
      </c>
      <c r="Q4" s="3214"/>
      <c r="R4" s="3196" t="s">
        <v>2652</v>
      </c>
      <c r="S4" s="3197"/>
      <c r="T4" s="3196" t="s">
        <v>2653</v>
      </c>
      <c r="U4" s="3197"/>
      <c r="V4" s="3221" t="s">
        <v>2654</v>
      </c>
      <c r="W4" s="3221"/>
      <c r="X4" s="1813"/>
      <c r="Y4" s="3196" t="s">
        <v>2656</v>
      </c>
      <c r="Z4" s="3197"/>
      <c r="AA4" s="3191" t="s">
        <v>2652</v>
      </c>
      <c r="AB4" s="3192" t="s">
        <v>2653</v>
      </c>
      <c r="AC4" s="3191" t="s">
        <v>2654</v>
      </c>
    </row>
    <row r="5" spans="1:29" ht="15">
      <c r="A5" s="404"/>
      <c r="B5" s="405"/>
      <c r="C5" s="3202" t="s">
        <v>2547</v>
      </c>
      <c r="D5" s="3203"/>
      <c r="E5" s="3200" t="s">
        <v>2548</v>
      </c>
      <c r="F5" s="3201"/>
      <c r="G5" s="3202" t="s">
        <v>2549</v>
      </c>
      <c r="H5" s="3203"/>
      <c r="I5" s="3202" t="s">
        <v>2550</v>
      </c>
      <c r="J5" s="3203"/>
      <c r="K5" s="610"/>
      <c r="L5" s="1132"/>
      <c r="M5" s="1133"/>
      <c r="N5" s="1133"/>
      <c r="O5" s="1133"/>
      <c r="P5" s="3215"/>
      <c r="Q5" s="3216"/>
      <c r="R5" s="3198"/>
      <c r="S5" s="3199"/>
      <c r="T5" s="3198"/>
      <c r="U5" s="3199"/>
      <c r="V5" s="3221"/>
      <c r="W5" s="3221"/>
      <c r="X5" s="1813"/>
      <c r="Y5" s="3198"/>
      <c r="Z5" s="3199"/>
      <c r="AA5" s="3192"/>
      <c r="AB5" s="3192"/>
      <c r="AC5" s="3192"/>
    </row>
    <row r="6" spans="1:29" ht="15.75" thickBot="1">
      <c r="A6" s="406"/>
      <c r="B6" s="407"/>
      <c r="C6" s="3204" t="s">
        <v>2551</v>
      </c>
      <c r="D6" s="3205"/>
      <c r="E6" s="3206" t="s">
        <v>2551</v>
      </c>
      <c r="F6" s="3207"/>
      <c r="G6" s="3204" t="s">
        <v>2551</v>
      </c>
      <c r="H6" s="3205"/>
      <c r="I6" s="3204" t="s">
        <v>2551</v>
      </c>
      <c r="J6" s="3205"/>
      <c r="K6" s="610" t="s">
        <v>2552</v>
      </c>
      <c r="L6" s="1132"/>
      <c r="M6" s="1133"/>
      <c r="N6" s="1133"/>
      <c r="O6" s="1133"/>
      <c r="P6" s="3217"/>
      <c r="Q6" s="3218"/>
      <c r="R6" s="3198"/>
      <c r="S6" s="3199"/>
      <c r="T6" s="3219"/>
      <c r="U6" s="3220"/>
      <c r="V6" s="3221"/>
      <c r="W6" s="3221"/>
      <c r="X6" s="1813"/>
      <c r="Y6" s="3219"/>
      <c r="Z6" s="3220"/>
      <c r="AA6" s="3193"/>
      <c r="AB6" s="3193"/>
      <c r="AC6" s="3193"/>
    </row>
    <row r="7" spans="1:29" s="117" customFormat="1" ht="15.75" thickBot="1">
      <c r="A7" s="408" t="s">
        <v>2553</v>
      </c>
      <c r="B7" s="409"/>
      <c r="C7" s="410">
        <f>'数据-取费表'!B2</f>
        <v>43296</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194" t="s">
        <v>2554</v>
      </c>
      <c r="Q7" s="3222"/>
      <c r="R7" s="769" t="s">
        <v>17</v>
      </c>
      <c r="S7" s="770">
        <f t="shared" ref="S7:S14" si="0">F7</f>
        <v>0</v>
      </c>
      <c r="T7" s="769" t="s">
        <v>17</v>
      </c>
      <c r="U7" s="770">
        <f t="shared" ref="U7:U14" si="1">H7</f>
        <v>0</v>
      </c>
      <c r="V7" s="769" t="s">
        <v>17</v>
      </c>
      <c r="W7" s="770">
        <f t="shared" ref="W7:W14" si="2">J7</f>
        <v>0</v>
      </c>
      <c r="X7" s="771"/>
      <c r="Y7" s="3194" t="s">
        <v>2554</v>
      </c>
      <c r="Z7" s="3195"/>
      <c r="AA7" s="772" t="e">
        <f>D7/F7</f>
        <v>#DIV/0!</v>
      </c>
      <c r="AB7" s="772" t="e">
        <f>D7/H7</f>
        <v>#DIV/0!</v>
      </c>
      <c r="AC7" s="772"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94" t="s">
        <v>2557</v>
      </c>
      <c r="Q8" s="3195"/>
      <c r="R8" s="769" t="s">
        <v>17</v>
      </c>
      <c r="S8" s="770">
        <f t="shared" si="0"/>
        <v>0</v>
      </c>
      <c r="T8" s="769" t="s">
        <v>17</v>
      </c>
      <c r="U8" s="770">
        <f t="shared" si="1"/>
        <v>0</v>
      </c>
      <c r="V8" s="769" t="s">
        <v>17</v>
      </c>
      <c r="W8" s="770">
        <f t="shared" si="2"/>
        <v>0</v>
      </c>
      <c r="X8" s="771"/>
      <c r="Y8" s="3194" t="s">
        <v>2557</v>
      </c>
      <c r="Z8" s="3195"/>
      <c r="AA8" s="772" t="e">
        <f t="shared" ref="AA8:AA34" si="3">D8/F8</f>
        <v>#DIV/0!</v>
      </c>
      <c r="AB8" s="772" t="e">
        <f t="shared" ref="AB8:AB34" si="4">D8/H8</f>
        <v>#DIV/0!</v>
      </c>
      <c r="AC8" s="772"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26" t="s">
        <v>2560</v>
      </c>
      <c r="Q9" s="1795" t="str">
        <f t="shared" ref="Q9:Q14" si="6">B9</f>
        <v>用途</v>
      </c>
      <c r="R9" s="769" t="s">
        <v>17</v>
      </c>
      <c r="S9" s="770">
        <f t="shared" si="0"/>
        <v>100</v>
      </c>
      <c r="T9" s="769" t="s">
        <v>17</v>
      </c>
      <c r="U9" s="770">
        <f t="shared" si="1"/>
        <v>100</v>
      </c>
      <c r="V9" s="769" t="s">
        <v>17</v>
      </c>
      <c r="W9" s="770">
        <f t="shared" si="2"/>
        <v>100</v>
      </c>
      <c r="X9" s="771"/>
      <c r="Y9" s="3047" t="s">
        <v>2561</v>
      </c>
      <c r="Z9" s="55" t="str">
        <f t="shared" ref="Z9:Z14" si="7">Q9</f>
        <v>用途</v>
      </c>
      <c r="AA9" s="772">
        <f t="shared" si="3"/>
        <v>1</v>
      </c>
      <c r="AB9" s="772">
        <f t="shared" si="4"/>
        <v>1</v>
      </c>
      <c r="AC9" s="772">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26"/>
      <c r="Q10" s="1795"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772">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26"/>
      <c r="Q11" s="1795">
        <f t="shared" si="6"/>
        <v>111</v>
      </c>
      <c r="R11" s="769" t="s">
        <v>17</v>
      </c>
      <c r="S11" s="770">
        <f t="shared" si="0"/>
        <v>100</v>
      </c>
      <c r="T11" s="769" t="s">
        <v>17</v>
      </c>
      <c r="U11" s="770">
        <f t="shared" si="1"/>
        <v>100</v>
      </c>
      <c r="V11" s="769" t="s">
        <v>17</v>
      </c>
      <c r="W11" s="770">
        <f t="shared" si="2"/>
        <v>100</v>
      </c>
      <c r="X11" s="771"/>
      <c r="Y11" s="3047"/>
      <c r="Z11" s="55">
        <f t="shared" si="7"/>
        <v>111</v>
      </c>
      <c r="AA11" s="772">
        <f t="shared" si="3"/>
        <v>1</v>
      </c>
      <c r="AB11" s="772">
        <f t="shared" si="4"/>
        <v>1</v>
      </c>
      <c r="AC11" s="772">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26"/>
      <c r="Q12" s="1795">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226"/>
      <c r="Q13" s="1795">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85.5">
      <c r="A14" s="440" t="s">
        <v>2564</v>
      </c>
      <c r="B14" s="69" t="s">
        <v>2714</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28" t="s">
        <v>2565</v>
      </c>
      <c r="Q14" s="1810" t="str">
        <f t="shared" si="6"/>
        <v>交通便捷度</v>
      </c>
      <c r="R14" s="773" t="s">
        <v>17</v>
      </c>
      <c r="S14" s="774">
        <f t="shared" si="0"/>
        <v>100</v>
      </c>
      <c r="T14" s="773" t="s">
        <v>17</v>
      </c>
      <c r="U14" s="774">
        <f t="shared" si="1"/>
        <v>100</v>
      </c>
      <c r="V14" s="773" t="s">
        <v>17</v>
      </c>
      <c r="W14" s="774">
        <f t="shared" si="2"/>
        <v>100</v>
      </c>
      <c r="X14" s="1813"/>
      <c r="Y14" s="3228" t="s">
        <v>2565</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2"/>
      <c r="M15" s="1133"/>
      <c r="N15" s="1133"/>
      <c r="O15" s="1141"/>
      <c r="P15" s="3229"/>
      <c r="Q15" s="1810"/>
      <c r="R15" s="773"/>
      <c r="S15" s="774"/>
      <c r="T15" s="773"/>
      <c r="U15" s="774"/>
      <c r="V15" s="773"/>
      <c r="W15" s="774"/>
      <c r="X15" s="1813"/>
      <c r="Y15" s="3229"/>
      <c r="Z15" s="1814"/>
      <c r="AA15" s="1811">
        <v>1</v>
      </c>
      <c r="AB15" s="1811">
        <v>1</v>
      </c>
      <c r="AC15" s="1811">
        <v>1</v>
      </c>
    </row>
    <row r="16" spans="1:29" ht="42.75">
      <c r="A16" s="428"/>
      <c r="B16" s="451" t="s">
        <v>2693</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29"/>
      <c r="Q16" s="1810" t="str">
        <f>B16</f>
        <v>公共配套设施</v>
      </c>
      <c r="R16" s="773" t="s">
        <v>17</v>
      </c>
      <c r="S16" s="774">
        <f>F16</f>
        <v>100</v>
      </c>
      <c r="T16" s="773" t="s">
        <v>17</v>
      </c>
      <c r="U16" s="774">
        <f>H16</f>
        <v>100</v>
      </c>
      <c r="V16" s="773" t="s">
        <v>17</v>
      </c>
      <c r="W16" s="774">
        <f>J16</f>
        <v>100</v>
      </c>
      <c r="X16" s="1813"/>
      <c r="Y16" s="3229"/>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2"/>
      <c r="M17" s="1133"/>
      <c r="N17" s="1133"/>
      <c r="O17" s="1141"/>
      <c r="P17" s="3229"/>
      <c r="Q17" s="1810"/>
      <c r="R17" s="773"/>
      <c r="S17" s="774"/>
      <c r="T17" s="773"/>
      <c r="U17" s="774"/>
      <c r="V17" s="773"/>
      <c r="W17" s="774"/>
      <c r="X17" s="1813"/>
      <c r="Y17" s="3229"/>
      <c r="Z17" s="1814"/>
      <c r="AA17" s="1811">
        <v>1</v>
      </c>
      <c r="AB17" s="1811">
        <v>1</v>
      </c>
      <c r="AC17" s="1811">
        <v>1</v>
      </c>
    </row>
    <row r="18" spans="1:29" ht="28.5">
      <c r="A18" s="428"/>
      <c r="B18" s="1386" t="s">
        <v>2694</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29"/>
      <c r="Q18" s="1810" t="str">
        <f>B18</f>
        <v>基础设施水平</v>
      </c>
      <c r="R18" s="773" t="s">
        <v>17</v>
      </c>
      <c r="S18" s="774">
        <f>F18</f>
        <v>100</v>
      </c>
      <c r="T18" s="773" t="s">
        <v>17</v>
      </c>
      <c r="U18" s="774">
        <f>H18</f>
        <v>100</v>
      </c>
      <c r="V18" s="773" t="s">
        <v>17</v>
      </c>
      <c r="W18" s="774">
        <f>J18</f>
        <v>100</v>
      </c>
      <c r="X18" s="1813"/>
      <c r="Y18" s="3229"/>
      <c r="Z18" s="1814" t="str">
        <f>Q18</f>
        <v>基础设施水平</v>
      </c>
      <c r="AA18" s="1811">
        <f t="shared" ref="AA18" si="8">D18/F18</f>
        <v>1</v>
      </c>
      <c r="AB18" s="1811">
        <f t="shared" ref="AB18" si="9">D18/H18</f>
        <v>1</v>
      </c>
      <c r="AC18" s="1811">
        <f t="shared" ref="AC18" si="10">D18/J18</f>
        <v>1</v>
      </c>
    </row>
    <row r="19" spans="1:29" ht="15">
      <c r="A19" s="428"/>
      <c r="B19" s="1386"/>
      <c r="C19" s="2610"/>
      <c r="D19" s="450"/>
      <c r="E19" s="2610"/>
      <c r="F19" s="453"/>
      <c r="G19" s="2610"/>
      <c r="H19" s="448"/>
      <c r="I19" s="447"/>
      <c r="J19" s="448"/>
      <c r="K19" s="1385"/>
      <c r="L19" s="1142"/>
      <c r="M19" s="1133"/>
      <c r="N19" s="1133"/>
      <c r="O19" s="1141"/>
      <c r="P19" s="3229"/>
      <c r="Q19" s="1810"/>
      <c r="R19" s="773"/>
      <c r="S19" s="774"/>
      <c r="T19" s="773"/>
      <c r="U19" s="774"/>
      <c r="V19" s="773"/>
      <c r="W19" s="774"/>
      <c r="X19" s="1813"/>
      <c r="Y19" s="3229"/>
      <c r="Z19" s="1814"/>
      <c r="AA19" s="1811">
        <v>1</v>
      </c>
      <c r="AB19" s="1811">
        <v>1</v>
      </c>
      <c r="AC19" s="1811">
        <v>1</v>
      </c>
    </row>
    <row r="20" spans="1:29" ht="57">
      <c r="A20" s="428"/>
      <c r="B20" s="451" t="s">
        <v>2715</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29"/>
      <c r="Q20" s="1810" t="str">
        <f>B20</f>
        <v>自然及人文环境</v>
      </c>
      <c r="R20" s="773" t="s">
        <v>17</v>
      </c>
      <c r="S20" s="774">
        <f>F20</f>
        <v>100</v>
      </c>
      <c r="T20" s="773" t="s">
        <v>17</v>
      </c>
      <c r="U20" s="774">
        <f>H20</f>
        <v>100</v>
      </c>
      <c r="V20" s="773" t="s">
        <v>17</v>
      </c>
      <c r="W20" s="774">
        <f>J20</f>
        <v>100</v>
      </c>
      <c r="X20" s="1813"/>
      <c r="Y20" s="322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2"/>
      <c r="M21" s="1133"/>
      <c r="N21" s="1133"/>
      <c r="O21" s="1141"/>
      <c r="P21" s="3229"/>
      <c r="Q21" s="1810"/>
      <c r="R21" s="773"/>
      <c r="S21" s="774"/>
      <c r="T21" s="773"/>
      <c r="U21" s="774"/>
      <c r="V21" s="773"/>
      <c r="W21" s="774"/>
      <c r="X21" s="1813"/>
      <c r="Y21" s="3229"/>
      <c r="Z21" s="1814"/>
      <c r="AA21" s="1811">
        <v>1</v>
      </c>
      <c r="AB21" s="1811">
        <v>1</v>
      </c>
      <c r="AC21" s="1811">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29"/>
      <c r="Q22" s="1810" t="str">
        <f>B22</f>
        <v>楼层</v>
      </c>
      <c r="R22" s="773" t="s">
        <v>17</v>
      </c>
      <c r="S22" s="774">
        <f>F22</f>
        <v>100</v>
      </c>
      <c r="T22" s="773" t="s">
        <v>17</v>
      </c>
      <c r="U22" s="774">
        <f>H22</f>
        <v>100</v>
      </c>
      <c r="V22" s="773" t="s">
        <v>17</v>
      </c>
      <c r="W22" s="774">
        <f>J22</f>
        <v>100</v>
      </c>
      <c r="X22" s="1813"/>
      <c r="Y22" s="3229"/>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29"/>
      <c r="Q23" s="1810">
        <f>B23</f>
        <v>111</v>
      </c>
      <c r="R23" s="773" t="s">
        <v>17</v>
      </c>
      <c r="S23" s="774">
        <f>F23</f>
        <v>100</v>
      </c>
      <c r="T23" s="773" t="s">
        <v>17</v>
      </c>
      <c r="U23" s="774">
        <f>H23</f>
        <v>100</v>
      </c>
      <c r="V23" s="773" t="s">
        <v>17</v>
      </c>
      <c r="W23" s="774">
        <f>J23</f>
        <v>100</v>
      </c>
      <c r="X23" s="1813"/>
      <c r="Y23" s="3229"/>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29"/>
      <c r="Q24" s="1810">
        <f t="shared" ref="Q24:Q34" si="11">B24</f>
        <v>111</v>
      </c>
      <c r="R24" s="773" t="s">
        <v>17</v>
      </c>
      <c r="S24" s="774">
        <f>F24</f>
        <v>100</v>
      </c>
      <c r="T24" s="773" t="s">
        <v>17</v>
      </c>
      <c r="U24" s="774">
        <f>H24</f>
        <v>100</v>
      </c>
      <c r="V24" s="773" t="s">
        <v>17</v>
      </c>
      <c r="W24" s="774">
        <f>J24</f>
        <v>100</v>
      </c>
      <c r="X24" s="1813"/>
      <c r="Y24" s="3229"/>
      <c r="Z24" s="1814">
        <f>Q24</f>
        <v>111</v>
      </c>
      <c r="AA24" s="1811">
        <f t="shared" si="3"/>
        <v>1</v>
      </c>
      <c r="AB24" s="1811">
        <f t="shared" si="4"/>
        <v>1</v>
      </c>
      <c r="AC24" s="1811">
        <f t="shared" si="5"/>
        <v>1</v>
      </c>
    </row>
    <row r="25" spans="1:29" s="117" customFormat="1" ht="15.75" thickBot="1">
      <c r="A25" s="431"/>
      <c r="B25" s="2602">
        <v>111</v>
      </c>
      <c r="C25" s="2700"/>
      <c r="D25" s="664">
        <v>100</v>
      </c>
      <c r="E25" s="2700"/>
      <c r="F25" s="665">
        <f>SUMIF(75:75,E25,76:76)-SUMIF(75:75,C25,76:76)+100</f>
        <v>100</v>
      </c>
      <c r="G25" s="2700"/>
      <c r="H25" s="664">
        <f>SUMIF(75:75,G25,76:76)-SUMIF(75:75,C25,76:76)+100</f>
        <v>100</v>
      </c>
      <c r="I25" s="2700"/>
      <c r="J25" s="664">
        <f>SUMIF(75:75,I25,76:76)-SUMIF(75:75,C25,76:76)+100</f>
        <v>100</v>
      </c>
      <c r="K25" s="613"/>
      <c r="L25" s="1134"/>
      <c r="M25" s="1135"/>
      <c r="N25" s="1135"/>
      <c r="O25" s="1136"/>
      <c r="P25" s="3229"/>
      <c r="Q25" s="1795">
        <f t="shared" si="11"/>
        <v>111</v>
      </c>
      <c r="R25" s="769" t="s">
        <v>17</v>
      </c>
      <c r="S25" s="770">
        <f>F25</f>
        <v>100</v>
      </c>
      <c r="T25" s="769" t="s">
        <v>17</v>
      </c>
      <c r="U25" s="770">
        <f>H25</f>
        <v>100</v>
      </c>
      <c r="V25" s="769" t="s">
        <v>17</v>
      </c>
      <c r="W25" s="770">
        <f>J25</f>
        <v>100</v>
      </c>
      <c r="X25" s="771"/>
      <c r="Y25" s="3229"/>
      <c r="Z25" s="55">
        <f>Q25</f>
        <v>111</v>
      </c>
      <c r="AA25" s="1811">
        <f>D25/F25</f>
        <v>1</v>
      </c>
      <c r="AB25" s="1811">
        <f>D25/H25</f>
        <v>1</v>
      </c>
      <c r="AC25" s="1811">
        <f>D25/J25</f>
        <v>1</v>
      </c>
    </row>
    <row r="26" spans="1:29" ht="15">
      <c r="A26" s="466" t="s">
        <v>2568</v>
      </c>
      <c r="B26" s="71" t="s">
        <v>2719</v>
      </c>
      <c r="C26" s="2681"/>
      <c r="D26" s="467">
        <v>100</v>
      </c>
      <c r="E26" s="2681"/>
      <c r="F26" s="666">
        <f>SUMIF(77:77,E26,78:78)-SUMIF(77:77,C26,78:78)+100</f>
        <v>100</v>
      </c>
      <c r="G26" s="2681"/>
      <c r="H26" s="467">
        <f>SUMIF(77:77,G26,78:78)-SUMIF(77:77,C26,78:78)+100</f>
        <v>100</v>
      </c>
      <c r="I26" s="2681"/>
      <c r="J26" s="467">
        <f>SUMIF(77:77,I26,78:78)-SUMIF(77:77,C26,78:78)+100</f>
        <v>100</v>
      </c>
      <c r="K26" s="612"/>
      <c r="L26" s="1142"/>
      <c r="M26" s="1133"/>
      <c r="N26" s="1133"/>
      <c r="O26" s="1141"/>
      <c r="P26" s="3254" t="s">
        <v>2570</v>
      </c>
      <c r="Q26" s="1810" t="str">
        <f t="shared" si="11"/>
        <v>公共部分装修</v>
      </c>
      <c r="R26" s="773" t="s">
        <v>17</v>
      </c>
      <c r="S26" s="774">
        <f t="shared" ref="S26:S34" si="12">F26</f>
        <v>100</v>
      </c>
      <c r="T26" s="773" t="s">
        <v>17</v>
      </c>
      <c r="U26" s="774">
        <f t="shared" ref="U26:U34" si="13">H26</f>
        <v>100</v>
      </c>
      <c r="V26" s="773" t="s">
        <v>17</v>
      </c>
      <c r="W26" s="774">
        <f t="shared" ref="W26:W34" si="14">J26</f>
        <v>100</v>
      </c>
      <c r="X26" s="1813"/>
      <c r="Y26" s="3233" t="s">
        <v>2570</v>
      </c>
      <c r="Z26" s="1814" t="str">
        <f t="shared" ref="Z26:Z34" si="15">Q26</f>
        <v>公共部分装修</v>
      </c>
      <c r="AA26" s="1811">
        <f t="shared" si="3"/>
        <v>1</v>
      </c>
      <c r="AB26" s="1811">
        <f t="shared" si="4"/>
        <v>1</v>
      </c>
      <c r="AC26" s="1811">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33"/>
      <c r="Q27" s="775" t="str">
        <f t="shared" si="11"/>
        <v>成新率</v>
      </c>
      <c r="R27" s="776" t="s">
        <v>17</v>
      </c>
      <c r="S27" s="777" t="e">
        <f t="shared" si="12"/>
        <v>#N/A</v>
      </c>
      <c r="T27" s="776" t="s">
        <v>17</v>
      </c>
      <c r="U27" s="777" t="e">
        <f t="shared" si="13"/>
        <v>#N/A</v>
      </c>
      <c r="V27" s="776" t="s">
        <v>17</v>
      </c>
      <c r="W27" s="777" t="e">
        <f t="shared" si="14"/>
        <v>#N/A</v>
      </c>
      <c r="X27" s="778"/>
      <c r="Y27" s="3233"/>
      <c r="Z27" s="779" t="str">
        <f t="shared" si="15"/>
        <v>成新率</v>
      </c>
      <c r="AA27" s="1811" t="e">
        <f t="shared" si="3"/>
        <v>#N/A</v>
      </c>
      <c r="AB27" s="1811" t="e">
        <f t="shared" si="4"/>
        <v>#N/A</v>
      </c>
      <c r="AC27" s="1811"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33"/>
      <c r="Q28" s="1810" t="str">
        <f t="shared" si="11"/>
        <v>物业等级</v>
      </c>
      <c r="R28" s="773" t="s">
        <v>17</v>
      </c>
      <c r="S28" s="774">
        <f t="shared" si="12"/>
        <v>100</v>
      </c>
      <c r="T28" s="773" t="s">
        <v>17</v>
      </c>
      <c r="U28" s="774">
        <f t="shared" si="13"/>
        <v>100</v>
      </c>
      <c r="V28" s="773" t="s">
        <v>17</v>
      </c>
      <c r="W28" s="774">
        <f t="shared" si="14"/>
        <v>100</v>
      </c>
      <c r="X28" s="1813"/>
      <c r="Y28" s="3233"/>
      <c r="Z28" s="1814" t="str">
        <f t="shared" si="15"/>
        <v>物业等级</v>
      </c>
      <c r="AA28" s="1811">
        <f t="shared" si="3"/>
        <v>1</v>
      </c>
      <c r="AB28" s="1811">
        <f t="shared" si="4"/>
        <v>1</v>
      </c>
      <c r="AC28" s="1811">
        <f t="shared" si="5"/>
        <v>1</v>
      </c>
    </row>
    <row r="29" spans="1:29" ht="15">
      <c r="A29" s="472"/>
      <c r="B29" s="422" t="s">
        <v>2742</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233"/>
      <c r="Q29" s="1810" t="str">
        <f t="shared" si="11"/>
        <v>有无电梯</v>
      </c>
      <c r="R29" s="773" t="s">
        <v>17</v>
      </c>
      <c r="S29" s="774">
        <f t="shared" si="12"/>
        <v>100</v>
      </c>
      <c r="T29" s="773" t="s">
        <v>17</v>
      </c>
      <c r="U29" s="774">
        <f t="shared" si="13"/>
        <v>100</v>
      </c>
      <c r="V29" s="773" t="s">
        <v>17</v>
      </c>
      <c r="W29" s="774">
        <f t="shared" si="14"/>
        <v>100</v>
      </c>
      <c r="X29" s="1813"/>
      <c r="Y29" s="3233"/>
      <c r="Z29" s="1814" t="str">
        <f t="shared" si="15"/>
        <v>有无电梯</v>
      </c>
      <c r="AA29" s="1811">
        <f t="shared" si="3"/>
        <v>1</v>
      </c>
      <c r="AB29" s="1811">
        <f t="shared" si="4"/>
        <v>1</v>
      </c>
      <c r="AC29" s="1811">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33"/>
      <c r="Q30" s="1810" t="str">
        <f t="shared" si="11"/>
        <v>建筑面积</v>
      </c>
      <c r="R30" s="773" t="s">
        <v>17</v>
      </c>
      <c r="S30" s="774" t="e">
        <f t="shared" si="12"/>
        <v>#N/A</v>
      </c>
      <c r="T30" s="773" t="s">
        <v>17</v>
      </c>
      <c r="U30" s="774" t="e">
        <f t="shared" si="13"/>
        <v>#N/A</v>
      </c>
      <c r="V30" s="773" t="s">
        <v>17</v>
      </c>
      <c r="W30" s="774" t="e">
        <f t="shared" si="14"/>
        <v>#N/A</v>
      </c>
      <c r="X30" s="1813"/>
      <c r="Y30" s="3233"/>
      <c r="Z30" s="1814" t="str">
        <f t="shared" si="15"/>
        <v>建筑面积</v>
      </c>
      <c r="AA30" s="1811" t="e">
        <f t="shared" si="3"/>
        <v>#N/A</v>
      </c>
      <c r="AB30" s="1811" t="e">
        <f t="shared" si="4"/>
        <v>#N/A</v>
      </c>
      <c r="AC30" s="1811" t="e">
        <f t="shared" si="5"/>
        <v>#N/A</v>
      </c>
    </row>
    <row r="31" spans="1:29" s="117" customFormat="1" ht="15">
      <c r="A31" s="473"/>
      <c r="B31" s="422" t="s">
        <v>2744</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233"/>
      <c r="Q31" s="1795" t="str">
        <f t="shared" si="11"/>
        <v>是否封闭</v>
      </c>
      <c r="R31" s="769" t="s">
        <v>17</v>
      </c>
      <c r="S31" s="770">
        <f t="shared" si="12"/>
        <v>100</v>
      </c>
      <c r="T31" s="769" t="s">
        <v>17</v>
      </c>
      <c r="U31" s="770">
        <f t="shared" si="13"/>
        <v>100</v>
      </c>
      <c r="V31" s="769" t="s">
        <v>17</v>
      </c>
      <c r="W31" s="770">
        <f t="shared" si="14"/>
        <v>100</v>
      </c>
      <c r="X31" s="771"/>
      <c r="Y31" s="3233"/>
      <c r="Z31" s="55" t="str">
        <f t="shared" si="15"/>
        <v>是否封闭</v>
      </c>
      <c r="AA31" s="772">
        <f t="shared" si="3"/>
        <v>1</v>
      </c>
      <c r="AB31" s="772">
        <f t="shared" si="4"/>
        <v>1</v>
      </c>
      <c r="AC31" s="772">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33" t="s">
        <v>2570</v>
      </c>
      <c r="Q32" s="1810">
        <f t="shared" si="11"/>
        <v>111</v>
      </c>
      <c r="R32" s="773" t="s">
        <v>17</v>
      </c>
      <c r="S32" s="774">
        <f t="shared" si="12"/>
        <v>100</v>
      </c>
      <c r="T32" s="773" t="s">
        <v>17</v>
      </c>
      <c r="U32" s="774">
        <f t="shared" si="13"/>
        <v>100</v>
      </c>
      <c r="V32" s="773" t="s">
        <v>17</v>
      </c>
      <c r="W32" s="774">
        <f t="shared" si="14"/>
        <v>100</v>
      </c>
      <c r="X32" s="1813"/>
      <c r="Y32" s="3233" t="s">
        <v>2570</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33"/>
      <c r="Q33" s="1810">
        <f t="shared" si="11"/>
        <v>111</v>
      </c>
      <c r="R33" s="773" t="s">
        <v>17</v>
      </c>
      <c r="S33" s="774">
        <f t="shared" si="12"/>
        <v>100</v>
      </c>
      <c r="T33" s="773" t="s">
        <v>17</v>
      </c>
      <c r="U33" s="774">
        <f t="shared" si="13"/>
        <v>100</v>
      </c>
      <c r="V33" s="773" t="s">
        <v>17</v>
      </c>
      <c r="W33" s="774">
        <f t="shared" si="14"/>
        <v>100</v>
      </c>
      <c r="X33" s="1813"/>
      <c r="Y33" s="3233"/>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233"/>
      <c r="Q34" s="1810">
        <f t="shared" si="11"/>
        <v>111</v>
      </c>
      <c r="R34" s="773" t="s">
        <v>17</v>
      </c>
      <c r="S34" s="774">
        <f t="shared" si="12"/>
        <v>100</v>
      </c>
      <c r="T34" s="773" t="s">
        <v>17</v>
      </c>
      <c r="U34" s="774">
        <f t="shared" si="13"/>
        <v>100</v>
      </c>
      <c r="V34" s="773" t="s">
        <v>17</v>
      </c>
      <c r="W34" s="774">
        <f t="shared" si="14"/>
        <v>100</v>
      </c>
      <c r="X34" s="1813"/>
      <c r="Y34" s="3233"/>
      <c r="Z34" s="1814">
        <f t="shared" si="15"/>
        <v>111</v>
      </c>
      <c r="AA34" s="1811">
        <f t="shared" si="3"/>
        <v>1</v>
      </c>
      <c r="AB34" s="1811">
        <f t="shared" si="4"/>
        <v>1</v>
      </c>
      <c r="AC34" s="1811">
        <f t="shared" si="5"/>
        <v>1</v>
      </c>
    </row>
    <row r="35" spans="1:29" ht="15">
      <c r="A35" s="479" t="s">
        <v>2582</v>
      </c>
      <c r="B35" s="480"/>
      <c r="C35" s="1409" t="s">
        <v>1</v>
      </c>
      <c r="D35" s="1410"/>
      <c r="E35" s="1411"/>
      <c r="F35" s="1412"/>
      <c r="G35" s="1413"/>
      <c r="H35" s="1414"/>
      <c r="I35" s="1411"/>
      <c r="J35" s="1414"/>
      <c r="K35" s="782"/>
      <c r="L35" s="1145"/>
      <c r="M35" s="1146"/>
      <c r="N35" s="1133"/>
      <c r="O35" s="1146"/>
      <c r="P35" s="3226" t="str">
        <f>A35</f>
        <v>成交单价（元/平方米）</v>
      </c>
      <c r="Q35" s="3226"/>
      <c r="R35" s="3227">
        <f>E35</f>
        <v>0</v>
      </c>
      <c r="S35" s="3227"/>
      <c r="T35" s="3227">
        <f>G35</f>
        <v>0</v>
      </c>
      <c r="U35" s="3227"/>
      <c r="V35" s="3227">
        <f>I35</f>
        <v>0</v>
      </c>
      <c r="W35" s="3227"/>
      <c r="X35" s="758"/>
      <c r="Y35" s="780"/>
      <c r="Z35" s="758"/>
      <c r="AA35" s="758"/>
      <c r="AB35" s="758"/>
      <c r="AC35" s="758"/>
    </row>
    <row r="36" spans="1:29" ht="15.75" thickBot="1">
      <c r="A36" s="486" t="s">
        <v>2674</v>
      </c>
      <c r="B36" s="487"/>
      <c r="C36" s="1415" t="e">
        <f>R37</f>
        <v>#DIV/0!</v>
      </c>
      <c r="D36" s="1416"/>
      <c r="E36" s="1417" t="e">
        <f>R36</f>
        <v>#DIV/0!</v>
      </c>
      <c r="F36" s="1417"/>
      <c r="G36" s="1415" t="e">
        <f>T36</f>
        <v>#DIV/0!</v>
      </c>
      <c r="H36" s="1416"/>
      <c r="I36" s="1417" t="e">
        <f>V36</f>
        <v>#DIV/0!</v>
      </c>
      <c r="J36" s="1416"/>
      <c r="K36" s="783"/>
      <c r="L36" s="1145"/>
      <c r="M36" s="1146"/>
      <c r="N36" s="1133"/>
      <c r="O36" s="1146"/>
      <c r="P36" s="3226" t="str">
        <f>A36</f>
        <v>比较价值（元/平方米）</v>
      </c>
      <c r="Q36" s="3226"/>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8"/>
      <c r="Y36" s="758"/>
      <c r="Z36" s="758"/>
      <c r="AA36" s="758"/>
      <c r="AB36" s="758"/>
      <c r="AC36" s="758"/>
    </row>
    <row r="37" spans="1:29" ht="15.75" thickBot="1">
      <c r="A37" s="492" t="s">
        <v>2675</v>
      </c>
      <c r="B37" s="493"/>
      <c r="C37" s="1419" t="e">
        <f>R37</f>
        <v>#DIV/0!</v>
      </c>
      <c r="D37" s="1419"/>
      <c r="E37" s="1419"/>
      <c r="F37" s="1419"/>
      <c r="G37" s="1419"/>
      <c r="H37" s="1419"/>
      <c r="I37" s="1419"/>
      <c r="J37" s="1419"/>
      <c r="K37" s="784"/>
      <c r="L37" s="1145"/>
      <c r="M37" s="1146"/>
      <c r="N37" s="1146"/>
      <c r="O37" s="1146"/>
      <c r="P37" s="3223" t="str">
        <f>A37</f>
        <v>估价对象XX用房的比较价值（楼面单价，元/平方米）</v>
      </c>
      <c r="Q37" s="3224"/>
      <c r="R37" s="3225" t="e">
        <f>IF(F1="售价",ROUND(AVERAGE(R36:V36),0),ROUND(AVERAGE(R36:V36),1))</f>
        <v>#DIV/0!</v>
      </c>
      <c r="S37" s="3225"/>
      <c r="T37" s="3225"/>
      <c r="U37" s="3225"/>
      <c r="V37" s="3225"/>
      <c r="W37" s="322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2679</v>
      </c>
      <c r="B45" s="758"/>
      <c r="C45" s="763"/>
      <c r="D45" s="763"/>
      <c r="E45" s="763"/>
      <c r="F45" s="764"/>
      <c r="G45" s="764"/>
      <c r="H45" s="763"/>
      <c r="I45" s="763"/>
      <c r="J45" s="763"/>
      <c r="K45" s="765"/>
      <c r="L45" s="766"/>
      <c r="M45" s="763"/>
      <c r="N45" s="763"/>
      <c r="O45" s="763"/>
      <c r="P45" s="503"/>
      <c r="Q45" s="504"/>
    </row>
    <row r="46" spans="1:29" s="508" customFormat="1" ht="15">
      <c r="A46" s="505" t="s">
        <v>2553</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2593</v>
      </c>
      <c r="B51" s="528" t="s">
        <v>2559</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2694</v>
      </c>
      <c r="C65" s="659" t="s">
        <v>2680</v>
      </c>
      <c r="D65" s="659" t="s">
        <v>2681</v>
      </c>
      <c r="E65" s="659" t="s">
        <v>2682</v>
      </c>
      <c r="F65" s="659" t="s">
        <v>2683</v>
      </c>
      <c r="G65" s="659" t="s">
        <v>2684</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2734</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2568</v>
      </c>
      <c r="B77" s="528" t="s">
        <v>2621</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2738</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2746</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2748</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18">
      <c r="A4" s="1948" t="str">
        <f>"受贵公司委托，我公司对"&amp;项目基本情况!S1&amp;"进行了预评估。"</f>
        <v>受贵公司委托，我公司对北京市房地产抵押价值进行了预评估。</v>
      </c>
    </row>
    <row r="5" spans="1:1" ht="18.75">
      <c r="A5" s="1949" t="s">
        <v>1612</v>
      </c>
    </row>
    <row r="6" spans="1:1" ht="18.75">
      <c r="A6" s="1950" t="s">
        <v>1613</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估价对象为北京市房地产，为所有。根据《国有土地使用证》[]，估价对象（分摊）出让国有建设用地使用权面积为114.7平方米，建筑面积为249.95平方米。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估价对象为北京市房地产,属开发建设的商业项目，该项目尚在开发建设中。根据《国有土地使用证》[]，估价对象（分摊）出让国有建设用地使用权面积为114.7平方米，规划建筑面积为249.95平方米。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为估价委托人在向中信信托办理贷款手续过程中，确定房地产抵押贷款额度提供参考依据而评估房地产抵押价值。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2018年7月15日（评估专业人员实地查勘之日）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15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本次评估采用的主估价方法为比较法和收益法。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2531</v>
      </c>
      <c r="B1" s="2564"/>
      <c r="C1" s="2564"/>
      <c r="D1" s="2564"/>
      <c r="E1" s="2565"/>
    </row>
    <row r="2" spans="1:6" ht="15.75">
      <c r="A2" s="2566" t="s">
        <v>2332</v>
      </c>
      <c r="B2" s="2567">
        <f ca="1">SUMIF(B6:B13,"&lt;&gt;#ref!",B6:B13)</f>
        <v>324</v>
      </c>
      <c r="C2" s="2568" t="s">
        <v>2524</v>
      </c>
      <c r="D2" s="2569" t="s">
        <v>2525</v>
      </c>
      <c r="E2" s="2570">
        <f>SUM(E6:E13)</f>
        <v>249.95</v>
      </c>
    </row>
    <row r="3" spans="1:6" ht="15.75">
      <c r="A3" s="2566" t="s">
        <v>1395</v>
      </c>
      <c r="B3" s="2567">
        <f ca="1">ROUND(B2*10000/E2,0)</f>
        <v>12963</v>
      </c>
      <c r="C3" s="2568" t="s">
        <v>2532</v>
      </c>
      <c r="D3" s="2571"/>
      <c r="E3" s="2572"/>
    </row>
    <row r="4" spans="1:6" ht="15.75">
      <c r="A4" s="2573"/>
      <c r="B4" s="2571"/>
      <c r="C4" s="2571"/>
      <c r="D4" s="2571"/>
      <c r="E4" s="2572"/>
    </row>
    <row r="5" spans="1:6" ht="15">
      <c r="A5" s="2574" t="s">
        <v>2526</v>
      </c>
      <c r="B5" s="3255" t="s">
        <v>2527</v>
      </c>
      <c r="C5" s="3255"/>
      <c r="D5" s="2575"/>
      <c r="E5" s="2576" t="s">
        <v>2528</v>
      </c>
      <c r="F5" s="2577" t="s">
        <v>2529</v>
      </c>
    </row>
    <row r="6" spans="1:6">
      <c r="A6" s="2578" t="str">
        <f>'数据-取费表'!AN6</f>
        <v>收益法 (元)</v>
      </c>
      <c r="B6" s="2577">
        <f ca="1">IF(F6="是",'数据-取费表'!AO6,0)</f>
        <v>324</v>
      </c>
      <c r="C6" s="2568" t="s">
        <v>2524</v>
      </c>
      <c r="D6" s="2571"/>
      <c r="E6" s="2579">
        <f>IF(OR(A6=0,F6="否"),0,'数据-取费表'!K6+'数据-取费表'!S6)</f>
        <v>249.95</v>
      </c>
      <c r="F6" s="2580" t="s">
        <v>2530</v>
      </c>
    </row>
    <row r="7" spans="1:6">
      <c r="A7" s="2578">
        <f>'数据-取费表'!AN7</f>
        <v>0</v>
      </c>
      <c r="B7" s="2577" t="e">
        <f ca="1">IF(F7="是",'数据-取费表'!AO7,0)</f>
        <v>#REF!</v>
      </c>
      <c r="C7" s="2568" t="s">
        <v>2524</v>
      </c>
      <c r="D7" s="2571"/>
      <c r="E7" s="2579">
        <f>IF(OR(A7=0,F7="否"),0,'数据-取费表'!K7+'数据-取费表'!S7)</f>
        <v>0</v>
      </c>
      <c r="F7" s="2580" t="s">
        <v>2530</v>
      </c>
    </row>
    <row r="8" spans="1:6">
      <c r="A8" s="2578">
        <f>'数据-取费表'!AN8</f>
        <v>0</v>
      </c>
      <c r="B8" s="2577" t="e">
        <f ca="1">IF(F8="是",'数据-取费表'!AO8,0)</f>
        <v>#REF!</v>
      </c>
      <c r="C8" s="2568" t="s">
        <v>2524</v>
      </c>
      <c r="D8" s="2571"/>
      <c r="E8" s="2579">
        <f>IF(OR(A8=0,F8="否"),0,'数据-取费表'!K8+'数据-取费表'!S8)</f>
        <v>0</v>
      </c>
      <c r="F8" s="2580" t="s">
        <v>2530</v>
      </c>
    </row>
    <row r="9" spans="1:6">
      <c r="A9" s="2578">
        <f>'数据-取费表'!AN9</f>
        <v>0</v>
      </c>
      <c r="B9" s="2577" t="e">
        <f ca="1">IF(F9="是",'数据-取费表'!AO9,0)</f>
        <v>#REF!</v>
      </c>
      <c r="C9" s="2568" t="s">
        <v>2524</v>
      </c>
      <c r="D9" s="2571"/>
      <c r="E9" s="2579">
        <f>IF(OR(A9=0,F9="否"),0,'数据-取费表'!K9+'数据-取费表'!S9)</f>
        <v>0</v>
      </c>
      <c r="F9" s="2580" t="s">
        <v>2530</v>
      </c>
    </row>
    <row r="10" spans="1:6">
      <c r="A10" s="2578">
        <f>'数据-取费表'!AN10</f>
        <v>0</v>
      </c>
      <c r="B10" s="2577" t="e">
        <f ca="1">IF(F10="是",'数据-取费表'!AO10,0)</f>
        <v>#REF!</v>
      </c>
      <c r="C10" s="2568" t="s">
        <v>2524</v>
      </c>
      <c r="D10" s="2571"/>
      <c r="E10" s="2579">
        <f>IF(OR(A10=0,F10="否"),0,'数据-取费表'!K10+'数据-取费表'!S10)</f>
        <v>0</v>
      </c>
      <c r="F10" s="2580" t="s">
        <v>2530</v>
      </c>
    </row>
    <row r="11" spans="1:6">
      <c r="A11" s="2578">
        <f>'数据-取费表'!AN11</f>
        <v>0</v>
      </c>
      <c r="B11" s="2577" t="e">
        <f ca="1">IF(F11="是",'数据-取费表'!AO11,0)</f>
        <v>#REF!</v>
      </c>
      <c r="C11" s="2568" t="s">
        <v>2524</v>
      </c>
      <c r="D11" s="2571"/>
      <c r="E11" s="2579">
        <f>IF(OR(A11=0,F11="否"),0,'数据-取费表'!K11+'数据-取费表'!S11)</f>
        <v>0</v>
      </c>
      <c r="F11" s="2580" t="s">
        <v>2530</v>
      </c>
    </row>
    <row r="12" spans="1:6">
      <c r="A12" s="2578">
        <f>'数据-取费表'!AN12</f>
        <v>0</v>
      </c>
      <c r="B12" s="2577" t="e">
        <f ca="1">IF(F12="是",'数据-取费表'!AO12,0)</f>
        <v>#REF!</v>
      </c>
      <c r="C12" s="2568" t="s">
        <v>2524</v>
      </c>
      <c r="D12" s="2571"/>
      <c r="E12" s="2579">
        <f>IF(OR(A12=0,F12="否"),0,'数据-取费表'!K12+'数据-取费表'!S12)</f>
        <v>0</v>
      </c>
      <c r="F12" s="2580" t="s">
        <v>2530</v>
      </c>
    </row>
    <row r="13" spans="1:6" ht="15" thickBot="1">
      <c r="A13" s="2581">
        <f>'数据-取费表'!AN13</f>
        <v>0</v>
      </c>
      <c r="B13" s="2577" t="e">
        <f ca="1">IF(F13="是",'数据-取费表'!AO13,0)</f>
        <v>#REF!</v>
      </c>
      <c r="C13" s="2582" t="s">
        <v>2524</v>
      </c>
      <c r="D13" s="2583"/>
      <c r="E13" s="2579">
        <f>IF(OR(A13=0,F13="否"),0,'数据-取费表'!K13+'数据-取费表'!S13)</f>
        <v>0</v>
      </c>
      <c r="F13" s="2580" t="s">
        <v>2530</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64" sqref="J64"/>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2332</v>
      </c>
      <c r="B2" s="670">
        <f>F66</f>
        <v>73</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2334</v>
      </c>
      <c r="B3" s="609">
        <f>ROUND(IF(D3="",B2*10000/'数据-汇总表'!E3,B2*10000/D3),0)</f>
        <v>2921</v>
      </c>
      <c r="C3" s="247" t="s">
        <v>2751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2650</v>
      </c>
      <c r="B4" s="402"/>
      <c r="C4" s="3209" t="s">
        <v>2651</v>
      </c>
      <c r="D4" s="3210"/>
      <c r="E4" s="3211" t="s">
        <v>2652</v>
      </c>
      <c r="F4" s="3212"/>
      <c r="G4" s="3209" t="s">
        <v>2653</v>
      </c>
      <c r="H4" s="3210"/>
      <c r="I4" s="3209" t="s">
        <v>2654</v>
      </c>
      <c r="J4" s="3210"/>
      <c r="K4" s="610" t="s">
        <v>2655</v>
      </c>
      <c r="L4" s="1132"/>
      <c r="M4" s="1133"/>
      <c r="N4" s="1133"/>
      <c r="O4" s="1133"/>
      <c r="P4" s="3213" t="s">
        <v>2656</v>
      </c>
      <c r="Q4" s="3214"/>
      <c r="R4" s="3196" t="s">
        <v>2652</v>
      </c>
      <c r="S4" s="3197"/>
      <c r="T4" s="3196" t="s">
        <v>2653</v>
      </c>
      <c r="U4" s="3197"/>
      <c r="V4" s="3221" t="s">
        <v>2654</v>
      </c>
      <c r="W4" s="3221"/>
      <c r="X4" s="1813"/>
      <c r="Y4" s="3196" t="s">
        <v>2656</v>
      </c>
      <c r="Z4" s="3197"/>
      <c r="AA4" s="3191" t="s">
        <v>2652</v>
      </c>
      <c r="AB4" s="3192" t="s">
        <v>2653</v>
      </c>
      <c r="AC4" s="3191" t="s">
        <v>2654</v>
      </c>
    </row>
    <row r="5" spans="1:30" ht="15">
      <c r="A5" s="404"/>
      <c r="B5" s="405"/>
      <c r="C5" s="3202" t="s">
        <v>2547</v>
      </c>
      <c r="D5" s="3203"/>
      <c r="E5" s="3200" t="str">
        <f>土地案例!A6</f>
        <v>黄山西路以南,檀山路以东</v>
      </c>
      <c r="F5" s="3201"/>
      <c r="G5" s="3202" t="str">
        <f>土地案例!A7</f>
        <v>宜侯路以南、赵声路以西</v>
      </c>
      <c r="H5" s="3203"/>
      <c r="I5" s="3202" t="str">
        <f>土地案例!A8</f>
        <v>赵声路以东、平昌路以北</v>
      </c>
      <c r="J5" s="3203"/>
      <c r="K5" s="610"/>
      <c r="L5" s="1132"/>
      <c r="M5" s="1133"/>
      <c r="N5" s="1133"/>
      <c r="O5" s="1133"/>
      <c r="P5" s="3215"/>
      <c r="Q5" s="3216"/>
      <c r="R5" s="3198"/>
      <c r="S5" s="3199"/>
      <c r="T5" s="3198"/>
      <c r="U5" s="3199"/>
      <c r="V5" s="3221"/>
      <c r="W5" s="3221"/>
      <c r="X5" s="1813"/>
      <c r="Y5" s="3198"/>
      <c r="Z5" s="3199"/>
      <c r="AA5" s="3192"/>
      <c r="AB5" s="3192"/>
      <c r="AC5" s="3192"/>
    </row>
    <row r="6" spans="1:30" ht="15.75" thickBot="1">
      <c r="A6" s="406"/>
      <c r="B6" s="407"/>
      <c r="C6" s="3204" t="s">
        <v>2551</v>
      </c>
      <c r="D6" s="3205"/>
      <c r="E6" s="3206" t="s">
        <v>2551</v>
      </c>
      <c r="F6" s="3207"/>
      <c r="G6" s="3204" t="s">
        <v>2551</v>
      </c>
      <c r="H6" s="3205"/>
      <c r="I6" s="3204" t="s">
        <v>2551</v>
      </c>
      <c r="J6" s="3205"/>
      <c r="K6" s="610" t="s">
        <v>2552</v>
      </c>
      <c r="L6" s="1132"/>
      <c r="M6" s="1133"/>
      <c r="N6" s="1133"/>
      <c r="O6" s="1133"/>
      <c r="P6" s="3217"/>
      <c r="Q6" s="3218"/>
      <c r="R6" s="3198"/>
      <c r="S6" s="3199"/>
      <c r="T6" s="3219"/>
      <c r="U6" s="3220"/>
      <c r="V6" s="3221"/>
      <c r="W6" s="3221"/>
      <c r="X6" s="1813"/>
      <c r="Y6" s="3219"/>
      <c r="Z6" s="3220"/>
      <c r="AA6" s="3193"/>
      <c r="AB6" s="3193"/>
      <c r="AC6" s="3193"/>
    </row>
    <row r="7" spans="1:30" s="117" customFormat="1" ht="15.75" thickBot="1">
      <c r="A7" s="408" t="s">
        <v>2553</v>
      </c>
      <c r="B7" s="409"/>
      <c r="C7" s="410">
        <f>'数据-取费表'!B2</f>
        <v>43296</v>
      </c>
      <c r="D7" s="411">
        <v>100</v>
      </c>
      <c r="E7" s="412" t="str">
        <f>土地案例!H4</f>
        <v>2018-02-12</v>
      </c>
      <c r="F7" s="413">
        <f>SUMIF(70:70,YEAR(E7)&amp;"-"&amp;INT((MONTH(E7)+2)/3),71:71)</f>
        <v>98</v>
      </c>
      <c r="G7" s="2698" t="str">
        <f>土地案例!H7</f>
        <v>2017-12-07</v>
      </c>
      <c r="H7" s="411">
        <f>SUMIF(70:70,YEAR(G7)&amp;"-"&amp;INT((MONTH(G7)+2)/3),71:71)</f>
        <v>97</v>
      </c>
      <c r="I7" s="2698" t="str">
        <f>土地案例!H8</f>
        <v>2017-12-07</v>
      </c>
      <c r="J7" s="411">
        <f>SUMIF(70:70,YEAR(I7)&amp;"-"&amp;INT((MONTH(I7)+2)/3),71:71)</f>
        <v>97</v>
      </c>
      <c r="K7" s="611"/>
      <c r="L7" s="1134"/>
      <c r="M7" s="1135"/>
      <c r="N7" s="1135"/>
      <c r="O7" s="1135"/>
      <c r="P7" s="3194" t="s">
        <v>2554</v>
      </c>
      <c r="Q7" s="3222"/>
      <c r="R7" s="769" t="s">
        <v>17</v>
      </c>
      <c r="S7" s="770">
        <f t="shared" ref="S7:S15" si="0">F7</f>
        <v>98</v>
      </c>
      <c r="T7" s="769" t="s">
        <v>17</v>
      </c>
      <c r="U7" s="770">
        <f t="shared" ref="U7:U15" si="1">H7</f>
        <v>97</v>
      </c>
      <c r="V7" s="769" t="s">
        <v>17</v>
      </c>
      <c r="W7" s="770">
        <f t="shared" ref="W7:W15" si="2">J7</f>
        <v>97</v>
      </c>
      <c r="X7" s="771"/>
      <c r="Y7" s="3194" t="s">
        <v>2554</v>
      </c>
      <c r="Z7" s="3195"/>
      <c r="AA7" s="772">
        <f>D7/F7</f>
        <v>1.0204081632653061</v>
      </c>
      <c r="AB7" s="772">
        <f>D7/H7</f>
        <v>1.0309278350515463</v>
      </c>
      <c r="AC7" s="772">
        <f>D7/J7</f>
        <v>1.0309278350515463</v>
      </c>
    </row>
    <row r="8" spans="1:30" s="117" customFormat="1" ht="15.75" thickBot="1">
      <c r="A8" s="408" t="s">
        <v>2555</v>
      </c>
      <c r="B8" s="409"/>
      <c r="C8" s="414" t="s">
        <v>2556</v>
      </c>
      <c r="D8" s="411">
        <v>100</v>
      </c>
      <c r="E8" s="414" t="s">
        <v>2556</v>
      </c>
      <c r="F8" s="413">
        <f>SUMIF(73:73,E8,74:74)-SUMIF(73:73,C8,74:74)+100</f>
        <v>100</v>
      </c>
      <c r="G8" s="414" t="s">
        <v>2556</v>
      </c>
      <c r="H8" s="411">
        <f>SUMIF(73:73,G8,74:74)-SUMIF(73:73,C8,74:74)+100</f>
        <v>100</v>
      </c>
      <c r="I8" s="414" t="s">
        <v>2556</v>
      </c>
      <c r="J8" s="411">
        <f>SUMIF(73:73,I8,74:74)-SUMIF(73:73,C8,74:74)+100</f>
        <v>100</v>
      </c>
      <c r="K8" s="611"/>
      <c r="L8" s="1134"/>
      <c r="M8" s="1135"/>
      <c r="N8" s="1135"/>
      <c r="O8" s="1135"/>
      <c r="P8" s="3194" t="s">
        <v>2557</v>
      </c>
      <c r="Q8" s="3195"/>
      <c r="R8" s="769" t="s">
        <v>17</v>
      </c>
      <c r="S8" s="770">
        <f t="shared" si="0"/>
        <v>100</v>
      </c>
      <c r="T8" s="769" t="s">
        <v>17</v>
      </c>
      <c r="U8" s="770">
        <f t="shared" si="1"/>
        <v>100</v>
      </c>
      <c r="V8" s="769" t="s">
        <v>17</v>
      </c>
      <c r="W8" s="770">
        <f t="shared" si="2"/>
        <v>100</v>
      </c>
      <c r="X8" s="771"/>
      <c r="Y8" s="3194" t="s">
        <v>2557</v>
      </c>
      <c r="Z8" s="3195"/>
      <c r="AA8" s="772">
        <f t="shared" ref="AA8:AA45" si="3">D8/F8</f>
        <v>1</v>
      </c>
      <c r="AB8" s="772">
        <f t="shared" ref="AB8:AB45" si="4">D8/H8</f>
        <v>1</v>
      </c>
      <c r="AC8" s="772">
        <f t="shared" ref="AC8:AC45" si="5">D8/J8</f>
        <v>1</v>
      </c>
    </row>
    <row r="9" spans="1:30" s="117" customFormat="1">
      <c r="A9" s="415" t="s">
        <v>2558</v>
      </c>
      <c r="B9" s="71" t="s">
        <v>2559</v>
      </c>
      <c r="C9" s="2959" t="s">
        <v>3214</v>
      </c>
      <c r="D9" s="135">
        <v>100</v>
      </c>
      <c r="E9" s="2959" t="s">
        <v>3214</v>
      </c>
      <c r="F9" s="135">
        <f>SUMIF(75:75,E9,76:76)-SUMIF(75:75,C9,76:76)+100</f>
        <v>100</v>
      </c>
      <c r="G9" s="2959" t="s">
        <v>3214</v>
      </c>
      <c r="H9" s="135">
        <f>SUMIF(75:75,G9,76:76)-SUMIF(75:75,C9,76:76)+100</f>
        <v>100</v>
      </c>
      <c r="I9" s="2959" t="s">
        <v>3214</v>
      </c>
      <c r="J9" s="135">
        <f>SUMIF(75:75,I9,76:76)-SUMIF(75:75,C9,76:76)+100</f>
        <v>100</v>
      </c>
      <c r="K9" s="611"/>
      <c r="L9" s="1134"/>
      <c r="M9" s="1135"/>
      <c r="N9" s="1135"/>
      <c r="O9" s="1136"/>
      <c r="P9" s="3226" t="s">
        <v>2560</v>
      </c>
      <c r="Q9" s="1795" t="str">
        <f t="shared" ref="Q9:Q15" si="6">B9</f>
        <v>用途</v>
      </c>
      <c r="R9" s="769" t="s">
        <v>17</v>
      </c>
      <c r="S9" s="770">
        <f t="shared" si="0"/>
        <v>100</v>
      </c>
      <c r="T9" s="769" t="s">
        <v>17</v>
      </c>
      <c r="U9" s="770">
        <f t="shared" si="1"/>
        <v>100</v>
      </c>
      <c r="V9" s="769" t="s">
        <v>17</v>
      </c>
      <c r="W9" s="770">
        <f t="shared" si="2"/>
        <v>100</v>
      </c>
      <c r="X9" s="771"/>
      <c r="Y9" s="3047" t="s">
        <v>2561</v>
      </c>
      <c r="Z9" s="55" t="str">
        <f t="shared" ref="Z9:Z15" si="7">Q9</f>
        <v>用途</v>
      </c>
      <c r="AA9" s="772">
        <f t="shared" si="3"/>
        <v>1</v>
      </c>
      <c r="AB9" s="772">
        <f t="shared" si="4"/>
        <v>1</v>
      </c>
      <c r="AC9" s="772">
        <f t="shared" si="5"/>
        <v>1</v>
      </c>
    </row>
    <row r="10" spans="1:30" s="427" customFormat="1" ht="27">
      <c r="A10" s="421"/>
      <c r="B10" s="422" t="s">
        <v>2562</v>
      </c>
      <c r="C10" s="432"/>
      <c r="D10" s="136">
        <v>100</v>
      </c>
      <c r="E10" s="465"/>
      <c r="F10" s="136">
        <f>ROUND(100/'数据-取费表'!G16,0)</f>
        <v>108</v>
      </c>
      <c r="G10" s="463"/>
      <c r="H10" s="136">
        <f>ROUND(100/'数据-取费表'!G16,0)</f>
        <v>108</v>
      </c>
      <c r="I10" s="463"/>
      <c r="J10" s="136">
        <f>ROUND(100/'数据-取费表'!G16,0)</f>
        <v>108</v>
      </c>
      <c r="K10" s="671"/>
      <c r="L10" s="1137"/>
      <c r="M10" s="1138"/>
      <c r="N10" s="1138"/>
      <c r="O10" s="1139"/>
      <c r="P10" s="3226"/>
      <c r="Q10" s="1795" t="str">
        <f t="shared" si="6"/>
        <v>土地使用年限（年）</v>
      </c>
      <c r="R10" s="769" t="s">
        <v>17</v>
      </c>
      <c r="S10" s="770">
        <f t="shared" si="0"/>
        <v>108</v>
      </c>
      <c r="T10" s="769" t="s">
        <v>17</v>
      </c>
      <c r="U10" s="770">
        <f t="shared" si="1"/>
        <v>108</v>
      </c>
      <c r="V10" s="769" t="s">
        <v>17</v>
      </c>
      <c r="W10" s="770">
        <f t="shared" si="2"/>
        <v>108</v>
      </c>
      <c r="X10" s="771"/>
      <c r="Y10" s="3047"/>
      <c r="Z10" s="55" t="str">
        <f t="shared" si="7"/>
        <v>土地使用年限（年）</v>
      </c>
      <c r="AA10" s="772">
        <f t="shared" si="3"/>
        <v>0.92592592592592593</v>
      </c>
      <c r="AB10" s="772">
        <f t="shared" si="4"/>
        <v>0.92592592592592593</v>
      </c>
      <c r="AC10" s="772">
        <f t="shared" si="5"/>
        <v>0.92592592592592593</v>
      </c>
    </row>
    <row r="11" spans="1:30" ht="15">
      <c r="A11" s="428"/>
      <c r="B11" s="422" t="s">
        <v>2563</v>
      </c>
      <c r="C11" s="429">
        <f>'数据-汇总表'!I5</f>
        <v>2.1800000000000002</v>
      </c>
      <c r="D11" s="136">
        <v>100</v>
      </c>
      <c r="E11" s="429">
        <v>0.65</v>
      </c>
      <c r="F11" s="136">
        <f>LOOKUP(E11,80:80,81:81)-LOOKUP(C11,80:80,81:81)+100</f>
        <v>102</v>
      </c>
      <c r="G11" s="430">
        <v>0.6</v>
      </c>
      <c r="H11" s="136">
        <f>LOOKUP(G11,80:80,81:81)-LOOKUP(C11,80:80,81:81)+100</f>
        <v>102</v>
      </c>
      <c r="I11" s="429">
        <v>0.8</v>
      </c>
      <c r="J11" s="136">
        <f>LOOKUP(I11,80:80,81:81)-LOOKUP(C11,80:80,81:81)+100</f>
        <v>102</v>
      </c>
      <c r="K11" s="672">
        <v>1</v>
      </c>
      <c r="L11" s="1140"/>
      <c r="M11" s="1133"/>
      <c r="N11" s="1133"/>
      <c r="O11" s="1141"/>
      <c r="P11" s="3226"/>
      <c r="Q11" s="1795" t="str">
        <f t="shared" si="6"/>
        <v>容积率</v>
      </c>
      <c r="R11" s="769" t="s">
        <v>17</v>
      </c>
      <c r="S11" s="770">
        <f t="shared" si="0"/>
        <v>102</v>
      </c>
      <c r="T11" s="769" t="s">
        <v>17</v>
      </c>
      <c r="U11" s="770">
        <f t="shared" si="1"/>
        <v>102</v>
      </c>
      <c r="V11" s="769" t="s">
        <v>17</v>
      </c>
      <c r="W11" s="770">
        <f t="shared" si="2"/>
        <v>102</v>
      </c>
      <c r="X11" s="771"/>
      <c r="Y11" s="3047"/>
      <c r="Z11" s="55" t="str">
        <f t="shared" si="7"/>
        <v>容积率</v>
      </c>
      <c r="AA11" s="772">
        <f t="shared" si="3"/>
        <v>0.98039215686274506</v>
      </c>
      <c r="AB11" s="772">
        <f t="shared" si="4"/>
        <v>0.98039215686274506</v>
      </c>
      <c r="AC11" s="772">
        <f t="shared" si="5"/>
        <v>0.98039215686274506</v>
      </c>
    </row>
    <row r="12" spans="1:30" s="117" customFormat="1" ht="15">
      <c r="A12" s="431"/>
      <c r="B12" s="2602" t="s">
        <v>2752</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226"/>
      <c r="Q12" s="1795" t="str">
        <f t="shared" si="6"/>
        <v>配建</v>
      </c>
      <c r="R12" s="769" t="s">
        <v>17</v>
      </c>
      <c r="S12" s="770">
        <f t="shared" si="0"/>
        <v>100</v>
      </c>
      <c r="T12" s="769" t="s">
        <v>17</v>
      </c>
      <c r="U12" s="770">
        <f t="shared" si="1"/>
        <v>100</v>
      </c>
      <c r="V12" s="769" t="s">
        <v>17</v>
      </c>
      <c r="W12" s="770">
        <f t="shared" si="2"/>
        <v>100</v>
      </c>
      <c r="X12" s="771"/>
      <c r="Y12" s="3047"/>
      <c r="Z12" s="55" t="str">
        <f t="shared" si="7"/>
        <v>配建</v>
      </c>
      <c r="AA12" s="772">
        <f>D12/F12</f>
        <v>1</v>
      </c>
      <c r="AB12" s="772">
        <f>D12/H12</f>
        <v>1</v>
      </c>
      <c r="AC12" s="772">
        <f>D12/J12</f>
        <v>1</v>
      </c>
    </row>
    <row r="13" spans="1:30" ht="15">
      <c r="A13" s="428"/>
      <c r="B13" s="2602">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226"/>
      <c r="Q13" s="1795">
        <f t="shared" si="6"/>
        <v>111</v>
      </c>
      <c r="R13" s="769" t="s">
        <v>17</v>
      </c>
      <c r="S13" s="770">
        <f t="shared" si="0"/>
        <v>100</v>
      </c>
      <c r="T13" s="769" t="s">
        <v>17</v>
      </c>
      <c r="U13" s="770">
        <f t="shared" si="1"/>
        <v>100</v>
      </c>
      <c r="V13" s="769" t="s">
        <v>17</v>
      </c>
      <c r="W13" s="770">
        <f t="shared" si="2"/>
        <v>100</v>
      </c>
      <c r="X13" s="771"/>
      <c r="Y13" s="3047"/>
      <c r="Z13" s="55">
        <f t="shared" si="7"/>
        <v>111</v>
      </c>
      <c r="AA13" s="772">
        <f>D13/F13</f>
        <v>1</v>
      </c>
      <c r="AB13" s="772">
        <f>D13/H13</f>
        <v>1</v>
      </c>
      <c r="AC13" s="772">
        <f>D13/J13</f>
        <v>1</v>
      </c>
    </row>
    <row r="14" spans="1:30" ht="15.75" thickBot="1">
      <c r="A14" s="436"/>
      <c r="B14" s="2604">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226"/>
      <c r="Q14" s="1795">
        <f t="shared" si="6"/>
        <v>111</v>
      </c>
      <c r="R14" s="769" t="s">
        <v>17</v>
      </c>
      <c r="S14" s="770">
        <f t="shared" si="0"/>
        <v>100</v>
      </c>
      <c r="T14" s="769" t="s">
        <v>17</v>
      </c>
      <c r="U14" s="770">
        <f t="shared" si="1"/>
        <v>100</v>
      </c>
      <c r="V14" s="769" t="s">
        <v>17</v>
      </c>
      <c r="W14" s="770">
        <f t="shared" si="2"/>
        <v>100</v>
      </c>
      <c r="X14" s="771"/>
      <c r="Y14" s="3047"/>
      <c r="Z14" s="55">
        <f t="shared" si="7"/>
        <v>111</v>
      </c>
      <c r="AA14" s="772">
        <f>D14/F14</f>
        <v>1</v>
      </c>
      <c r="AB14" s="772">
        <f>D14/H14</f>
        <v>1</v>
      </c>
      <c r="AC14" s="772">
        <f>D14/J14</f>
        <v>1</v>
      </c>
    </row>
    <row r="15" spans="1:30" ht="99.75" hidden="1">
      <c r="A15" s="440" t="s">
        <v>2564</v>
      </c>
      <c r="B15" s="69" t="s">
        <v>2089</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228" t="s">
        <v>2565</v>
      </c>
      <c r="Q15" s="1810" t="str">
        <f t="shared" si="6"/>
        <v>居住社区成熟度</v>
      </c>
      <c r="R15" s="773" t="s">
        <v>17</v>
      </c>
      <c r="S15" s="774">
        <f t="shared" si="0"/>
        <v>100</v>
      </c>
      <c r="T15" s="773" t="s">
        <v>17</v>
      </c>
      <c r="U15" s="774">
        <f t="shared" si="1"/>
        <v>100</v>
      </c>
      <c r="V15" s="773" t="s">
        <v>17</v>
      </c>
      <c r="W15" s="774">
        <f t="shared" si="2"/>
        <v>100</v>
      </c>
      <c r="X15" s="1813"/>
      <c r="Y15" s="3228" t="s">
        <v>2565</v>
      </c>
      <c r="Z15" s="1814" t="str">
        <f t="shared" si="7"/>
        <v>居住社区成熟度</v>
      </c>
      <c r="AA15" s="1811">
        <f t="shared" si="3"/>
        <v>1</v>
      </c>
      <c r="AB15" s="1811">
        <f t="shared" si="4"/>
        <v>1</v>
      </c>
      <c r="AC15" s="1811">
        <f t="shared" si="5"/>
        <v>1</v>
      </c>
    </row>
    <row r="16" spans="1:30" ht="15" hidden="1">
      <c r="A16" s="428"/>
      <c r="B16" s="446"/>
      <c r="C16" s="447"/>
      <c r="D16" s="448"/>
      <c r="E16" s="2607"/>
      <c r="F16" s="448"/>
      <c r="G16" s="2607"/>
      <c r="H16" s="450"/>
      <c r="I16" s="2606"/>
      <c r="J16" s="448"/>
      <c r="K16" s="671"/>
      <c r="L16" s="1142"/>
      <c r="M16" s="1133"/>
      <c r="N16" s="1133"/>
      <c r="O16" s="1141"/>
      <c r="P16" s="3229"/>
      <c r="Q16" s="1810"/>
      <c r="R16" s="773"/>
      <c r="S16" s="774"/>
      <c r="T16" s="773"/>
      <c r="U16" s="774"/>
      <c r="V16" s="773"/>
      <c r="W16" s="774"/>
      <c r="X16" s="1813"/>
      <c r="Y16" s="3229"/>
      <c r="Z16" s="1814"/>
      <c r="AA16" s="1811">
        <v>1</v>
      </c>
      <c r="AB16" s="1811">
        <v>1</v>
      </c>
      <c r="AC16" s="1811">
        <v>1</v>
      </c>
    </row>
    <row r="17" spans="1:29" ht="71.25" hidden="1">
      <c r="A17" s="428"/>
      <c r="B17" s="451" t="s">
        <v>2658</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v>2</v>
      </c>
      <c r="L17" s="1142"/>
      <c r="M17" s="1133"/>
      <c r="N17" s="1133"/>
      <c r="O17" s="1141"/>
      <c r="P17" s="3229"/>
      <c r="Q17" s="1810" t="str">
        <f>B17</f>
        <v>商业繁华度</v>
      </c>
      <c r="R17" s="773" t="s">
        <v>17</v>
      </c>
      <c r="S17" s="774">
        <f>F17</f>
        <v>100</v>
      </c>
      <c r="T17" s="773" t="s">
        <v>17</v>
      </c>
      <c r="U17" s="774">
        <f>H17</f>
        <v>100</v>
      </c>
      <c r="V17" s="773" t="s">
        <v>17</v>
      </c>
      <c r="W17" s="774">
        <f>J17</f>
        <v>100</v>
      </c>
      <c r="X17" s="1813"/>
      <c r="Y17" s="3229"/>
      <c r="Z17" s="1814" t="str">
        <f>Q17</f>
        <v>商业繁华度</v>
      </c>
      <c r="AA17" s="1811">
        <f t="shared" si="3"/>
        <v>1</v>
      </c>
      <c r="AB17" s="1811">
        <f t="shared" si="4"/>
        <v>1</v>
      </c>
      <c r="AC17" s="1811">
        <f t="shared" si="5"/>
        <v>1</v>
      </c>
    </row>
    <row r="18" spans="1:29" ht="15" hidden="1">
      <c r="A18" s="428"/>
      <c r="B18" s="456"/>
      <c r="C18" s="2610" t="s">
        <v>3246</v>
      </c>
      <c r="D18" s="450"/>
      <c r="E18" s="2968" t="s">
        <v>3246</v>
      </c>
      <c r="F18" s="450"/>
      <c r="G18" s="2610" t="s">
        <v>3246</v>
      </c>
      <c r="H18" s="448"/>
      <c r="I18" s="2610" t="s">
        <v>3246</v>
      </c>
      <c r="J18" s="448"/>
      <c r="K18" s="671"/>
      <c r="L18" s="1142"/>
      <c r="M18" s="1133"/>
      <c r="N18" s="1133"/>
      <c r="O18" s="1141"/>
      <c r="P18" s="3229"/>
      <c r="Q18" s="1810"/>
      <c r="R18" s="773"/>
      <c r="S18" s="774"/>
      <c r="T18" s="773"/>
      <c r="U18" s="774"/>
      <c r="V18" s="773"/>
      <c r="W18" s="774"/>
      <c r="X18" s="1813"/>
      <c r="Y18" s="3229"/>
      <c r="Z18" s="1814"/>
      <c r="AA18" s="1811">
        <v>1</v>
      </c>
      <c r="AB18" s="1811">
        <v>1</v>
      </c>
      <c r="AC18" s="1811">
        <v>1</v>
      </c>
    </row>
    <row r="19" spans="1:29" ht="71.25">
      <c r="A19" s="428"/>
      <c r="B19" s="451" t="s">
        <v>2692</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229"/>
      <c r="Q19" s="1810" t="str">
        <f>B19</f>
        <v>办公集聚程度</v>
      </c>
      <c r="R19" s="773" t="s">
        <v>17</v>
      </c>
      <c r="S19" s="774">
        <f>F19</f>
        <v>100</v>
      </c>
      <c r="T19" s="773" t="s">
        <v>17</v>
      </c>
      <c r="U19" s="774">
        <f>H19</f>
        <v>100</v>
      </c>
      <c r="V19" s="773" t="s">
        <v>17</v>
      </c>
      <c r="W19" s="774">
        <f>J19</f>
        <v>100</v>
      </c>
      <c r="X19" s="1813"/>
      <c r="Y19" s="3229"/>
      <c r="Z19" s="1814" t="str">
        <f>Q19</f>
        <v>办公集聚程度</v>
      </c>
      <c r="AA19" s="1811">
        <f t="shared" si="3"/>
        <v>1</v>
      </c>
      <c r="AB19" s="1811">
        <f t="shared" si="4"/>
        <v>1</v>
      </c>
      <c r="AC19" s="1811">
        <f t="shared" si="5"/>
        <v>1</v>
      </c>
    </row>
    <row r="20" spans="1:29" ht="15">
      <c r="A20" s="428"/>
      <c r="B20" s="456"/>
      <c r="C20" s="2610" t="s">
        <v>3246</v>
      </c>
      <c r="D20" s="448"/>
      <c r="E20" s="2968" t="s">
        <v>3235</v>
      </c>
      <c r="F20" s="448"/>
      <c r="G20" s="2610" t="s">
        <v>3246</v>
      </c>
      <c r="H20" s="448"/>
      <c r="I20" s="2610" t="s">
        <v>3246</v>
      </c>
      <c r="J20" s="448"/>
      <c r="K20" s="671"/>
      <c r="L20" s="1142"/>
      <c r="M20" s="1133"/>
      <c r="N20" s="1133"/>
      <c r="O20" s="1141"/>
      <c r="P20" s="3229"/>
      <c r="Q20" s="1810"/>
      <c r="R20" s="773"/>
      <c r="S20" s="774"/>
      <c r="T20" s="773"/>
      <c r="U20" s="774"/>
      <c r="V20" s="773"/>
      <c r="W20" s="774"/>
      <c r="X20" s="1813"/>
      <c r="Y20" s="3229"/>
      <c r="Z20" s="1814"/>
      <c r="AA20" s="1811">
        <v>1</v>
      </c>
      <c r="AB20" s="1811">
        <v>1</v>
      </c>
      <c r="AC20" s="1811">
        <v>1</v>
      </c>
    </row>
    <row r="21" spans="1:29" ht="85.5">
      <c r="A21" s="428"/>
      <c r="B21" s="451" t="s">
        <v>2714</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229"/>
      <c r="Q21" s="1810" t="str">
        <f>B21</f>
        <v>交通便捷度</v>
      </c>
      <c r="R21" s="773" t="s">
        <v>17</v>
      </c>
      <c r="S21" s="774">
        <f>F21</f>
        <v>100</v>
      </c>
      <c r="T21" s="773" t="s">
        <v>17</v>
      </c>
      <c r="U21" s="774">
        <f>H21</f>
        <v>100</v>
      </c>
      <c r="V21" s="773" t="s">
        <v>17</v>
      </c>
      <c r="W21" s="774">
        <f>J21</f>
        <v>100</v>
      </c>
      <c r="X21" s="1813"/>
      <c r="Y21" s="3229"/>
      <c r="Z21" s="1814" t="str">
        <f>Q21</f>
        <v>交通便捷度</v>
      </c>
      <c r="AA21" s="1811">
        <f t="shared" si="3"/>
        <v>1</v>
      </c>
      <c r="AB21" s="1811">
        <f t="shared" si="4"/>
        <v>1</v>
      </c>
      <c r="AC21" s="1811">
        <f t="shared" si="5"/>
        <v>1</v>
      </c>
    </row>
    <row r="22" spans="1:29" ht="15">
      <c r="A22" s="428"/>
      <c r="B22" s="1386"/>
      <c r="C22" s="447" t="s">
        <v>3246</v>
      </c>
      <c r="D22" s="450"/>
      <c r="E22" s="2968" t="s">
        <v>3235</v>
      </c>
      <c r="F22" s="448"/>
      <c r="G22" s="2610" t="s">
        <v>3246</v>
      </c>
      <c r="H22" s="448"/>
      <c r="I22" s="2610" t="s">
        <v>3246</v>
      </c>
      <c r="J22" s="448"/>
      <c r="K22" s="671"/>
      <c r="L22" s="1142"/>
      <c r="M22" s="1133"/>
      <c r="N22" s="1133"/>
      <c r="O22" s="1141"/>
      <c r="P22" s="3229"/>
      <c r="Q22" s="1810"/>
      <c r="R22" s="773"/>
      <c r="S22" s="774"/>
      <c r="T22" s="773"/>
      <c r="U22" s="774"/>
      <c r="V22" s="773"/>
      <c r="W22" s="774"/>
      <c r="X22" s="1813"/>
      <c r="Y22" s="3229"/>
      <c r="Z22" s="1814"/>
      <c r="AA22" s="1811">
        <v>1</v>
      </c>
      <c r="AB22" s="1811">
        <v>1</v>
      </c>
      <c r="AC22" s="1811">
        <v>1</v>
      </c>
    </row>
    <row r="23" spans="1:29" ht="15">
      <c r="A23" s="404"/>
      <c r="B23" s="451" t="s">
        <v>2753</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229"/>
      <c r="Q23" s="1810" t="str">
        <f t="shared" ref="Q23:Q37" si="8">B23</f>
        <v>区域土地利用方向</v>
      </c>
      <c r="R23" s="773" t="s">
        <v>17</v>
      </c>
      <c r="S23" s="774">
        <f>F23</f>
        <v>100</v>
      </c>
      <c r="T23" s="773" t="s">
        <v>17</v>
      </c>
      <c r="U23" s="774">
        <f>H23</f>
        <v>100</v>
      </c>
      <c r="V23" s="773" t="s">
        <v>17</v>
      </c>
      <c r="W23" s="774">
        <f>J23</f>
        <v>100</v>
      </c>
      <c r="X23" s="1813"/>
      <c r="Y23" s="3229"/>
      <c r="Z23" s="1814" t="str">
        <f>Q23</f>
        <v>区域土地利用方向</v>
      </c>
      <c r="AA23" s="1811">
        <f t="shared" si="3"/>
        <v>1</v>
      </c>
      <c r="AB23" s="1811">
        <f t="shared" si="4"/>
        <v>1</v>
      </c>
      <c r="AC23" s="1811">
        <f t="shared" si="5"/>
        <v>1</v>
      </c>
    </row>
    <row r="24" spans="1:29" ht="15">
      <c r="A24" s="404"/>
      <c r="B24" s="456"/>
      <c r="C24" s="616" t="s">
        <v>3234</v>
      </c>
      <c r="D24" s="448"/>
      <c r="E24" s="2607" t="s">
        <v>3234</v>
      </c>
      <c r="F24" s="448"/>
      <c r="G24" s="2606" t="s">
        <v>3234</v>
      </c>
      <c r="H24" s="448"/>
      <c r="I24" s="2606" t="s">
        <v>3234</v>
      </c>
      <c r="J24" s="448"/>
      <c r="K24" s="811"/>
      <c r="L24" s="1142"/>
      <c r="M24" s="1133"/>
      <c r="N24" s="1133"/>
      <c r="O24" s="1141"/>
      <c r="P24" s="3229"/>
      <c r="Q24" s="1810"/>
      <c r="R24" s="773"/>
      <c r="S24" s="774"/>
      <c r="T24" s="773"/>
      <c r="U24" s="774"/>
      <c r="V24" s="773"/>
      <c r="W24" s="774"/>
      <c r="X24" s="1813"/>
      <c r="Y24" s="3229"/>
      <c r="Z24" s="1814"/>
      <c r="AA24" s="1811"/>
      <c r="AB24" s="1811"/>
      <c r="AC24" s="1811"/>
    </row>
    <row r="25" spans="1:29" ht="57">
      <c r="A25" s="404"/>
      <c r="B25" s="1386" t="s">
        <v>2754</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229"/>
      <c r="Q25" s="1810" t="str">
        <f t="shared" si="8"/>
        <v>自然及人文环境状况</v>
      </c>
      <c r="R25" s="773" t="s">
        <v>17</v>
      </c>
      <c r="S25" s="774">
        <f>F25</f>
        <v>100</v>
      </c>
      <c r="T25" s="773" t="s">
        <v>17</v>
      </c>
      <c r="U25" s="774">
        <f>H25</f>
        <v>100</v>
      </c>
      <c r="V25" s="773" t="s">
        <v>17</v>
      </c>
      <c r="W25" s="774">
        <f>J25</f>
        <v>100</v>
      </c>
      <c r="X25" s="1813"/>
      <c r="Y25" s="3229"/>
      <c r="Z25" s="1814" t="str">
        <f>Q25</f>
        <v>自然及人文环境状况</v>
      </c>
      <c r="AA25" s="1811">
        <f t="shared" si="3"/>
        <v>1</v>
      </c>
      <c r="AB25" s="1811">
        <f t="shared" si="4"/>
        <v>1</v>
      </c>
      <c r="AC25" s="1811">
        <f t="shared" si="5"/>
        <v>1</v>
      </c>
    </row>
    <row r="26" spans="1:29" ht="15">
      <c r="A26" s="404"/>
      <c r="B26" s="456"/>
      <c r="C26" s="447" t="s">
        <v>3246</v>
      </c>
      <c r="D26" s="448"/>
      <c r="E26" s="447" t="s">
        <v>3246</v>
      </c>
      <c r="F26" s="448"/>
      <c r="G26" s="447" t="s">
        <v>3246</v>
      </c>
      <c r="H26" s="448"/>
      <c r="I26" s="447" t="s">
        <v>3246</v>
      </c>
      <c r="J26" s="448"/>
      <c r="K26" s="671"/>
      <c r="L26" s="1142"/>
      <c r="M26" s="1133"/>
      <c r="N26" s="1133"/>
      <c r="O26" s="1141"/>
      <c r="P26" s="3229"/>
      <c r="Q26" s="1810"/>
      <c r="R26" s="773"/>
      <c r="S26" s="774"/>
      <c r="T26" s="773"/>
      <c r="U26" s="774"/>
      <c r="V26" s="773"/>
      <c r="W26" s="774"/>
      <c r="X26" s="1813"/>
      <c r="Y26" s="3229"/>
      <c r="Z26" s="1814"/>
      <c r="AA26" s="1811">
        <v>1</v>
      </c>
      <c r="AB26" s="1811">
        <v>1</v>
      </c>
      <c r="AC26" s="1811">
        <v>1</v>
      </c>
    </row>
    <row r="27" spans="1:29" s="117" customFormat="1" ht="42.75">
      <c r="A27" s="648"/>
      <c r="B27" s="1386" t="s">
        <v>2659</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229"/>
      <c r="Q27" s="1795" t="str">
        <f t="shared" si="8"/>
        <v>公共配套设施</v>
      </c>
      <c r="R27" s="769" t="s">
        <v>17</v>
      </c>
      <c r="S27" s="770">
        <f>F27</f>
        <v>100</v>
      </c>
      <c r="T27" s="769" t="s">
        <v>17</v>
      </c>
      <c r="U27" s="770">
        <f>H27</f>
        <v>100</v>
      </c>
      <c r="V27" s="769" t="s">
        <v>17</v>
      </c>
      <c r="W27" s="770">
        <f>J27</f>
        <v>100</v>
      </c>
      <c r="X27" s="771"/>
      <c r="Y27" s="3229"/>
      <c r="Z27" s="55" t="str">
        <f>Q27</f>
        <v>公共配套设施</v>
      </c>
      <c r="AA27" s="1811">
        <f>D27/F27</f>
        <v>1</v>
      </c>
      <c r="AB27" s="1811">
        <f>D27/H27</f>
        <v>1</v>
      </c>
      <c r="AC27" s="1811">
        <f>D27/J27</f>
        <v>1</v>
      </c>
    </row>
    <row r="28" spans="1:29" s="117" customFormat="1" ht="15">
      <c r="A28" s="648"/>
      <c r="B28" s="456"/>
      <c r="C28" s="447" t="s">
        <v>3246</v>
      </c>
      <c r="D28" s="448"/>
      <c r="E28" s="2613" t="s">
        <v>3234</v>
      </c>
      <c r="F28" s="448"/>
      <c r="G28" s="447" t="s">
        <v>3246</v>
      </c>
      <c r="H28" s="448"/>
      <c r="I28" s="447" t="s">
        <v>3246</v>
      </c>
      <c r="J28" s="448"/>
      <c r="K28" s="671"/>
      <c r="L28" s="1134"/>
      <c r="M28" s="1135"/>
      <c r="N28" s="1135"/>
      <c r="O28" s="1136"/>
      <c r="P28" s="3229"/>
      <c r="Q28" s="1795"/>
      <c r="R28" s="769"/>
      <c r="S28" s="770"/>
      <c r="T28" s="769"/>
      <c r="U28" s="770"/>
      <c r="V28" s="769"/>
      <c r="W28" s="770"/>
      <c r="X28" s="771"/>
      <c r="Y28" s="3229"/>
      <c r="Z28" s="55"/>
      <c r="AA28" s="1811">
        <v>1</v>
      </c>
      <c r="AB28" s="1811">
        <v>1</v>
      </c>
      <c r="AC28" s="1811">
        <v>1</v>
      </c>
    </row>
    <row r="29" spans="1:29" s="117" customFormat="1" ht="28.5">
      <c r="A29" s="648"/>
      <c r="B29" s="1386" t="s">
        <v>2660</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229"/>
      <c r="Q29" s="1795" t="str">
        <f t="shared" ref="Q29" si="9">B29</f>
        <v>基础设施水平</v>
      </c>
      <c r="R29" s="769" t="s">
        <v>17</v>
      </c>
      <c r="S29" s="770">
        <f>F29</f>
        <v>100</v>
      </c>
      <c r="T29" s="769" t="s">
        <v>17</v>
      </c>
      <c r="U29" s="770">
        <f>H29</f>
        <v>100</v>
      </c>
      <c r="V29" s="769" t="s">
        <v>17</v>
      </c>
      <c r="W29" s="770">
        <f>J29</f>
        <v>100</v>
      </c>
      <c r="X29" s="771"/>
      <c r="Y29" s="3229"/>
      <c r="Z29" s="55" t="str">
        <f>Q29</f>
        <v>基础设施水平</v>
      </c>
      <c r="AA29" s="1811">
        <f>D29/F29</f>
        <v>1</v>
      </c>
      <c r="AB29" s="1811">
        <f>D29/H29</f>
        <v>1</v>
      </c>
      <c r="AC29" s="1811">
        <f>D29/J29</f>
        <v>1</v>
      </c>
    </row>
    <row r="30" spans="1:29" s="117" customFormat="1" ht="15">
      <c r="A30" s="648"/>
      <c r="B30" s="456"/>
      <c r="C30" s="2702" t="s">
        <v>3228</v>
      </c>
      <c r="D30" s="448"/>
      <c r="E30" s="2702" t="s">
        <v>3228</v>
      </c>
      <c r="F30" s="448"/>
      <c r="G30" s="2702" t="s">
        <v>3228</v>
      </c>
      <c r="H30" s="448"/>
      <c r="I30" s="2702" t="s">
        <v>3228</v>
      </c>
      <c r="J30" s="448"/>
      <c r="K30" s="671"/>
      <c r="L30" s="1134"/>
      <c r="M30" s="1135"/>
      <c r="N30" s="1135"/>
      <c r="O30" s="1136"/>
      <c r="P30" s="3229"/>
      <c r="Q30" s="1795"/>
      <c r="R30" s="769"/>
      <c r="S30" s="770"/>
      <c r="T30" s="769"/>
      <c r="U30" s="770"/>
      <c r="V30" s="769"/>
      <c r="W30" s="770"/>
      <c r="X30" s="771"/>
      <c r="Y30" s="3229"/>
      <c r="Z30" s="55"/>
      <c r="AA30" s="1811">
        <v>1</v>
      </c>
      <c r="AB30" s="1811">
        <v>1</v>
      </c>
      <c r="AC30" s="1811">
        <v>1</v>
      </c>
    </row>
    <row r="31" spans="1:29" ht="15" hidden="1">
      <c r="A31" s="428"/>
      <c r="B31" s="456" t="s">
        <v>2661</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229"/>
      <c r="Q31" s="1810" t="str">
        <f t="shared" si="8"/>
        <v>临街状况</v>
      </c>
      <c r="R31" s="773" t="s">
        <v>17</v>
      </c>
      <c r="S31" s="774">
        <f t="shared" ref="S31:S45" si="10">F31</f>
        <v>100</v>
      </c>
      <c r="T31" s="773" t="s">
        <v>17</v>
      </c>
      <c r="U31" s="774">
        <f t="shared" ref="U31:U45" si="11">H31</f>
        <v>100</v>
      </c>
      <c r="V31" s="773" t="s">
        <v>17</v>
      </c>
      <c r="W31" s="774">
        <f t="shared" ref="W31:W45" si="12">J31</f>
        <v>100</v>
      </c>
      <c r="X31" s="1813"/>
      <c r="Y31" s="3229"/>
      <c r="Z31" s="1814" t="str">
        <f t="shared" ref="Z31:Z45" si="13">Q31</f>
        <v>临街状况</v>
      </c>
      <c r="AA31" s="1811">
        <f t="shared" si="3"/>
        <v>1</v>
      </c>
      <c r="AB31" s="1811">
        <f t="shared" si="4"/>
        <v>1</v>
      </c>
      <c r="AC31" s="1811">
        <f t="shared" si="5"/>
        <v>1</v>
      </c>
    </row>
    <row r="32" spans="1:29" ht="27">
      <c r="A32" s="428"/>
      <c r="B32" s="1386" t="s">
        <v>2696</v>
      </c>
      <c r="C32" s="2962" t="s">
        <v>3220</v>
      </c>
      <c r="D32" s="450">
        <v>100</v>
      </c>
      <c r="E32" s="2967" t="s">
        <v>3245</v>
      </c>
      <c r="F32" s="450">
        <f>SUMIF(106:106,E33,107:107)-SUMIF(106:106,C33,107:107)+100</f>
        <v>100</v>
      </c>
      <c r="G32" s="2967" t="s">
        <v>3243</v>
      </c>
      <c r="H32" s="450">
        <f>SUMIF(106:106,G33,107:107)-SUMIF(106:106,C33,107:107)+100</f>
        <v>100</v>
      </c>
      <c r="I32" s="2962" t="s">
        <v>3244</v>
      </c>
      <c r="J32" s="450">
        <f>SUMIF(106:106,I33,107:107)-SUMIF(106:106,C33,107:107)+100</f>
        <v>100</v>
      </c>
      <c r="K32" s="672">
        <v>2</v>
      </c>
      <c r="L32" s="1142"/>
      <c r="M32" s="1133"/>
      <c r="N32" s="1133"/>
      <c r="O32" s="1141"/>
      <c r="P32" s="3229"/>
      <c r="Q32" s="1810" t="str">
        <f t="shared" si="8"/>
        <v>毗邻道路的类型与等级</v>
      </c>
      <c r="R32" s="773" t="s">
        <v>17</v>
      </c>
      <c r="S32" s="774">
        <f t="shared" si="10"/>
        <v>100</v>
      </c>
      <c r="T32" s="773" t="s">
        <v>17</v>
      </c>
      <c r="U32" s="774">
        <f t="shared" si="11"/>
        <v>100</v>
      </c>
      <c r="V32" s="773" t="s">
        <v>17</v>
      </c>
      <c r="W32" s="774">
        <f t="shared" si="12"/>
        <v>100</v>
      </c>
      <c r="X32" s="1813"/>
      <c r="Y32" s="3229"/>
      <c r="Z32" s="1814" t="str">
        <f t="shared" si="13"/>
        <v>毗邻道路的类型与等级</v>
      </c>
      <c r="AA32" s="1811">
        <f t="shared" si="3"/>
        <v>1</v>
      </c>
      <c r="AB32" s="1811">
        <f t="shared" si="4"/>
        <v>1</v>
      </c>
      <c r="AC32" s="1811">
        <f t="shared" si="5"/>
        <v>1</v>
      </c>
    </row>
    <row r="33" spans="1:29" ht="15.75" thickBot="1">
      <c r="A33" s="428"/>
      <c r="B33" s="456"/>
      <c r="C33" s="447" t="s">
        <v>3217</v>
      </c>
      <c r="D33" s="448"/>
      <c r="E33" s="447" t="s">
        <v>3217</v>
      </c>
      <c r="F33" s="448"/>
      <c r="G33" s="447" t="s">
        <v>3217</v>
      </c>
      <c r="H33" s="448"/>
      <c r="I33" s="447" t="s">
        <v>3217</v>
      </c>
      <c r="J33" s="448"/>
      <c r="K33" s="613"/>
      <c r="L33" s="1142"/>
      <c r="M33" s="1133"/>
      <c r="N33" s="1133"/>
      <c r="O33" s="1141"/>
      <c r="P33" s="3229"/>
      <c r="Q33" s="1810"/>
      <c r="R33" s="773"/>
      <c r="S33" s="774"/>
      <c r="T33" s="773"/>
      <c r="U33" s="774"/>
      <c r="V33" s="773"/>
      <c r="W33" s="774"/>
      <c r="X33" s="1813"/>
      <c r="Y33" s="3229"/>
      <c r="Z33" s="1814"/>
      <c r="AA33" s="1811">
        <v>1</v>
      </c>
      <c r="AB33" s="1811">
        <v>1</v>
      </c>
      <c r="AC33" s="1811">
        <v>1</v>
      </c>
    </row>
    <row r="34" spans="1:29" ht="15" hidden="1">
      <c r="A34" s="428"/>
      <c r="B34" s="422" t="s">
        <v>2755</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229"/>
      <c r="Q34" s="1810" t="str">
        <f t="shared" si="8"/>
        <v>土地级别</v>
      </c>
      <c r="R34" s="773" t="s">
        <v>17</v>
      </c>
      <c r="S34" s="774">
        <f t="shared" si="10"/>
        <v>100</v>
      </c>
      <c r="T34" s="773" t="s">
        <v>17</v>
      </c>
      <c r="U34" s="774">
        <f t="shared" si="11"/>
        <v>100</v>
      </c>
      <c r="V34" s="773" t="s">
        <v>17</v>
      </c>
      <c r="W34" s="774">
        <f t="shared" si="12"/>
        <v>100</v>
      </c>
      <c r="X34" s="1813"/>
      <c r="Y34" s="3229"/>
      <c r="Z34" s="1814" t="str">
        <f t="shared" si="13"/>
        <v>土地级别</v>
      </c>
      <c r="AA34" s="1811">
        <f t="shared" si="3"/>
        <v>1</v>
      </c>
      <c r="AB34" s="1811">
        <f t="shared" si="4"/>
        <v>1</v>
      </c>
      <c r="AC34" s="1811">
        <f t="shared" si="5"/>
        <v>1</v>
      </c>
    </row>
    <row r="35" spans="1:29" ht="15" hidden="1">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229"/>
      <c r="Q35" s="1810">
        <f t="shared" si="8"/>
        <v>111</v>
      </c>
      <c r="R35" s="773" t="s">
        <v>17</v>
      </c>
      <c r="S35" s="774">
        <f t="shared" si="10"/>
        <v>100</v>
      </c>
      <c r="T35" s="773" t="s">
        <v>17</v>
      </c>
      <c r="U35" s="774">
        <f t="shared" si="11"/>
        <v>100</v>
      </c>
      <c r="V35" s="773" t="s">
        <v>17</v>
      </c>
      <c r="W35" s="774">
        <f t="shared" si="12"/>
        <v>100</v>
      </c>
      <c r="X35" s="1813"/>
      <c r="Y35" s="3229"/>
      <c r="Z35" s="1814">
        <f t="shared" si="13"/>
        <v>111</v>
      </c>
      <c r="AA35" s="1811">
        <f t="shared" si="3"/>
        <v>1</v>
      </c>
      <c r="AB35" s="1811">
        <f t="shared" si="4"/>
        <v>1</v>
      </c>
      <c r="AC35" s="1811">
        <f t="shared" si="5"/>
        <v>1</v>
      </c>
    </row>
    <row r="36" spans="1:29" ht="15" hidden="1">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254" t="s">
        <v>2570</v>
      </c>
      <c r="Q36" s="1810">
        <f t="shared" si="8"/>
        <v>111</v>
      </c>
      <c r="R36" s="773" t="s">
        <v>17</v>
      </c>
      <c r="S36" s="774">
        <f t="shared" si="10"/>
        <v>100</v>
      </c>
      <c r="T36" s="773" t="s">
        <v>17</v>
      </c>
      <c r="U36" s="774">
        <f t="shared" si="11"/>
        <v>100</v>
      </c>
      <c r="V36" s="773" t="s">
        <v>17</v>
      </c>
      <c r="W36" s="774">
        <f t="shared" si="12"/>
        <v>100</v>
      </c>
      <c r="X36" s="1813"/>
      <c r="Y36" s="3233" t="s">
        <v>2570</v>
      </c>
      <c r="Z36" s="1814">
        <f t="shared" si="13"/>
        <v>111</v>
      </c>
      <c r="AA36" s="1811">
        <f t="shared" si="3"/>
        <v>1</v>
      </c>
      <c r="AB36" s="1811">
        <f t="shared" si="4"/>
        <v>1</v>
      </c>
      <c r="AC36" s="1811">
        <f t="shared" si="5"/>
        <v>1</v>
      </c>
    </row>
    <row r="37" spans="1:29" s="471" customFormat="1" ht="15.75" hidden="1"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233"/>
      <c r="Q37" s="1810">
        <f t="shared" si="8"/>
        <v>111</v>
      </c>
      <c r="R37" s="776" t="s">
        <v>17</v>
      </c>
      <c r="S37" s="777">
        <f t="shared" si="10"/>
        <v>100</v>
      </c>
      <c r="T37" s="776" t="s">
        <v>17</v>
      </c>
      <c r="U37" s="777">
        <f t="shared" si="11"/>
        <v>100</v>
      </c>
      <c r="V37" s="776" t="s">
        <v>17</v>
      </c>
      <c r="W37" s="777">
        <f t="shared" si="12"/>
        <v>100</v>
      </c>
      <c r="X37" s="778"/>
      <c r="Y37" s="3233"/>
      <c r="Z37" s="779">
        <f t="shared" si="13"/>
        <v>111</v>
      </c>
      <c r="AA37" s="1811">
        <f t="shared" si="3"/>
        <v>1</v>
      </c>
      <c r="AB37" s="1811">
        <f t="shared" si="4"/>
        <v>1</v>
      </c>
      <c r="AC37" s="1811">
        <f t="shared" si="5"/>
        <v>1</v>
      </c>
    </row>
    <row r="38" spans="1:29" ht="15">
      <c r="A38" s="472" t="s">
        <v>2568</v>
      </c>
      <c r="B38" s="456" t="s">
        <v>2756</v>
      </c>
      <c r="C38" s="678">
        <v>15503</v>
      </c>
      <c r="D38" s="467">
        <v>100</v>
      </c>
      <c r="E38" s="678">
        <f>土地案例!D4</f>
        <v>13203</v>
      </c>
      <c r="F38" s="467">
        <f>LOOKUP(E38,117:117,118:118)-LOOKUP(C38,117:117,118:118)+100</f>
        <v>100</v>
      </c>
      <c r="G38" s="678">
        <f>土地案例!D7</f>
        <v>49739</v>
      </c>
      <c r="H38" s="467">
        <f>LOOKUP(G38,117:117,118:118)-LOOKUP(C38,117:117,118:118)+100</f>
        <v>102</v>
      </c>
      <c r="I38" s="530">
        <f>土地案例!D8</f>
        <v>17980</v>
      </c>
      <c r="J38" s="467">
        <f>LOOKUP(I38,117:117,118:118)-LOOKUP(C38,117:117,118:118)+100</f>
        <v>100</v>
      </c>
      <c r="K38" s="613"/>
      <c r="L38" s="1142"/>
      <c r="M38" s="1133"/>
      <c r="N38" s="1133"/>
      <c r="O38" s="1141"/>
      <c r="P38" s="3233"/>
      <c r="Q38" s="1810" t="str">
        <f>B38</f>
        <v>宗地面积</v>
      </c>
      <c r="R38" s="773" t="s">
        <v>17</v>
      </c>
      <c r="S38" s="774">
        <f t="shared" si="10"/>
        <v>100</v>
      </c>
      <c r="T38" s="773" t="s">
        <v>17</v>
      </c>
      <c r="U38" s="774">
        <f t="shared" si="11"/>
        <v>102</v>
      </c>
      <c r="V38" s="773" t="s">
        <v>17</v>
      </c>
      <c r="W38" s="774">
        <f t="shared" si="12"/>
        <v>100</v>
      </c>
      <c r="X38" s="1813"/>
      <c r="Y38" s="3233"/>
      <c r="Z38" s="1814" t="str">
        <f t="shared" si="13"/>
        <v>宗地面积</v>
      </c>
      <c r="AA38" s="1811">
        <f t="shared" si="3"/>
        <v>1</v>
      </c>
      <c r="AB38" s="1811">
        <f t="shared" si="4"/>
        <v>0.98039215686274506</v>
      </c>
      <c r="AC38" s="1811">
        <f t="shared" si="5"/>
        <v>1</v>
      </c>
    </row>
    <row r="39" spans="1:29" ht="15">
      <c r="A39" s="472"/>
      <c r="B39" s="422" t="s">
        <v>2757</v>
      </c>
      <c r="C39" s="2615" t="s">
        <v>3222</v>
      </c>
      <c r="D39" s="435">
        <v>100</v>
      </c>
      <c r="E39" s="2615" t="s">
        <v>3222</v>
      </c>
      <c r="F39" s="435">
        <f>SUMIF(119:119,E39,120:120)-SUMIF(119:119,C39,120:120)+100</f>
        <v>100</v>
      </c>
      <c r="G39" s="2615" t="s">
        <v>3222</v>
      </c>
      <c r="H39" s="435">
        <f>SUMIF(119:119,G39,120:120)-SUMIF(119:119,C39,120:120)+100</f>
        <v>100</v>
      </c>
      <c r="I39" s="2615" t="s">
        <v>3222</v>
      </c>
      <c r="J39" s="435">
        <f>SUMIF(119:119,I39,120:120)-SUMIF(119:119,C39,120:120)+100</f>
        <v>100</v>
      </c>
      <c r="K39" s="612">
        <v>2</v>
      </c>
      <c r="L39" s="1142"/>
      <c r="M39" s="1133"/>
      <c r="N39" s="1133"/>
      <c r="O39" s="1141"/>
      <c r="P39" s="3233"/>
      <c r="Q39" s="1810" t="str">
        <f t="shared" ref="Q39:Q45" si="14">B39</f>
        <v>宗地形状</v>
      </c>
      <c r="R39" s="773" t="s">
        <v>17</v>
      </c>
      <c r="S39" s="774">
        <f t="shared" si="10"/>
        <v>100</v>
      </c>
      <c r="T39" s="773" t="s">
        <v>17</v>
      </c>
      <c r="U39" s="774">
        <f t="shared" si="11"/>
        <v>100</v>
      </c>
      <c r="V39" s="773" t="s">
        <v>17</v>
      </c>
      <c r="W39" s="774">
        <f t="shared" si="12"/>
        <v>100</v>
      </c>
      <c r="X39" s="1813"/>
      <c r="Y39" s="3233"/>
      <c r="Z39" s="1814" t="str">
        <f t="shared" si="13"/>
        <v>宗地形状</v>
      </c>
      <c r="AA39" s="1811">
        <f t="shared" si="3"/>
        <v>1</v>
      </c>
      <c r="AB39" s="1811">
        <f t="shared" si="4"/>
        <v>1</v>
      </c>
      <c r="AC39" s="1811">
        <f t="shared" si="5"/>
        <v>1</v>
      </c>
    </row>
    <row r="40" spans="1:29" ht="15">
      <c r="A40" s="472"/>
      <c r="B40" s="422" t="s">
        <v>2758</v>
      </c>
      <c r="C40" s="2615" t="s">
        <v>3225</v>
      </c>
      <c r="D40" s="435">
        <v>100</v>
      </c>
      <c r="E40" s="2615" t="s">
        <v>3225</v>
      </c>
      <c r="F40" s="435">
        <f>SUMIF(121:121,E40,122:122)-SUMIF(121:121,C40,122:122)+100</f>
        <v>100</v>
      </c>
      <c r="G40" s="2615" t="s">
        <v>3225</v>
      </c>
      <c r="H40" s="435">
        <f>SUMIF(121:121,G40,122:122)-SUMIF(121:121,C40,122:122)+100</f>
        <v>100</v>
      </c>
      <c r="I40" s="2615" t="s">
        <v>3225</v>
      </c>
      <c r="J40" s="435">
        <f>SUMIF(121:121,I40,122:122)-SUMIF(121:121,C40,122:122)+100</f>
        <v>100</v>
      </c>
      <c r="K40" s="612">
        <v>2</v>
      </c>
      <c r="L40" s="1142"/>
      <c r="M40" s="1133"/>
      <c r="N40" s="1133"/>
      <c r="O40" s="1141"/>
      <c r="P40" s="3233"/>
      <c r="Q40" s="1810" t="str">
        <f t="shared" si="14"/>
        <v>临街宽度及深度</v>
      </c>
      <c r="R40" s="773" t="s">
        <v>17</v>
      </c>
      <c r="S40" s="774">
        <f t="shared" si="10"/>
        <v>100</v>
      </c>
      <c r="T40" s="773" t="s">
        <v>17</v>
      </c>
      <c r="U40" s="774">
        <f t="shared" si="11"/>
        <v>100</v>
      </c>
      <c r="V40" s="773" t="s">
        <v>17</v>
      </c>
      <c r="W40" s="774">
        <f t="shared" si="12"/>
        <v>100</v>
      </c>
      <c r="X40" s="1813"/>
      <c r="Y40" s="3233"/>
      <c r="Z40" s="1814" t="str">
        <f t="shared" si="13"/>
        <v>临街宽度及深度</v>
      </c>
      <c r="AA40" s="1811">
        <f t="shared" si="3"/>
        <v>1</v>
      </c>
      <c r="AB40" s="1811">
        <f t="shared" si="4"/>
        <v>1</v>
      </c>
      <c r="AC40" s="1811">
        <f t="shared" si="5"/>
        <v>1</v>
      </c>
    </row>
    <row r="41" spans="1:29" s="117" customFormat="1" ht="15">
      <c r="A41" s="473"/>
      <c r="B41" s="422" t="s">
        <v>2759</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v>2</v>
      </c>
      <c r="L41" s="1134"/>
      <c r="M41" s="1135"/>
      <c r="N41" s="1135"/>
      <c r="O41" s="1136"/>
      <c r="P41" s="3233"/>
      <c r="Q41" s="1810" t="str">
        <f t="shared" si="14"/>
        <v>宗地开发程度</v>
      </c>
      <c r="R41" s="769" t="s">
        <v>17</v>
      </c>
      <c r="S41" s="770">
        <f t="shared" si="10"/>
        <v>100</v>
      </c>
      <c r="T41" s="769" t="s">
        <v>17</v>
      </c>
      <c r="U41" s="770">
        <f t="shared" si="11"/>
        <v>100</v>
      </c>
      <c r="V41" s="769" t="s">
        <v>17</v>
      </c>
      <c r="W41" s="770">
        <f t="shared" si="12"/>
        <v>100</v>
      </c>
      <c r="X41" s="771"/>
      <c r="Y41" s="3233"/>
      <c r="Z41" s="55" t="str">
        <f t="shared" si="13"/>
        <v>宗地开发程度</v>
      </c>
      <c r="AA41" s="772">
        <f t="shared" si="3"/>
        <v>1</v>
      </c>
      <c r="AB41" s="772">
        <f t="shared" si="4"/>
        <v>1</v>
      </c>
      <c r="AC41" s="772">
        <f t="shared" si="5"/>
        <v>1</v>
      </c>
    </row>
    <row r="42" spans="1:29" ht="15.75" thickBot="1">
      <c r="A42" s="472"/>
      <c r="B42" s="422" t="s">
        <v>2760</v>
      </c>
      <c r="C42" s="2615" t="s">
        <v>3234</v>
      </c>
      <c r="D42" s="435">
        <v>100</v>
      </c>
      <c r="E42" s="2615" t="s">
        <v>3234</v>
      </c>
      <c r="F42" s="435">
        <f>SUMIF(125:125,E42,126:126)-SUMIF(125:125,C42,126:126)+100</f>
        <v>100</v>
      </c>
      <c r="G42" s="2615" t="s">
        <v>3234</v>
      </c>
      <c r="H42" s="435">
        <f>SUMIF(125:125,G42,126:126)-SUMIF(125:125,C42,126:126)+100</f>
        <v>100</v>
      </c>
      <c r="I42" s="2615" t="s">
        <v>3234</v>
      </c>
      <c r="J42" s="435">
        <f>SUMIF(125:125,I42,126:126)-SUMIF(125:125,C42,126:126)+100</f>
        <v>100</v>
      </c>
      <c r="K42" s="612">
        <v>2</v>
      </c>
      <c r="L42" s="1142"/>
      <c r="M42" s="1133"/>
      <c r="N42" s="1133"/>
      <c r="O42" s="1141"/>
      <c r="P42" s="3233" t="s">
        <v>2570</v>
      </c>
      <c r="Q42" s="1810" t="str">
        <f t="shared" si="14"/>
        <v>工程地质条件</v>
      </c>
      <c r="R42" s="773" t="s">
        <v>17</v>
      </c>
      <c r="S42" s="774">
        <f t="shared" si="10"/>
        <v>100</v>
      </c>
      <c r="T42" s="773" t="s">
        <v>17</v>
      </c>
      <c r="U42" s="774">
        <f t="shared" si="11"/>
        <v>100</v>
      </c>
      <c r="V42" s="773" t="s">
        <v>17</v>
      </c>
      <c r="W42" s="774">
        <f t="shared" si="12"/>
        <v>100</v>
      </c>
      <c r="X42" s="1813"/>
      <c r="Y42" s="3233" t="s">
        <v>2570</v>
      </c>
      <c r="Z42" s="1814" t="str">
        <f t="shared" si="13"/>
        <v>工程地质条件</v>
      </c>
      <c r="AA42" s="1811">
        <f t="shared" si="3"/>
        <v>1</v>
      </c>
      <c r="AB42" s="1811">
        <f t="shared" si="4"/>
        <v>1</v>
      </c>
      <c r="AC42" s="1811">
        <f t="shared" si="5"/>
        <v>1</v>
      </c>
    </row>
    <row r="43" spans="1:29" ht="15" hidden="1">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233"/>
      <c r="Q43" s="1810">
        <f t="shared" si="14"/>
        <v>111</v>
      </c>
      <c r="R43" s="773" t="s">
        <v>17</v>
      </c>
      <c r="S43" s="774">
        <f t="shared" si="10"/>
        <v>100</v>
      </c>
      <c r="T43" s="773" t="s">
        <v>17</v>
      </c>
      <c r="U43" s="774">
        <f t="shared" si="11"/>
        <v>100</v>
      </c>
      <c r="V43" s="773" t="s">
        <v>17</v>
      </c>
      <c r="W43" s="774">
        <f t="shared" si="12"/>
        <v>100</v>
      </c>
      <c r="X43" s="1813"/>
      <c r="Y43" s="3233"/>
      <c r="Z43" s="1814">
        <f t="shared" si="13"/>
        <v>111</v>
      </c>
      <c r="AA43" s="1811">
        <f t="shared" si="3"/>
        <v>1</v>
      </c>
      <c r="AB43" s="1811">
        <f t="shared" si="4"/>
        <v>1</v>
      </c>
      <c r="AC43" s="1811">
        <f t="shared" si="5"/>
        <v>1</v>
      </c>
    </row>
    <row r="44" spans="1:29" ht="15" hidden="1">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233"/>
      <c r="Q44" s="1810">
        <f t="shared" si="14"/>
        <v>111</v>
      </c>
      <c r="R44" s="773" t="s">
        <v>17</v>
      </c>
      <c r="S44" s="774">
        <f t="shared" si="10"/>
        <v>100</v>
      </c>
      <c r="T44" s="773" t="s">
        <v>17</v>
      </c>
      <c r="U44" s="774">
        <f t="shared" si="11"/>
        <v>100</v>
      </c>
      <c r="V44" s="773" t="s">
        <v>17</v>
      </c>
      <c r="W44" s="774">
        <f t="shared" si="12"/>
        <v>100</v>
      </c>
      <c r="X44" s="1813"/>
      <c r="Y44" s="3233"/>
      <c r="Z44" s="1814">
        <f t="shared" si="13"/>
        <v>111</v>
      </c>
      <c r="AA44" s="1811">
        <f t="shared" si="3"/>
        <v>1</v>
      </c>
      <c r="AB44" s="1811">
        <f t="shared" si="4"/>
        <v>1</v>
      </c>
      <c r="AC44" s="1811">
        <f t="shared" si="5"/>
        <v>1</v>
      </c>
    </row>
    <row r="45" spans="1:29" s="471" customFormat="1" ht="15.75" hidden="1" thickBot="1">
      <c r="A45" s="468"/>
      <c r="B45" s="1389">
        <v>111</v>
      </c>
      <c r="C45" s="2705"/>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233"/>
      <c r="Q45" s="1810">
        <f t="shared" si="14"/>
        <v>111</v>
      </c>
      <c r="R45" s="776" t="s">
        <v>17</v>
      </c>
      <c r="S45" s="777">
        <f t="shared" si="10"/>
        <v>100</v>
      </c>
      <c r="T45" s="776" t="s">
        <v>17</v>
      </c>
      <c r="U45" s="777">
        <f t="shared" si="11"/>
        <v>100</v>
      </c>
      <c r="V45" s="776" t="s">
        <v>17</v>
      </c>
      <c r="W45" s="777">
        <f t="shared" si="12"/>
        <v>100</v>
      </c>
      <c r="X45" s="778"/>
      <c r="Y45" s="3233"/>
      <c r="Z45" s="779">
        <f t="shared" si="13"/>
        <v>111</v>
      </c>
      <c r="AA45" s="1811">
        <f t="shared" si="3"/>
        <v>1</v>
      </c>
      <c r="AB45" s="1811">
        <f t="shared" si="4"/>
        <v>1</v>
      </c>
      <c r="AC45" s="1811">
        <f t="shared" si="5"/>
        <v>1</v>
      </c>
    </row>
    <row r="46" spans="1:29" ht="15">
      <c r="A46" s="479" t="s">
        <v>2725</v>
      </c>
      <c r="B46" s="2706" t="s">
        <v>3215</v>
      </c>
      <c r="C46" s="681" t="s">
        <v>1</v>
      </c>
      <c r="D46" s="481"/>
      <c r="E46" s="482">
        <v>3379</v>
      </c>
      <c r="F46" s="483"/>
      <c r="G46" s="484">
        <v>3267</v>
      </c>
      <c r="H46" s="485"/>
      <c r="I46" s="482">
        <v>2823</v>
      </c>
      <c r="J46" s="485"/>
      <c r="K46" s="782"/>
      <c r="L46" s="1145"/>
      <c r="M46" s="1146"/>
      <c r="N46" s="1133"/>
      <c r="O46" s="1146"/>
      <c r="P46" s="3226" t="str">
        <f>A46</f>
        <v>成交单价</v>
      </c>
      <c r="Q46" s="3226"/>
      <c r="R46" s="3221">
        <f>E46</f>
        <v>3379</v>
      </c>
      <c r="S46" s="3221"/>
      <c r="T46" s="3221">
        <f>G46</f>
        <v>3267</v>
      </c>
      <c r="U46" s="3221"/>
      <c r="V46" s="3221">
        <f>I46</f>
        <v>2823</v>
      </c>
      <c r="W46" s="3221"/>
      <c r="X46" s="758"/>
      <c r="Y46" s="780"/>
      <c r="Z46" s="758"/>
      <c r="AA46" s="758"/>
      <c r="AB46" s="758"/>
      <c r="AC46" s="758"/>
    </row>
    <row r="47" spans="1:29" ht="15.75" thickBot="1">
      <c r="A47" s="486" t="s">
        <v>2674</v>
      </c>
      <c r="B47" s="682"/>
      <c r="C47" s="490">
        <f>R48</f>
        <v>2923</v>
      </c>
      <c r="D47" s="489"/>
      <c r="E47" s="490">
        <f>R47</f>
        <v>3130</v>
      </c>
      <c r="F47" s="491"/>
      <c r="G47" s="488">
        <f>T47</f>
        <v>2997</v>
      </c>
      <c r="H47" s="489"/>
      <c r="I47" s="490">
        <f>V47</f>
        <v>2642</v>
      </c>
      <c r="J47" s="489"/>
      <c r="K47" s="783"/>
      <c r="L47" s="1145"/>
      <c r="M47" s="1146"/>
      <c r="N47" s="1146"/>
      <c r="O47" s="1146"/>
      <c r="P47" s="3226" t="str">
        <f>A47</f>
        <v>比较价值（元/平方米）</v>
      </c>
      <c r="Q47" s="3226"/>
      <c r="R47" s="3256">
        <f>ROUND(PRODUCT(R46,AA7:AA45),0)</f>
        <v>3130</v>
      </c>
      <c r="S47" s="3256"/>
      <c r="T47" s="3256">
        <f>ROUND(PRODUCT(T46,AB7:AB45),0)</f>
        <v>2997</v>
      </c>
      <c r="U47" s="3256"/>
      <c r="V47" s="3256">
        <f>ROUND(PRODUCT(V46,AC7:AC45),0)</f>
        <v>2642</v>
      </c>
      <c r="W47" s="3256"/>
      <c r="X47" s="758"/>
      <c r="Y47" s="758"/>
      <c r="Z47" s="758"/>
      <c r="AA47" s="758"/>
      <c r="AB47" s="758"/>
      <c r="AC47" s="758"/>
    </row>
    <row r="48" spans="1:29" ht="15.75" thickBot="1">
      <c r="A48" s="492" t="s">
        <v>2761</v>
      </c>
      <c r="B48" s="493"/>
      <c r="C48" s="494">
        <f>R48</f>
        <v>2923</v>
      </c>
      <c r="D48" s="494"/>
      <c r="E48" s="494"/>
      <c r="F48" s="494"/>
      <c r="G48" s="494"/>
      <c r="H48" s="494"/>
      <c r="I48" s="494"/>
      <c r="J48" s="494"/>
      <c r="K48" s="784"/>
      <c r="L48" s="1145"/>
      <c r="M48" s="1146"/>
      <c r="N48" s="1146"/>
      <c r="O48" s="1146"/>
      <c r="P48" s="3223" t="str">
        <f>A48</f>
        <v>估价对象XX用房的比较价值（楼面单价，元/平方米）</v>
      </c>
      <c r="Q48" s="3224"/>
      <c r="R48" s="3257">
        <f>ROUND(AVERAGE(R47:V47),0)</f>
        <v>2923</v>
      </c>
      <c r="S48" s="3257"/>
      <c r="T48" s="3257"/>
      <c r="U48" s="3257"/>
      <c r="V48" s="3257"/>
      <c r="W48" s="3257"/>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2676</v>
      </c>
      <c r="D51" s="498"/>
      <c r="E51" s="499">
        <f>IF(E46&lt;E47,E47/E46-1,E46/E47-1)</f>
        <v>7.9552715654952033E-2</v>
      </c>
      <c r="F51" s="500" t="str">
        <f>IF(OR(E51&gt;=0.3,E51&lt;=-0.3),"超过30%","")</f>
        <v/>
      </c>
      <c r="G51" s="499">
        <f>IF(G46&lt;G47,G47/G46-1,G46/G47-1)</f>
        <v>9.0090090090090058E-2</v>
      </c>
      <c r="H51" s="500" t="str">
        <f>IF(OR(G51&gt;=0.3,G51&lt;=-0.3),"超过30%","")</f>
        <v/>
      </c>
      <c r="I51" s="499">
        <f>IF(I46&lt;I47,I47/I46-1,I46/I47-1)</f>
        <v>6.8508705526116653E-2</v>
      </c>
      <c r="J51" s="500" t="str">
        <f>IF(OR(I51&gt;=0.3,I51&lt;=-0.3),"超过30%","")</f>
        <v/>
      </c>
      <c r="K51" s="1107"/>
      <c r="L51" s="1108"/>
      <c r="M51" s="1146"/>
      <c r="N51" s="1146"/>
      <c r="O51" s="1146"/>
    </row>
    <row r="52" spans="1:15" ht="13.5" customHeight="1">
      <c r="A52" s="1146"/>
      <c r="B52" s="1146"/>
      <c r="C52" s="497" t="s">
        <v>2677</v>
      </c>
      <c r="D52" s="501"/>
      <c r="E52" s="499">
        <f>IF(E47&lt;G47,G47/E47-1,E47/G47-1)</f>
        <v>4.437771104437771E-2</v>
      </c>
      <c r="F52" s="500" t="str">
        <f>IF(OR(E52&gt;=0.2,E52&lt;=-0.2),"超过20%","")</f>
        <v/>
      </c>
      <c r="G52" s="499">
        <f>IF(G47&lt;I47,I47/G47-1,G47/I47-1)</f>
        <v>0.13436790310370927</v>
      </c>
      <c r="H52" s="500" t="str">
        <f>IF(OR(G52&gt;=0.2,G52&lt;=-0.2),"超过20%","")</f>
        <v/>
      </c>
      <c r="I52" s="499">
        <f>IF(I47&lt;E47,E47/I47-1,I47/E47-1)</f>
        <v>0.18470855412566234</v>
      </c>
      <c r="J52" s="500" t="str">
        <f>IF(OR(I52&gt;=0.2,I52&lt;=-0.2),"超过20%","")</f>
        <v/>
      </c>
      <c r="K52" s="1107"/>
      <c r="L52" s="1108"/>
      <c r="M52" s="1146"/>
      <c r="N52" s="1146"/>
      <c r="O52" s="1146"/>
    </row>
    <row r="53" spans="1:15" s="502" customFormat="1" ht="13.5" customHeight="1">
      <c r="A53" s="1147"/>
      <c r="B53" s="1147"/>
      <c r="C53" s="497" t="s">
        <v>2678</v>
      </c>
      <c r="D53" s="501"/>
      <c r="E53" s="499">
        <f>IF(E46&lt;G46,G46/E46-1,E46/G46-1)</f>
        <v>3.4282216100397944E-2</v>
      </c>
      <c r="F53" s="500" t="str">
        <f>IF(OR(E53&gt;=0.3,E53&lt;=-0.3),"超过30%","")</f>
        <v/>
      </c>
      <c r="G53" s="499">
        <f>IF(G46&lt;I46,I46/G46-1,G46/I46-1)</f>
        <v>0.15727948990435703</v>
      </c>
      <c r="H53" s="500" t="str">
        <f>IF(OR(G53&gt;=0.3,G53&lt;=-0.3),"超过30%","")</f>
        <v/>
      </c>
      <c r="I53" s="499">
        <f>IF(I46&lt;E46,E46/I46-1,I46/E46-1)</f>
        <v>0.19695359546581659</v>
      </c>
      <c r="J53" s="500" t="str">
        <f>IF(OR(I53&gt;=0.3,I53&lt;=-0.3),"超过30%","")</f>
        <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2762</v>
      </c>
      <c r="B55" s="684" t="s">
        <v>2763</v>
      </c>
      <c r="C55" s="2707" t="s">
        <v>3253</v>
      </c>
      <c r="D55" s="2708" t="s">
        <v>2765</v>
      </c>
      <c r="E55" s="685" t="s">
        <v>2766</v>
      </c>
      <c r="F55" s="1109" t="s">
        <v>2767</v>
      </c>
      <c r="G55" s="3209" t="s">
        <v>2768</v>
      </c>
      <c r="H55" s="3258"/>
      <c r="I55" s="144" t="s">
        <v>2769</v>
      </c>
      <c r="J55" s="2709">
        <f>项目基本情况!F35</f>
        <v>0</v>
      </c>
      <c r="K55" s="2710" t="s">
        <v>2770</v>
      </c>
      <c r="L55" s="1108"/>
      <c r="M55" s="1146"/>
      <c r="N55" s="1146"/>
      <c r="O55" s="1146"/>
    </row>
    <row r="56" spans="1:15" s="691" customFormat="1">
      <c r="A56" s="687" t="s">
        <v>2771</v>
      </c>
      <c r="B56" s="688">
        <f>C48</f>
        <v>2923</v>
      </c>
      <c r="C56" s="689">
        <v>1</v>
      </c>
      <c r="D56" s="1165">
        <v>1</v>
      </c>
      <c r="E56" s="689">
        <f>'数据-汇总表'!E8+'数据-汇总表'!E9</f>
        <v>249.95</v>
      </c>
      <c r="F56" s="1105">
        <f t="shared" ref="F56:F65" si="15">ROUND(B56*E56/10000,0)</f>
        <v>73</v>
      </c>
      <c r="G56" s="3208"/>
      <c r="H56" s="3226"/>
      <c r="I56" s="1110">
        <v>1</v>
      </c>
      <c r="J56" s="1113">
        <v>1</v>
      </c>
      <c r="K56" s="1147"/>
      <c r="L56" s="943"/>
      <c r="M56" s="943"/>
      <c r="N56" s="943"/>
      <c r="O56" s="943"/>
    </row>
    <row r="57" spans="1:15" s="691" customFormat="1">
      <c r="A57" s="692" t="s">
        <v>2772</v>
      </c>
      <c r="B57" s="262">
        <f>ROUND($C$48*C57*D57,0)</f>
        <v>0</v>
      </c>
      <c r="C57" s="200">
        <f t="shared" ref="C57:C65" si="16">IF($C$55="北京市系数",I57,J57)</f>
        <v>0</v>
      </c>
      <c r="D57" s="1166">
        <v>0.25</v>
      </c>
      <c r="E57" s="693"/>
      <c r="F57" s="1105">
        <f t="shared" si="15"/>
        <v>0</v>
      </c>
      <c r="G57" s="3259" t="s">
        <v>2773</v>
      </c>
      <c r="H57" s="1106">
        <f>项目基本情况!B37</f>
        <v>0</v>
      </c>
      <c r="I57" s="1110">
        <f>SUMIF(修正!A45:A56,H57,修正!B45:B56)</f>
        <v>0</v>
      </c>
      <c r="J57" s="1114"/>
      <c r="K57" s="1146"/>
      <c r="L57" s="943"/>
      <c r="M57" s="943"/>
      <c r="N57" s="943"/>
      <c r="O57" s="943"/>
    </row>
    <row r="58" spans="1:15" s="691" customFormat="1">
      <c r="A58" s="692" t="s">
        <v>2774</v>
      </c>
      <c r="B58" s="262">
        <f t="shared" ref="B58:B65" si="17">ROUND($C$48*C58*D58,0)</f>
        <v>0</v>
      </c>
      <c r="C58" s="200">
        <f t="shared" si="16"/>
        <v>0</v>
      </c>
      <c r="D58" s="1166">
        <v>0.25</v>
      </c>
      <c r="E58" s="693"/>
      <c r="F58" s="1105">
        <f t="shared" si="15"/>
        <v>0</v>
      </c>
      <c r="G58" s="3259"/>
      <c r="H58" s="1106">
        <f>项目基本情况!B37</f>
        <v>0</v>
      </c>
      <c r="I58" s="1110">
        <f>SUMIF(修正!A45:A56,H58,修正!C45:C56)</f>
        <v>0</v>
      </c>
      <c r="J58" s="1114"/>
      <c r="K58" s="1147"/>
      <c r="L58" s="943"/>
      <c r="M58" s="943"/>
      <c r="N58" s="943"/>
      <c r="O58" s="943"/>
    </row>
    <row r="59" spans="1:15" s="691" customFormat="1">
      <c r="A59" s="692" t="s">
        <v>2775</v>
      </c>
      <c r="B59" s="262">
        <f t="shared" si="17"/>
        <v>0</v>
      </c>
      <c r="C59" s="200">
        <f t="shared" si="16"/>
        <v>0</v>
      </c>
      <c r="D59" s="1166">
        <v>0.25</v>
      </c>
      <c r="E59" s="693"/>
      <c r="F59" s="1105">
        <f t="shared" si="15"/>
        <v>0</v>
      </c>
      <c r="G59" s="3259"/>
      <c r="H59" s="1106">
        <f>项目基本情况!B37</f>
        <v>0</v>
      </c>
      <c r="I59" s="1110">
        <f>SUMIF(修正!A45:A56,H59,修正!D45:D56)</f>
        <v>0</v>
      </c>
      <c r="J59" s="1114"/>
      <c r="K59" s="1146"/>
      <c r="L59" s="943"/>
      <c r="M59" s="943"/>
      <c r="N59" s="943"/>
      <c r="O59" s="943"/>
    </row>
    <row r="60" spans="1:15" s="691" customFormat="1">
      <c r="A60" s="692" t="s">
        <v>2776</v>
      </c>
      <c r="B60" s="262">
        <f t="shared" si="17"/>
        <v>0</v>
      </c>
      <c r="C60" s="200">
        <f t="shared" si="16"/>
        <v>0</v>
      </c>
      <c r="D60" s="1166">
        <v>0.25</v>
      </c>
      <c r="E60" s="693"/>
      <c r="F60" s="1105">
        <f t="shared" si="15"/>
        <v>0</v>
      </c>
      <c r="G60" s="3259"/>
      <c r="H60" s="1106">
        <f>项目基本情况!B37</f>
        <v>0</v>
      </c>
      <c r="I60" s="1110">
        <f>SUMIF(修正!A45:A56,H60,修正!E45:E56)</f>
        <v>0</v>
      </c>
      <c r="J60" s="1114"/>
      <c r="K60" s="1147"/>
      <c r="L60" s="943"/>
      <c r="M60" s="943"/>
      <c r="N60" s="943"/>
      <c r="O60" s="943"/>
    </row>
    <row r="61" spans="1:15" s="691" customFormat="1">
      <c r="A61" s="692" t="s">
        <v>2777</v>
      </c>
      <c r="B61" s="262">
        <f t="shared" si="17"/>
        <v>0</v>
      </c>
      <c r="C61" s="200">
        <f t="shared" si="16"/>
        <v>0</v>
      </c>
      <c r="D61" s="1166">
        <v>0.25</v>
      </c>
      <c r="E61" s="261">
        <f>'数据-汇总表'!E11</f>
        <v>0</v>
      </c>
      <c r="F61" s="1105">
        <f t="shared" si="15"/>
        <v>0</v>
      </c>
      <c r="G61" s="2711" t="s">
        <v>2778</v>
      </c>
      <c r="H61" s="1106">
        <f>项目基本情况!C37</f>
        <v>0</v>
      </c>
      <c r="I61" s="1110">
        <f>SUMIF(修正!A45:A56,H61,修正!F45:F56)</f>
        <v>0</v>
      </c>
      <c r="J61" s="1114"/>
      <c r="K61" s="1146"/>
      <c r="L61" s="943"/>
      <c r="M61" s="943"/>
      <c r="N61" s="943"/>
      <c r="O61" s="943"/>
    </row>
    <row r="62" spans="1:15" s="691" customFormat="1">
      <c r="A62" s="692" t="s">
        <v>2779</v>
      </c>
      <c r="B62" s="262">
        <f t="shared" si="17"/>
        <v>0</v>
      </c>
      <c r="C62" s="200">
        <f t="shared" si="16"/>
        <v>0</v>
      </c>
      <c r="D62" s="1166">
        <v>0.25</v>
      </c>
      <c r="E62" s="261">
        <f>'数据-汇总表'!E12</f>
        <v>0</v>
      </c>
      <c r="F62" s="1105">
        <f t="shared" si="15"/>
        <v>0</v>
      </c>
      <c r="G62" s="1111" t="s">
        <v>2780</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2781</v>
      </c>
      <c r="B63" s="262">
        <f t="shared" si="17"/>
        <v>0</v>
      </c>
      <c r="C63" s="200">
        <f t="shared" si="16"/>
        <v>0</v>
      </c>
      <c r="D63" s="1166">
        <v>0.25</v>
      </c>
      <c r="E63" s="261">
        <f>'数据-汇总表'!E13</f>
        <v>0</v>
      </c>
      <c r="F63" s="1105">
        <f t="shared" si="15"/>
        <v>0</v>
      </c>
      <c r="G63" s="1111" t="s">
        <v>2782</v>
      </c>
      <c r="H63" s="1106">
        <f>IF(G63="商业",项目基本情况!B37,IF(G63="办公",项目基本情况!C37,IF(G63="住宅",项目基本情况!D37,项目基本情况!E37)))</f>
        <v>0</v>
      </c>
      <c r="I63" s="1110">
        <f>SUMIF(修正!A45:A56,H63,修正!H45:H56)</f>
        <v>0</v>
      </c>
      <c r="J63" s="1114">
        <v>0</v>
      </c>
      <c r="K63" s="1146"/>
      <c r="L63" s="943"/>
      <c r="M63" s="943"/>
      <c r="N63" s="943"/>
      <c r="O63" s="943"/>
    </row>
    <row r="64" spans="1:15" s="691" customFormat="1">
      <c r="A64" s="692" t="s">
        <v>2783</v>
      </c>
      <c r="B64" s="262">
        <f t="shared" si="17"/>
        <v>0</v>
      </c>
      <c r="C64" s="200">
        <f t="shared" si="16"/>
        <v>0</v>
      </c>
      <c r="D64" s="1166">
        <v>0.25</v>
      </c>
      <c r="E64" s="261">
        <f>'数据-汇总表'!E14</f>
        <v>0</v>
      </c>
      <c r="F64" s="1105">
        <f t="shared" si="15"/>
        <v>0</v>
      </c>
      <c r="G64" s="2711" t="s">
        <v>2773</v>
      </c>
      <c r="H64" s="1106">
        <f>项目基本情况!B37</f>
        <v>0</v>
      </c>
      <c r="I64" s="1110">
        <f>SUMIF(修正!A45:A56,H64,修正!H45:H56)</f>
        <v>0</v>
      </c>
      <c r="J64" s="1114"/>
      <c r="K64" s="1147"/>
      <c r="L64" s="943"/>
      <c r="M64" s="943"/>
      <c r="N64" s="943"/>
      <c r="O64" s="943"/>
    </row>
    <row r="65" spans="1:17" s="691" customFormat="1" ht="15" thickBot="1">
      <c r="A65" s="692" t="s">
        <v>2784</v>
      </c>
      <c r="B65" s="262">
        <f t="shared" si="17"/>
        <v>0</v>
      </c>
      <c r="C65" s="200">
        <f t="shared" si="16"/>
        <v>0</v>
      </c>
      <c r="D65" s="1166">
        <v>0.25</v>
      </c>
      <c r="E65" s="261">
        <f>'数据-汇总表'!E15</f>
        <v>0</v>
      </c>
      <c r="F65" s="1105">
        <f t="shared" si="15"/>
        <v>0</v>
      </c>
      <c r="G65" s="2712" t="s">
        <v>2778</v>
      </c>
      <c r="H65" s="1116">
        <f>项目基本情况!C37</f>
        <v>0</v>
      </c>
      <c r="I65" s="1112">
        <f>SUMIF(修正!A45:A56,H65,修正!H45:H56)</f>
        <v>0</v>
      </c>
      <c r="J65" s="1115"/>
      <c r="K65" s="1146"/>
      <c r="L65" s="943"/>
      <c r="M65" s="943"/>
      <c r="N65" s="943"/>
      <c r="O65" s="943"/>
    </row>
    <row r="66" spans="1:17" s="691" customFormat="1" ht="13.5" thickBot="1">
      <c r="A66" s="694" t="s">
        <v>2785</v>
      </c>
      <c r="B66" s="695" t="s">
        <v>28</v>
      </c>
      <c r="C66" s="695" t="s">
        <v>29</v>
      </c>
      <c r="D66" s="695" t="s">
        <v>1029</v>
      </c>
      <c r="E66" s="695">
        <f>IF(B46="楼面地价",SUM(E56:E65),'数据-汇总表'!D3)</f>
        <v>249.95</v>
      </c>
      <c r="F66" s="696">
        <f>IF(B46="楼面地价",SUM(F56:F65),ROUND(C48*E66/10000,0))</f>
        <v>73</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1.75" thickBot="1">
      <c r="A69" s="762" t="s">
        <v>2679</v>
      </c>
      <c r="B69" s="758"/>
      <c r="C69" s="763"/>
      <c r="D69" s="763"/>
      <c r="E69" s="763"/>
      <c r="F69" s="764"/>
      <c r="G69" s="764"/>
      <c r="H69" s="763"/>
      <c r="I69" s="763"/>
      <c r="J69" s="1161"/>
      <c r="K69" s="1162"/>
      <c r="L69" s="1163"/>
      <c r="M69" s="1161"/>
      <c r="N69" s="1161"/>
      <c r="O69" s="1161"/>
      <c r="P69" s="503"/>
      <c r="Q69" s="504"/>
    </row>
    <row r="70" spans="1:17" s="508" customFormat="1" ht="15">
      <c r="A70" s="2713" t="s">
        <v>2786</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4" t="s">
        <v>1377</v>
      </c>
      <c r="B71" s="332" t="str">
        <f>"北京市平均增长率"&amp;TEXT(SUMIF(基准地价修正!N21:N25,A71,基准地价修正!P21:P25),"0.00%")</f>
        <v>北京市平均增长率1.49%</v>
      </c>
      <c r="C71" s="603">
        <v>100</v>
      </c>
      <c r="D71" s="595">
        <v>99</v>
      </c>
      <c r="E71" s="595">
        <v>98</v>
      </c>
      <c r="F71" s="595">
        <v>97</v>
      </c>
      <c r="G71" s="595">
        <v>96</v>
      </c>
      <c r="H71" s="595"/>
      <c r="I71" s="595"/>
      <c r="J71" s="595"/>
      <c r="K71" s="595"/>
      <c r="L71" s="595"/>
      <c r="M71" s="1569"/>
      <c r="N71" s="595"/>
      <c r="O71" s="1570"/>
      <c r="P71" s="504"/>
    </row>
    <row r="72" spans="1:17" s="117" customFormat="1" ht="15.75" thickBot="1">
      <c r="A72" s="515" t="s">
        <v>2590</v>
      </c>
      <c r="B72" s="516"/>
      <c r="C72" s="517"/>
      <c r="D72" s="518"/>
      <c r="E72" s="518"/>
      <c r="F72" s="518"/>
      <c r="G72" s="518"/>
      <c r="H72" s="518"/>
      <c r="I72" s="518"/>
      <c r="J72" s="518"/>
      <c r="K72" s="518"/>
      <c r="L72" s="518"/>
      <c r="M72" s="519"/>
      <c r="N72" s="518"/>
      <c r="O72" s="1164"/>
      <c r="P72" s="504"/>
      <c r="Q72" s="504"/>
    </row>
    <row r="73" spans="1:17" s="117" customFormat="1" ht="15">
      <c r="A73" s="521" t="s">
        <v>2555</v>
      </c>
      <c r="B73" s="510"/>
      <c r="C73" s="522" t="s">
        <v>2657</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2593</v>
      </c>
      <c r="B75" s="528" t="s">
        <v>2559</v>
      </c>
      <c r="C75" s="2960" t="s">
        <v>3214</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2562</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2563</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v>0</v>
      </c>
      <c r="D80" s="549">
        <v>1</v>
      </c>
      <c r="E80" s="549">
        <v>2</v>
      </c>
      <c r="F80" s="549">
        <v>3</v>
      </c>
      <c r="G80" s="549">
        <v>4</v>
      </c>
      <c r="H80" s="549">
        <v>5</v>
      </c>
      <c r="I80" s="549"/>
      <c r="J80" s="549"/>
      <c r="K80" s="550"/>
      <c r="L80" s="551"/>
      <c r="M80" s="552"/>
      <c r="N80" s="1154"/>
      <c r="O80" s="1154"/>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2787</v>
      </c>
      <c r="C90" s="578" t="s">
        <v>2602</v>
      </c>
      <c r="D90" s="578" t="s">
        <v>2603</v>
      </c>
      <c r="E90" s="578" t="s">
        <v>2604</v>
      </c>
      <c r="F90" s="578" t="s">
        <v>2605</v>
      </c>
      <c r="G90" s="578" t="s">
        <v>2606</v>
      </c>
      <c r="H90" s="539"/>
      <c r="I90" s="539"/>
      <c r="J90" s="539"/>
      <c r="K90" s="540"/>
      <c r="L90" s="541"/>
      <c r="M90" s="542"/>
      <c r="N90" s="1154"/>
      <c r="O90" s="1154"/>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5"/>
      <c r="O91" s="1155"/>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2788</v>
      </c>
      <c r="C96" s="578" t="s">
        <v>2602</v>
      </c>
      <c r="D96" s="578" t="s">
        <v>2603</v>
      </c>
      <c r="E96" s="578" t="s">
        <v>2604</v>
      </c>
      <c r="F96" s="578" t="s">
        <v>2605</v>
      </c>
      <c r="G96" s="578" t="s">
        <v>2606</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2789</v>
      </c>
      <c r="C98" s="573" t="s">
        <v>2602</v>
      </c>
      <c r="D98" s="573" t="s">
        <v>2603</v>
      </c>
      <c r="E98" s="573" t="s">
        <v>2604</v>
      </c>
      <c r="F98" s="573" t="s">
        <v>2605</v>
      </c>
      <c r="G98" s="573" t="s">
        <v>2606</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2660</v>
      </c>
      <c r="C102" s="659" t="s">
        <v>2680</v>
      </c>
      <c r="D102" s="659" t="s">
        <v>2681</v>
      </c>
      <c r="E102" s="659" t="s">
        <v>2682</v>
      </c>
      <c r="F102" s="659" t="s">
        <v>2683</v>
      </c>
      <c r="G102" s="659" t="s">
        <v>2684</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2696</v>
      </c>
      <c r="C106" s="2961" t="s">
        <v>3216</v>
      </c>
      <c r="D106" s="2961" t="s">
        <v>3218</v>
      </c>
      <c r="E106" s="2961" t="s">
        <v>3219</v>
      </c>
      <c r="F106" s="554"/>
      <c r="G106" s="554"/>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5"/>
      <c r="O107" s="1155"/>
      <c r="P107" s="45"/>
      <c r="Q107" s="504"/>
    </row>
    <row r="108" spans="1:17" ht="15.75" thickTop="1">
      <c r="A108" s="534"/>
      <c r="B108" s="538" t="s">
        <v>2755</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ht="28.5">
      <c r="A116" s="527" t="s">
        <v>2568</v>
      </c>
      <c r="B116" s="528" t="s">
        <v>2794</v>
      </c>
      <c r="C116" s="529" t="str">
        <f>C117&amp;"(含)"&amp;"-"&amp;D117</f>
        <v>0(含)-20000</v>
      </c>
      <c r="D116" s="529" t="str">
        <f t="shared" ref="D116:M116" si="25">D117&amp;"(含)"&amp;"-"&amp;E117</f>
        <v>20000(含)-40000</v>
      </c>
      <c r="E116" s="529" t="str">
        <f t="shared" si="25"/>
        <v>40000(含)-60000</v>
      </c>
      <c r="F116" s="529" t="str">
        <f t="shared" si="25"/>
        <v>60000(含)-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v>0</v>
      </c>
      <c r="D117" s="595">
        <v>20000</v>
      </c>
      <c r="E117" s="595">
        <v>40000</v>
      </c>
      <c r="F117" s="595">
        <v>60000</v>
      </c>
      <c r="G117" s="595"/>
      <c r="H117" s="595"/>
      <c r="I117" s="595"/>
      <c r="J117" s="596"/>
      <c r="K117" s="596"/>
      <c r="L117" s="597"/>
      <c r="M117" s="598"/>
      <c r="N117" s="1154"/>
      <c r="O117" s="1154"/>
      <c r="P117" s="45"/>
      <c r="Q117" s="504"/>
    </row>
    <row r="118" spans="1:17" ht="15.75" thickBot="1">
      <c r="A118" s="534"/>
      <c r="B118" s="543"/>
      <c r="C118" s="570">
        <v>100</v>
      </c>
      <c r="D118" s="591">
        <v>101</v>
      </c>
      <c r="E118" s="591">
        <v>102</v>
      </c>
      <c r="F118" s="591">
        <v>103</v>
      </c>
      <c r="G118" s="591"/>
      <c r="H118" s="591"/>
      <c r="I118" s="591"/>
      <c r="J118" s="591"/>
      <c r="K118" s="591"/>
      <c r="L118" s="591"/>
      <c r="M118" s="592"/>
      <c r="N118" s="1155"/>
      <c r="O118" s="1155"/>
      <c r="P118" s="45"/>
      <c r="Q118" s="504"/>
    </row>
    <row r="119" spans="1:17" ht="15" thickTop="1">
      <c r="A119" s="599"/>
      <c r="B119" s="538" t="s">
        <v>2795</v>
      </c>
      <c r="C119" s="2963" t="s">
        <v>3221</v>
      </c>
      <c r="D119" s="2963" t="s">
        <v>3223</v>
      </c>
      <c r="E119" s="2963" t="s">
        <v>3224</v>
      </c>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5"/>
      <c r="O120" s="1155"/>
      <c r="P120" s="45"/>
      <c r="Q120" s="504"/>
    </row>
    <row r="121" spans="1:17" ht="15" thickTop="1">
      <c r="A121" s="599"/>
      <c r="B121" s="538" t="s">
        <v>2796</v>
      </c>
      <c r="C121" s="2961" t="s">
        <v>3226</v>
      </c>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5"/>
      <c r="O122" s="1155"/>
      <c r="P122" s="45"/>
      <c r="Q122" s="504"/>
    </row>
    <row r="123" spans="1:17" s="471" customFormat="1" ht="15" thickTop="1">
      <c r="A123" s="593"/>
      <c r="B123" s="538" t="s">
        <v>2797</v>
      </c>
      <c r="C123" s="2961" t="s">
        <v>3227</v>
      </c>
      <c r="D123" s="2961" t="s">
        <v>3229</v>
      </c>
      <c r="E123" s="2961" t="s">
        <v>3230</v>
      </c>
      <c r="F123" s="2961" t="s">
        <v>3231</v>
      </c>
      <c r="G123" s="2961" t="s">
        <v>3232</v>
      </c>
      <c r="H123" s="583"/>
      <c r="I123" s="583"/>
      <c r="J123" s="583"/>
      <c r="K123" s="584"/>
      <c r="L123" s="585"/>
      <c r="M123" s="586"/>
      <c r="N123" s="1156"/>
      <c r="O123" s="1156"/>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6"/>
      <c r="O124" s="1156"/>
      <c r="P124" s="558"/>
      <c r="Q124" s="559"/>
    </row>
    <row r="125" spans="1:17" ht="15" thickTop="1">
      <c r="A125" s="599"/>
      <c r="B125" s="538" t="s">
        <v>2798</v>
      </c>
      <c r="C125" s="2961" t="s">
        <v>3233</v>
      </c>
      <c r="D125" s="2961" t="s">
        <v>3235</v>
      </c>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Normal="100" zoomScaleSheetLayoutView="90" workbookViewId="0">
      <selection activeCell="C30" sqref="C3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1"/>
      <c r="C1" s="1837" t="s">
        <v>3376</v>
      </c>
      <c r="D1" s="1820" t="s">
        <v>70</v>
      </c>
      <c r="E1" s="1821" t="s">
        <v>1387</v>
      </c>
      <c r="F1" s="1285">
        <f ca="1">J53</f>
        <v>32.42</v>
      </c>
      <c r="G1" s="1836">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1590</v>
      </c>
      <c r="B2" s="1844">
        <f ca="1">ROUND(D2/10000,0)</f>
        <v>324</v>
      </c>
      <c r="C2" s="1845" t="s">
        <v>1591</v>
      </c>
      <c r="D2" s="1938">
        <f ca="1">C40+J29+L46</f>
        <v>3242397</v>
      </c>
      <c r="E2" s="1846" t="s">
        <v>1592</v>
      </c>
      <c r="F2" s="1847"/>
      <c r="G2" s="1848"/>
      <c r="H2" s="1840"/>
      <c r="I2" s="1840"/>
      <c r="J2" s="1840"/>
      <c r="K2" s="1841"/>
      <c r="L2" s="1840"/>
      <c r="M2" s="1840"/>
    </row>
    <row r="3" spans="1:37" ht="18" customHeight="1" thickBot="1">
      <c r="A3" s="1849" t="s">
        <v>1593</v>
      </c>
      <c r="B3" s="1850">
        <f ca="1">IF(ISERROR(D2/F43),0,ROUND(D2/F43,0))</f>
        <v>12972</v>
      </c>
      <c r="C3" s="1845" t="s">
        <v>1594</v>
      </c>
      <c r="D3" s="1845"/>
      <c r="E3" s="1846"/>
      <c r="F3" s="1847"/>
      <c r="G3" s="1848"/>
      <c r="H3" s="743"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4">
        <f ca="1">C6+C10+C12</f>
        <v>205528</v>
      </c>
      <c r="D5" s="1822" t="s">
        <v>1601</v>
      </c>
      <c r="E5" s="1295"/>
      <c r="F5" s="1296"/>
      <c r="G5" s="1851"/>
      <c r="H5" s="344">
        <v>1</v>
      </c>
      <c r="I5" s="345" t="s">
        <v>1600</v>
      </c>
      <c r="J5" s="1294">
        <f ca="1">J6+J10+J12</f>
        <v>0</v>
      </c>
      <c r="K5" s="1822" t="s">
        <v>1601</v>
      </c>
      <c r="L5" s="1295"/>
      <c r="M5" s="1296"/>
    </row>
    <row r="6" spans="1:37" ht="18" customHeight="1">
      <c r="A6" s="1293" t="s">
        <v>1035</v>
      </c>
      <c r="B6" s="3260" t="s">
        <v>1403</v>
      </c>
      <c r="C6" s="1298">
        <f ca="1">ROUND(F6*F8*F7*(1-F9),0)</f>
        <v>205271</v>
      </c>
      <c r="D6" s="164" t="s">
        <v>3027</v>
      </c>
      <c r="E6" s="347" t="s">
        <v>1405</v>
      </c>
      <c r="F6" s="348">
        <f ca="1">INDIRECT("'数据-取费表'!u"&amp;$G$1)</f>
        <v>2.5</v>
      </c>
      <c r="G6" s="1851"/>
      <c r="H6" s="1293" t="s">
        <v>1035</v>
      </c>
      <c r="I6" s="3260" t="s">
        <v>1403</v>
      </c>
      <c r="J6" s="346">
        <f ca="1">ROUND(M6*M8*M7*(1-M9),0)</f>
        <v>0</v>
      </c>
      <c r="K6" s="1834" t="s">
        <v>3028</v>
      </c>
      <c r="L6" s="347" t="s">
        <v>1405</v>
      </c>
      <c r="M6" s="348">
        <f ca="1">INDIRECT("'数据-取费表'!z"&amp;$G$1)</f>
        <v>0</v>
      </c>
    </row>
    <row r="7" spans="1:37" ht="18" customHeight="1">
      <c r="A7" s="1297"/>
      <c r="B7" s="3261"/>
      <c r="C7" s="1299"/>
      <c r="D7" s="352"/>
      <c r="E7" s="1300" t="s">
        <v>1406</v>
      </c>
      <c r="F7" s="348">
        <f ca="1">IF(INDIRECT("'数据-取费表'!ah"&amp;$G$1)="",INDIRECT("'数据-取费表'!k"&amp;$G$1),INDIRECT("'数据-取费表'!ah"&amp;$G$1))</f>
        <v>249.95</v>
      </c>
      <c r="G7" s="1851"/>
      <c r="H7" s="349"/>
      <c r="I7" s="3261"/>
      <c r="J7" s="351"/>
      <c r="K7" s="352"/>
      <c r="L7" s="347" t="s">
        <v>1406</v>
      </c>
      <c r="M7" s="348">
        <f ca="1">F7</f>
        <v>249.95</v>
      </c>
    </row>
    <row r="8" spans="1:37" ht="18" customHeight="1">
      <c r="A8" s="349"/>
      <c r="B8" s="3261"/>
      <c r="C8" s="351"/>
      <c r="D8" s="352"/>
      <c r="E8" s="347" t="s">
        <v>1407</v>
      </c>
      <c r="F8" s="348">
        <f ca="1">INDIRECT("'数据-取费表'!ai"&amp;$G$1)</f>
        <v>365</v>
      </c>
      <c r="G8" s="1851"/>
      <c r="H8" s="349"/>
      <c r="I8" s="3261"/>
      <c r="J8" s="351"/>
      <c r="K8" s="352"/>
      <c r="L8" s="347" t="s">
        <v>1407</v>
      </c>
      <c r="M8" s="348">
        <f ca="1">INDIRECT("'数据-取费表'!ai"&amp;$G$1)</f>
        <v>365</v>
      </c>
    </row>
    <row r="9" spans="1:37" ht="18" customHeight="1">
      <c r="A9" s="349"/>
      <c r="B9" s="3262"/>
      <c r="C9" s="351"/>
      <c r="D9" s="352"/>
      <c r="E9" s="347" t="s">
        <v>1408</v>
      </c>
      <c r="F9" s="357">
        <f ca="1">INDIRECT("'数据-取费表'!w"&amp;$G$1)</f>
        <v>0.1</v>
      </c>
      <c r="G9" s="1851"/>
      <c r="H9" s="349"/>
      <c r="I9" s="3262"/>
      <c r="J9" s="351"/>
      <c r="K9" s="352"/>
      <c r="L9" s="358" t="s">
        <v>1408</v>
      </c>
      <c r="M9" s="359">
        <f ca="1">INDIRECT("'数据-取费表'!ab"&amp;$G$1)</f>
        <v>0</v>
      </c>
    </row>
    <row r="10" spans="1:37" ht="18" customHeight="1">
      <c r="A10" s="1293" t="s">
        <v>1039</v>
      </c>
      <c r="B10" s="1823" t="s">
        <v>1409</v>
      </c>
      <c r="C10" s="361">
        <f ca="1">ROUND(IF(F10="押一",C6/12*F11,IF(F10="押二",C6/12*2*F11,IF(F10="押三",C6/12*3*F11,C11*F11))),0)</f>
        <v>257</v>
      </c>
      <c r="D10" s="1824" t="s">
        <v>3038</v>
      </c>
      <c r="E10" s="358" t="s">
        <v>1410</v>
      </c>
      <c r="F10" s="1368" t="s">
        <v>3247</v>
      </c>
      <c r="G10" s="1851"/>
      <c r="H10" s="1293" t="s">
        <v>1039</v>
      </c>
      <c r="I10" s="1823" t="s">
        <v>1409</v>
      </c>
      <c r="J10" s="346">
        <f ca="1">ROUND(IF(M10="押一",J6/12*M11,IF(M10="押二",J6/12*2*M11,IF(M10="押三",J6/12*3*M11,J11*M11))),0)</f>
        <v>0</v>
      </c>
      <c r="K10" s="1835" t="s">
        <v>3040</v>
      </c>
      <c r="L10" s="358" t="s">
        <v>1410</v>
      </c>
      <c r="M10" s="1368"/>
    </row>
    <row r="11" spans="1:37" ht="18" customHeight="1">
      <c r="A11" s="353"/>
      <c r="B11" s="1825" t="s">
        <v>1602</v>
      </c>
      <c r="C11" s="1180"/>
      <c r="D11" s="352"/>
      <c r="E11" s="358" t="s">
        <v>1412</v>
      </c>
      <c r="F11" s="359">
        <f ca="1">'数据-取费表'!B39</f>
        <v>1.4999999999999999E-2</v>
      </c>
      <c r="G11" s="1851"/>
      <c r="H11" s="1301"/>
      <c r="I11" s="1825" t="s">
        <v>1603</v>
      </c>
      <c r="J11" s="1180"/>
      <c r="K11" s="747"/>
      <c r="L11" s="358" t="s">
        <v>1412</v>
      </c>
      <c r="M11" s="1058">
        <f ca="1">'数据-取费表'!B39</f>
        <v>1.4999999999999999E-2</v>
      </c>
    </row>
    <row r="12" spans="1:37" ht="18" customHeight="1" thickBot="1">
      <c r="A12" s="1335" t="s">
        <v>1075</v>
      </c>
      <c r="B12" s="1827" t="s">
        <v>1413</v>
      </c>
      <c r="C12" s="1336"/>
      <c r="D12" s="1337"/>
      <c r="E12" s="1342"/>
      <c r="F12" s="1338"/>
      <c r="G12" s="1851"/>
      <c r="H12" s="1335" t="s">
        <v>1075</v>
      </c>
      <c r="I12" s="1827" t="s">
        <v>1413</v>
      </c>
      <c r="J12" s="1336"/>
      <c r="K12" s="1350"/>
      <c r="L12" s="1342"/>
      <c r="M12" s="1351"/>
    </row>
    <row r="13" spans="1:37" ht="18" customHeight="1" thickTop="1">
      <c r="A13" s="1331">
        <v>2</v>
      </c>
      <c r="B13" s="1332" t="s">
        <v>1414</v>
      </c>
      <c r="C13" s="355">
        <f ca="1">ROUND(C29*F13,0)</f>
        <v>1070749</v>
      </c>
      <c r="D13" s="1333" t="s">
        <v>1415</v>
      </c>
      <c r="E13" s="1333" t="s">
        <v>1416</v>
      </c>
      <c r="F13" s="1334">
        <f ca="1">INDIRECT("'数据-取费表'!y"&amp;$G$1)</f>
        <v>0.94</v>
      </c>
      <c r="G13" s="1851"/>
      <c r="H13" s="1331">
        <v>2</v>
      </c>
      <c r="I13" s="1332" t="s">
        <v>1414</v>
      </c>
      <c r="J13" s="1292">
        <f ca="1">ROUND(J14*J15,0)</f>
        <v>0</v>
      </c>
      <c r="K13" s="1339" t="s">
        <v>1415</v>
      </c>
      <c r="L13" s="1852"/>
      <c r="M13" s="1853"/>
    </row>
    <row r="14" spans="1:37" ht="18" customHeight="1">
      <c r="A14" s="1203" t="s">
        <v>1034</v>
      </c>
      <c r="B14" s="347" t="s">
        <v>1417</v>
      </c>
      <c r="C14" s="363">
        <f ca="1">ROUND(INDIRECT("'数据-取费表'!l"&amp;$G$1)*F43+'数据-取费表'!L14*INDIRECT("'数据-取费表'!S"&amp;$G$1),0)</f>
        <v>699860</v>
      </c>
      <c r="D14" s="1800" t="s">
        <v>1418</v>
      </c>
      <c r="E14" s="1794"/>
      <c r="F14" s="364"/>
      <c r="G14" s="1851"/>
      <c r="H14" s="1203" t="s">
        <v>1035</v>
      </c>
      <c r="I14" s="347" t="s">
        <v>1419</v>
      </c>
      <c r="J14" s="24">
        <f ca="1">C29</f>
        <v>1139095</v>
      </c>
      <c r="K14" s="15"/>
      <c r="L14" s="981"/>
      <c r="M14" s="982"/>
    </row>
    <row r="15" spans="1:37" s="1858" customFormat="1" ht="18" customHeight="1" thickBot="1">
      <c r="A15" s="1203" t="s">
        <v>1036</v>
      </c>
      <c r="B15" s="347" t="s">
        <v>1420</v>
      </c>
      <c r="C15" s="24">
        <f ca="1">ROUND(C14*F15,0)</f>
        <v>20996</v>
      </c>
      <c r="D15" s="365" t="s">
        <v>1421</v>
      </c>
      <c r="E15" s="365" t="s">
        <v>1422</v>
      </c>
      <c r="F15" s="366">
        <f>'数据-取费表'!B33</f>
        <v>0.03</v>
      </c>
      <c r="G15" s="1854"/>
      <c r="H15" s="1341" t="s">
        <v>1039</v>
      </c>
      <c r="I15" s="1342" t="s">
        <v>1416</v>
      </c>
      <c r="J15" s="1351">
        <f ca="1">INDIRECT("'数据-取费表'!ad"&amp;$G$1)</f>
        <v>0</v>
      </c>
      <c r="K15" s="1352"/>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1"/>
      <c r="H16" s="1331" t="s">
        <v>1030</v>
      </c>
      <c r="I16" s="1332" t="s">
        <v>1424</v>
      </c>
      <c r="J16" s="355">
        <f ca="1">ROUND(J17+J22+J23+J24,0)</f>
        <v>27113</v>
      </c>
      <c r="K16" s="1339" t="s">
        <v>1425</v>
      </c>
      <c r="L16" s="1340"/>
      <c r="M16" s="1296"/>
    </row>
    <row r="17" spans="1:37" s="1858" customFormat="1" ht="18" customHeight="1">
      <c r="A17" s="1203" t="s">
        <v>1390</v>
      </c>
      <c r="B17" s="347" t="s">
        <v>1426</v>
      </c>
      <c r="C17" s="24">
        <f ca="1">ROUND(F17*(F43+INDIRECT("'数据-取费表'!S"&amp;$G$1)),0)</f>
        <v>49990</v>
      </c>
      <c r="D17" s="347" t="s">
        <v>1427</v>
      </c>
      <c r="E17" s="347" t="s">
        <v>1428</v>
      </c>
      <c r="F17" s="26">
        <f>'数据-取费表'!B35</f>
        <v>200</v>
      </c>
      <c r="G17" s="1854"/>
      <c r="H17" s="1203" t="s">
        <v>1035</v>
      </c>
      <c r="I17" s="347" t="s">
        <v>1429</v>
      </c>
      <c r="J17" s="24">
        <f ca="1">ROUND(IF(项目基本情况!B11="自然人",J5*M17,J18+J19+J20),0)</f>
        <v>10027</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3" t="s">
        <v>1391</v>
      </c>
      <c r="B18" s="347" t="s">
        <v>1432</v>
      </c>
      <c r="C18" s="24">
        <f ca="1">ROUND(C14*F18,0)</f>
        <v>10498</v>
      </c>
      <c r="D18" s="347" t="s">
        <v>1421</v>
      </c>
      <c r="E18" s="347" t="s">
        <v>1422</v>
      </c>
      <c r="F18" s="367">
        <f>'数据-取费表'!B36</f>
        <v>1.4999999999999999E-2</v>
      </c>
      <c r="G18" s="1854"/>
      <c r="H18" s="1203"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3" t="s">
        <v>1035</v>
      </c>
      <c r="B19" s="347" t="s">
        <v>1435</v>
      </c>
      <c r="C19" s="24">
        <f ca="1">SUM(C14:C18)</f>
        <v>781344</v>
      </c>
      <c r="D19" s="140" t="s">
        <v>1436</v>
      </c>
      <c r="E19" s="1818"/>
      <c r="F19" s="26"/>
      <c r="G19" s="1851"/>
      <c r="H19" s="1203" t="s">
        <v>1036</v>
      </c>
      <c r="I19" s="347" t="s">
        <v>1437</v>
      </c>
      <c r="J19" s="24">
        <f ca="1">IF(K19="按租金收入计税",ROUND(J5*M19,0),ROUND(C29*M19*0.7,0))</f>
        <v>9568</v>
      </c>
      <c r="K19" s="1828" t="s">
        <v>1438</v>
      </c>
      <c r="L19" s="347" t="s">
        <v>1422</v>
      </c>
      <c r="M19" s="367">
        <f>IF(K19="按租金收入计税",'数据-取费表'!B51,'数据-取费表'!B50)</f>
        <v>1.2E-2</v>
      </c>
    </row>
    <row r="20" spans="1:37" s="1858" customFormat="1" ht="18" customHeight="1">
      <c r="A20" s="1203" t="s">
        <v>1039</v>
      </c>
      <c r="B20" s="347" t="s">
        <v>1439</v>
      </c>
      <c r="C20" s="24">
        <f ca="1">ROUND(C19*F20,0)</f>
        <v>15627</v>
      </c>
      <c r="D20" s="369" t="s">
        <v>1440</v>
      </c>
      <c r="E20" s="347" t="s">
        <v>1422</v>
      </c>
      <c r="F20" s="367">
        <f>'数据-取费表'!B37</f>
        <v>0.02</v>
      </c>
      <c r="G20" s="1854"/>
      <c r="H20" s="1203" t="s">
        <v>1389</v>
      </c>
      <c r="I20" s="164" t="s">
        <v>1441</v>
      </c>
      <c r="J20" s="25">
        <f ca="1">ROUND(M20*M21,0)</f>
        <v>459</v>
      </c>
      <c r="K20" s="370" t="s">
        <v>1442</v>
      </c>
      <c r="L20" s="347" t="s">
        <v>1443</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3" t="s">
        <v>1075</v>
      </c>
      <c r="B21" s="347" t="s">
        <v>1444</v>
      </c>
      <c r="C21" s="24" t="s">
        <v>1</v>
      </c>
      <c r="D21" s="369" t="s">
        <v>1445</v>
      </c>
      <c r="E21" s="347" t="s">
        <v>1446</v>
      </c>
      <c r="F21" s="367">
        <f>'数据-取费表'!B38</f>
        <v>0.03</v>
      </c>
      <c r="G21" s="1854"/>
      <c r="H21" s="372"/>
      <c r="I21" s="356"/>
      <c r="J21" s="29"/>
      <c r="K21" s="373"/>
      <c r="L21" s="347" t="s">
        <v>1447</v>
      </c>
      <c r="M21" s="348">
        <f ca="1">INDIRECT("'数据-取费表'!r"&amp;$G$1)</f>
        <v>114.7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8"/>
      <c r="F22" s="26"/>
      <c r="G22" s="1851"/>
      <c r="H22" s="1203" t="s">
        <v>1039</v>
      </c>
      <c r="I22" s="347" t="s">
        <v>1449</v>
      </c>
      <c r="J22" s="24">
        <f ca="1">ROUND(J14*M22,0)</f>
        <v>17086</v>
      </c>
      <c r="K22" s="1798" t="s">
        <v>1450</v>
      </c>
      <c r="L22" s="347" t="s">
        <v>1422</v>
      </c>
      <c r="M22" s="374">
        <f ca="1">INDIRECT("'数据-取费表'!Ak"&amp;$G$1)</f>
        <v>1.4999999999999999E-2</v>
      </c>
    </row>
    <row r="23" spans="1:37" s="1858" customFormat="1" ht="18" customHeight="1">
      <c r="A23" s="1203" t="s">
        <v>1034</v>
      </c>
      <c r="B23" s="347" t="s">
        <v>1451</v>
      </c>
      <c r="C23" s="24">
        <f ca="1">IF('数据-取费表'!B22&lt;=1,ROUND(C19*F24*F23/2,0)+ROUND(C20*F24*F23/2,0),ROUND(C19*(POWER((1+F24),F23/2)-1),0)+ROUND(C20*(POWER((1+F24),F23/2)-1),0))</f>
        <v>37856</v>
      </c>
      <c r="D23" s="375" t="str">
        <f>IF(F23&lt;=1,"(建造成本+管理费用)×利率×(建设周期÷2)","(建造成本+管理费用)×((1+利率)^(建设周期÷2)-1)")</f>
        <v>(建造成本+管理费用)×((1+利率)^(建设周期÷2)-1)</v>
      </c>
      <c r="E23" s="347" t="s">
        <v>1452</v>
      </c>
      <c r="F23" s="371">
        <f>'数据-取费表'!B20</f>
        <v>2</v>
      </c>
      <c r="G23" s="1854"/>
      <c r="H23" s="1203" t="s">
        <v>1075</v>
      </c>
      <c r="I23" s="347" t="s">
        <v>1453</v>
      </c>
      <c r="J23" s="24">
        <f ca="1">ROUND(J13*M23,0)</f>
        <v>0</v>
      </c>
      <c r="K23" s="1798"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41" t="s">
        <v>1393</v>
      </c>
      <c r="I24" s="1342" t="s">
        <v>1439</v>
      </c>
      <c r="J24" s="1343">
        <f ca="1">ROUND(J5*M24,0)</f>
        <v>0</v>
      </c>
      <c r="K24" s="1344" t="s">
        <v>1459</v>
      </c>
      <c r="L24" s="1342" t="s">
        <v>1455</v>
      </c>
      <c r="M24" s="1338">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3" t="s">
        <v>1460</v>
      </c>
      <c r="B25" s="347" t="s">
        <v>1461</v>
      </c>
      <c r="C25" s="24"/>
      <c r="D25" s="140" t="s">
        <v>1462</v>
      </c>
      <c r="E25" s="1818"/>
      <c r="F25" s="26"/>
      <c r="G25" s="1851"/>
      <c r="H25" s="1331" t="s">
        <v>1031</v>
      </c>
      <c r="I25" s="1346" t="s">
        <v>1463</v>
      </c>
      <c r="J25" s="355">
        <f ca="1">J5-J16</f>
        <v>-27113</v>
      </c>
      <c r="K25" s="1347" t="s">
        <v>1464</v>
      </c>
      <c r="L25" s="1348"/>
      <c r="M25" s="1349"/>
    </row>
    <row r="26" spans="1:37" ht="18" customHeight="1">
      <c r="A26" s="1203" t="s">
        <v>1034</v>
      </c>
      <c r="B26" s="347" t="s">
        <v>1465</v>
      </c>
      <c r="C26" s="24">
        <f ca="1">ROUND((C19+C20)*F26,0)</f>
        <v>199243</v>
      </c>
      <c r="D26" s="369" t="s">
        <v>1466</v>
      </c>
      <c r="E26" s="358" t="s">
        <v>1467</v>
      </c>
      <c r="F26" s="357">
        <f ca="1">INDIRECT("'数据-取费表'!q"&amp;$G$1)</f>
        <v>0.25</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7.4999999999999997E-3</v>
      </c>
      <c r="D27" s="369" t="s">
        <v>1472</v>
      </c>
      <c r="E27" s="365"/>
      <c r="F27" s="366"/>
      <c r="G27" s="1851"/>
      <c r="H27" s="349"/>
      <c r="I27" s="350"/>
      <c r="J27" s="351"/>
      <c r="K27" s="378" t="s">
        <v>1473</v>
      </c>
      <c r="L27" s="347" t="s">
        <v>1474</v>
      </c>
      <c r="M27" s="379">
        <f ca="1">INDIRECT("'数据-取费表'!ag"&amp;$G$1)</f>
        <v>0</v>
      </c>
    </row>
    <row r="28" spans="1:37" s="1858" customFormat="1" ht="18" customHeight="1">
      <c r="A28" s="1203"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1" t="s">
        <v>1038</v>
      </c>
      <c r="B29" s="1342" t="s">
        <v>1478</v>
      </c>
      <c r="C29" s="1343">
        <f ca="1">ROUND((C19+C20+C23+C26)/(1-F21-C24-C27-C28),0)</f>
        <v>1139095</v>
      </c>
      <c r="D29" s="1344"/>
      <c r="E29" s="1342"/>
      <c r="F29" s="1345"/>
      <c r="G29" s="1854"/>
      <c r="H29" s="380" t="s">
        <v>1033</v>
      </c>
      <c r="I29" s="381" t="s">
        <v>1479</v>
      </c>
      <c r="J29" s="382">
        <f ca="1">ROUND(J26/(1+F40)^F41,0)</f>
        <v>0</v>
      </c>
      <c r="K29" s="383" t="s">
        <v>1480</v>
      </c>
      <c r="L29" s="384"/>
      <c r="M29" s="385">
        <f ca="1">INDIRECT("'数据-取费表'!k"&amp;$G$1)</f>
        <v>249.95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1" t="s">
        <v>1030</v>
      </c>
      <c r="B30" s="1332" t="s">
        <v>1424</v>
      </c>
      <c r="C30" s="355">
        <f ca="1">ROUND(C31+C36+C37+C38,0)</f>
        <v>56830</v>
      </c>
      <c r="D30" s="1339" t="s">
        <v>1425</v>
      </c>
      <c r="E30" s="1340"/>
      <c r="F30" s="1296"/>
      <c r="G30" s="1851"/>
      <c r="H30" s="744"/>
      <c r="I30" s="745"/>
      <c r="J30" s="746"/>
      <c r="K30" s="747"/>
      <c r="L30" s="748"/>
      <c r="M30" s="749"/>
    </row>
    <row r="31" spans="1:37" ht="18" customHeight="1">
      <c r="A31" s="1203" t="s">
        <v>1035</v>
      </c>
      <c r="B31" s="347" t="s">
        <v>1429</v>
      </c>
      <c r="C31" s="24">
        <f ca="1">ROUND(IF(项目基本情况!B11="自然人",C5*F31,C32+C33+C34),0)</f>
        <v>36083</v>
      </c>
      <c r="D31" s="1800" t="s">
        <v>1430</v>
      </c>
      <c r="E31" s="1798" t="s">
        <v>1481</v>
      </c>
      <c r="F31" s="368" t="str">
        <f ca="1">IF(项目基本情况!B11="企业","",IF(INDIRECT("'数据-取费表'!c"&amp;$G$1)="住宅",5%,IF(F6*F7*F8/12/(1+'数据-取费表'!C42)&gt;20000,12%,7%)))</f>
        <v/>
      </c>
      <c r="G31" s="1851"/>
      <c r="H31" s="744"/>
      <c r="I31" s="745"/>
      <c r="J31" s="746"/>
      <c r="K31" s="747"/>
      <c r="L31" s="748"/>
      <c r="M31" s="749"/>
    </row>
    <row r="32" spans="1:37" ht="18" customHeight="1">
      <c r="A32" s="1203" t="s">
        <v>1034</v>
      </c>
      <c r="B32" s="347" t="s">
        <v>1433</v>
      </c>
      <c r="C32" s="24">
        <f ca="1">IF(项目基本情况!B11="自然人","——",ROUND(C5*F32/(1+'数据-取费表'!C42),0))</f>
        <v>10961</v>
      </c>
      <c r="D32" s="1798" t="s">
        <v>1434</v>
      </c>
      <c r="E32" s="347" t="s">
        <v>1422</v>
      </c>
      <c r="F32" s="377">
        <f>'数据-取费表'!B41</f>
        <v>5.6000000000000001E-2</v>
      </c>
      <c r="G32" s="1851"/>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24663</v>
      </c>
      <c r="D33" s="1828" t="s">
        <v>3248</v>
      </c>
      <c r="E33" s="347" t="s">
        <v>1422</v>
      </c>
      <c r="F33" s="367">
        <f>IF(D33="按票据","——",IF(D33="按租金收入计税",'数据-取费表'!B51,'数据-取费表'!B50))</f>
        <v>0.12</v>
      </c>
      <c r="G33" s="1851"/>
      <c r="H33" s="1859"/>
      <c r="I33" s="1860"/>
      <c r="J33" s="1861"/>
      <c r="K33" s="1862"/>
      <c r="L33" s="1859"/>
      <c r="M33" s="1859"/>
    </row>
    <row r="34" spans="1:18" ht="18" customHeight="1">
      <c r="A34" s="1293" t="s">
        <v>1389</v>
      </c>
      <c r="B34" s="164" t="s">
        <v>1441</v>
      </c>
      <c r="C34" s="25">
        <f ca="1">IF(项目基本情况!B11="自然人","——",ROUND(F34*F35,))</f>
        <v>459</v>
      </c>
      <c r="D34" s="370" t="s">
        <v>1442</v>
      </c>
      <c r="E34" s="347" t="s">
        <v>1443</v>
      </c>
      <c r="F34" s="371">
        <f>'数据-取费表'!B52</f>
        <v>4</v>
      </c>
      <c r="G34" s="1851"/>
      <c r="H34" s="744"/>
      <c r="I34" s="1860"/>
      <c r="J34" s="1861"/>
      <c r="K34" s="1863"/>
      <c r="L34" s="1864"/>
      <c r="M34" s="1864"/>
    </row>
    <row r="35" spans="1:18" ht="18" customHeight="1">
      <c r="A35" s="1355"/>
      <c r="B35" s="1353"/>
      <c r="C35" s="29"/>
      <c r="D35" s="373"/>
      <c r="E35" s="347" t="s">
        <v>1447</v>
      </c>
      <c r="F35" s="348">
        <f ca="1">INDIRECT("'数据-取费表'!r"&amp;$G$1)</f>
        <v>114.7</v>
      </c>
      <c r="G35" s="1851"/>
      <c r="H35" s="744"/>
      <c r="I35" s="1860"/>
      <c r="J35" s="1861"/>
      <c r="K35" s="1862"/>
      <c r="L35" s="1859"/>
      <c r="M35" s="1859"/>
    </row>
    <row r="36" spans="1:18" ht="18" customHeight="1">
      <c r="A36" s="1354" t="s">
        <v>1039</v>
      </c>
      <c r="B36" s="347" t="s">
        <v>1449</v>
      </c>
      <c r="C36" s="24">
        <f ca="1">ROUND(C29*F36,0)</f>
        <v>17086</v>
      </c>
      <c r="D36" s="1798" t="s">
        <v>1482</v>
      </c>
      <c r="E36" s="347" t="s">
        <v>1422</v>
      </c>
      <c r="F36" s="374">
        <f ca="1">INDIRECT("'数据-取费表'!Ak"&amp;$G$1)</f>
        <v>1.4999999999999999E-2</v>
      </c>
      <c r="G36" s="1851"/>
      <c r="H36" s="1859"/>
      <c r="I36" s="1860"/>
      <c r="J36" s="1861"/>
      <c r="K36" s="750"/>
      <c r="L36" s="1859"/>
      <c r="M36" s="1859"/>
    </row>
    <row r="37" spans="1:18" ht="18" customHeight="1">
      <c r="A37" s="1203" t="s">
        <v>1075</v>
      </c>
      <c r="B37" s="347" t="s">
        <v>1453</v>
      </c>
      <c r="C37" s="24">
        <f ca="1">ROUND(C13*F37,0)</f>
        <v>1606</v>
      </c>
      <c r="D37" s="1798" t="s">
        <v>1454</v>
      </c>
      <c r="E37" s="347" t="s">
        <v>1455</v>
      </c>
      <c r="F37" s="376">
        <f ca="1">INDIRECT("'数据-取费表'!Al"&amp;$G$1)</f>
        <v>1.5E-3</v>
      </c>
      <c r="G37" s="1851"/>
      <c r="H37" s="1859"/>
      <c r="I37" s="1860"/>
      <c r="J37" s="1861"/>
      <c r="K37" s="750"/>
      <c r="L37" s="1859"/>
      <c r="M37" s="1859"/>
    </row>
    <row r="38" spans="1:18" ht="18" customHeight="1" thickBot="1">
      <c r="A38" s="1341" t="s">
        <v>1393</v>
      </c>
      <c r="B38" s="1342" t="s">
        <v>1439</v>
      </c>
      <c r="C38" s="1343">
        <f ca="1">ROUND(C5*F38,1)</f>
        <v>2055.3000000000002</v>
      </c>
      <c r="D38" s="1344" t="s">
        <v>1459</v>
      </c>
      <c r="E38" s="1342" t="s">
        <v>1455</v>
      </c>
      <c r="F38" s="1338">
        <f ca="1">INDIRECT("'数据-取费表'!Am"&amp;$G$1)</f>
        <v>0.01</v>
      </c>
      <c r="G38" s="1851"/>
      <c r="H38" s="1859"/>
      <c r="I38" s="1860"/>
      <c r="J38" s="1861"/>
      <c r="K38" s="1865"/>
      <c r="L38" s="1859"/>
      <c r="M38" s="1859"/>
    </row>
    <row r="39" spans="1:18" ht="24.6" customHeight="1" thickTop="1">
      <c r="A39" s="1331" t="s">
        <v>1031</v>
      </c>
      <c r="B39" s="1346" t="s">
        <v>1483</v>
      </c>
      <c r="C39" s="355">
        <f ca="1">C5-C30</f>
        <v>148698</v>
      </c>
      <c r="D39" s="1347" t="s">
        <v>1484</v>
      </c>
      <c r="E39" s="1348"/>
      <c r="F39" s="1349"/>
      <c r="G39" s="1851"/>
      <c r="H39" s="1859"/>
      <c r="I39" s="1860"/>
      <c r="J39" s="1861"/>
      <c r="K39" s="1865"/>
      <c r="L39" s="1859"/>
      <c r="M39" s="1859"/>
    </row>
    <row r="40" spans="1:18" ht="18" customHeight="1">
      <c r="A40" s="344" t="s">
        <v>1032</v>
      </c>
      <c r="B40" s="345" t="s">
        <v>1485</v>
      </c>
      <c r="C40" s="346">
        <f ca="1">ROUND(C39*(1-((1+F42)/(1+F40))^F41)/(F40-F42),0)</f>
        <v>3214520</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32.42</v>
      </c>
      <c r="G41" s="1851"/>
      <c r="H41" s="731"/>
      <c r="I41" s="1860"/>
      <c r="J41" s="1861"/>
      <c r="K41" s="750"/>
      <c r="L41" s="731"/>
      <c r="M41" s="731"/>
    </row>
    <row r="42" spans="1:18" ht="18" customHeight="1">
      <c r="A42" s="353"/>
      <c r="B42" s="354"/>
      <c r="C42" s="355"/>
      <c r="D42" s="373"/>
      <c r="E42" s="347" t="s">
        <v>1477</v>
      </c>
      <c r="F42" s="357">
        <f ca="1">INDIRECT("'数据-取费表'!v"&amp;$G$1)</f>
        <v>0.03</v>
      </c>
      <c r="G42" s="1851"/>
      <c r="H42" s="731"/>
      <c r="I42" s="1860"/>
      <c r="J42" s="1861"/>
      <c r="K42" s="750"/>
      <c r="L42" s="731"/>
      <c r="M42" s="731"/>
    </row>
    <row r="43" spans="1:18" ht="18" customHeight="1" thickBot="1">
      <c r="A43" s="380" t="s">
        <v>1033</v>
      </c>
      <c r="B43" s="381" t="s">
        <v>1487</v>
      </c>
      <c r="C43" s="382">
        <f ca="1">ROUND(C40/F43,0)</f>
        <v>12861</v>
      </c>
      <c r="D43" s="383" t="s">
        <v>1488</v>
      </c>
      <c r="E43" s="384" t="s">
        <v>1489</v>
      </c>
      <c r="F43" s="385">
        <f ca="1">INDIRECT("'数据-取费表'!k"&amp;$G$1)</f>
        <v>249.95</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939">
        <f ca="1">C68-C40</f>
        <v>-5696997</v>
      </c>
      <c r="D45" s="1940" t="s">
        <v>1604</v>
      </c>
      <c r="E45" s="1866"/>
      <c r="F45" s="1866"/>
      <c r="O45" s="1869" t="s">
        <v>1519</v>
      </c>
      <c r="P45" s="1839"/>
      <c r="Q45" s="1839"/>
      <c r="R45" s="1839"/>
    </row>
    <row r="46" spans="1:18" s="1842" customFormat="1" ht="13.5" thickBot="1">
      <c r="A46" s="1870" t="s">
        <v>1520</v>
      </c>
      <c r="C46" s="1871">
        <f ca="1">ROUND(C45/10000,0)</f>
        <v>-570</v>
      </c>
      <c r="D46" s="1872" t="str">
        <f>C2</f>
        <v>万元</v>
      </c>
      <c r="I46" s="1873" t="s">
        <v>1521</v>
      </c>
      <c r="J46" s="1874"/>
      <c r="K46" s="1875"/>
      <c r="L46" s="1876">
        <f ca="1">IF(M47="住宅",0,IF(L48&gt;J51,L60,J60))</f>
        <v>27877</v>
      </c>
      <c r="O46" s="1877" t="s">
        <v>1522</v>
      </c>
      <c r="P46" s="1878" t="s">
        <v>1523</v>
      </c>
      <c r="Q46" s="1879" t="s">
        <v>1524</v>
      </c>
      <c r="R46" s="1879" t="s">
        <v>1525</v>
      </c>
    </row>
    <row r="47" spans="1:18" s="1842" customFormat="1" ht="13.5" thickBot="1">
      <c r="A47" s="1167" t="s">
        <v>1396</v>
      </c>
      <c r="B47" s="1199" t="s">
        <v>1397</v>
      </c>
      <c r="C47" s="1199" t="s">
        <v>1398</v>
      </c>
      <c r="D47" s="1199" t="s">
        <v>1399</v>
      </c>
      <c r="E47" s="1281" t="s">
        <v>1400</v>
      </c>
      <c r="F47" s="1282"/>
      <c r="G47" s="791"/>
      <c r="I47" s="1880" t="s">
        <v>1526</v>
      </c>
      <c r="J47" s="1881" t="s">
        <v>3249</v>
      </c>
      <c r="K47" s="1882" t="s">
        <v>1527</v>
      </c>
      <c r="L47" s="1883">
        <f ca="1">INDIRECT("'数据-取费表'!d"&amp;$G$1)</f>
        <v>40</v>
      </c>
      <c r="M47" s="1838" t="str">
        <f>IF(ISNUMBER(FIND("住宅",C1)),"住宅","非住宅")</f>
        <v>非住宅</v>
      </c>
      <c r="O47" s="1884" t="s">
        <v>1040</v>
      </c>
      <c r="P47" s="1885" t="s">
        <v>1528</v>
      </c>
      <c r="Q47" s="1886">
        <f ca="1">C40+J29</f>
        <v>3214520</v>
      </c>
      <c r="R47" s="1886" t="s">
        <v>1529</v>
      </c>
    </row>
    <row r="48" spans="1:18" s="1842" customFormat="1" ht="28.5" thickBot="1">
      <c r="A48" s="1362" t="s">
        <v>1135</v>
      </c>
      <c r="B48" s="345" t="s">
        <v>1401</v>
      </c>
      <c r="C48" s="1817">
        <f ca="1">C49+C53+C55</f>
        <v>0</v>
      </c>
      <c r="D48" s="1364"/>
      <c r="E48" s="1365"/>
      <c r="F48" s="1183"/>
      <c r="G48" s="791"/>
      <c r="H48" s="792"/>
      <c r="I48" s="1887" t="s">
        <v>1530</v>
      </c>
      <c r="J48" s="1888" t="s">
        <v>3250</v>
      </c>
      <c r="K48" s="1889" t="s">
        <v>1531</v>
      </c>
      <c r="L48" s="1890">
        <f ca="1">INDIRECT("'数据-取费表'!f"&amp;$G$1)</f>
        <v>32.42</v>
      </c>
      <c r="O48" s="1884" t="s">
        <v>1041</v>
      </c>
      <c r="P48" s="1885" t="s">
        <v>1532</v>
      </c>
      <c r="Q48" s="1886">
        <f ca="1">J60</f>
        <v>27877</v>
      </c>
      <c r="R48" s="1886" t="s">
        <v>1533</v>
      </c>
    </row>
    <row r="49" spans="1:18" s="1842" customFormat="1" ht="13.5" thickBot="1">
      <c r="A49" s="1196" t="s">
        <v>1136</v>
      </c>
      <c r="B49" s="1829" t="s">
        <v>1490</v>
      </c>
      <c r="C49" s="1366">
        <f ca="1">ROUND(F49*F51*F50*(1-F52),0)</f>
        <v>0</v>
      </c>
      <c r="D49" s="1278" t="s">
        <v>1404</v>
      </c>
      <c r="E49" s="1830" t="s">
        <v>1491</v>
      </c>
      <c r="F49" s="1283"/>
      <c r="G49" s="1891"/>
      <c r="H49" s="792"/>
      <c r="I49" s="1887" t="s">
        <v>1534</v>
      </c>
      <c r="J49" s="1892">
        <v>2013</v>
      </c>
      <c r="K49" s="1889" t="s">
        <v>1535</v>
      </c>
      <c r="L49" s="1893"/>
      <c r="O49" s="1894" t="s">
        <v>1042</v>
      </c>
      <c r="P49" s="1885" t="s">
        <v>1536</v>
      </c>
      <c r="Q49" s="1886">
        <f ca="1">C29</f>
        <v>1139095</v>
      </c>
      <c r="R49" s="1886" t="s">
        <v>1529</v>
      </c>
    </row>
    <row r="50" spans="1:18" s="1842" customFormat="1" ht="13.5" thickBot="1">
      <c r="A50" s="1197"/>
      <c r="B50" s="1200"/>
      <c r="C50" s="1201"/>
      <c r="D50" s="1174"/>
      <c r="E50" s="1279" t="s">
        <v>1406</v>
      </c>
      <c r="F50" s="1280">
        <f ca="1">F7</f>
        <v>249.95</v>
      </c>
      <c r="H50" s="792"/>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8"/>
      <c r="B51" s="1200"/>
      <c r="C51" s="1201"/>
      <c r="D51" s="1174"/>
      <c r="E51" s="1202" t="s">
        <v>1407</v>
      </c>
      <c r="F51" s="348">
        <f ca="1">F8</f>
        <v>365</v>
      </c>
      <c r="I51" s="1898" t="s">
        <v>1540</v>
      </c>
      <c r="J51" s="1899">
        <f>IF(J49="",J50,J49+J50-YEAR('数据-取费表'!B2))</f>
        <v>55</v>
      </c>
      <c r="K51" s="1900" t="s">
        <v>1541</v>
      </c>
      <c r="L51" s="1901">
        <f ca="1">ROUND(-PV(INDIRECT("'数据-取费表'!h"&amp;$G$1),L48,(C39-C13*C76),0),0)</f>
        <v>916478</v>
      </c>
      <c r="M51" s="1902"/>
      <c r="O51" s="1894" t="s">
        <v>1044</v>
      </c>
      <c r="P51" s="1885" t="s">
        <v>1542</v>
      </c>
      <c r="Q51" s="1897">
        <f>J52</f>
        <v>0.09</v>
      </c>
      <c r="R51" s="1886"/>
    </row>
    <row r="52" spans="1:18" s="1842" customFormat="1" ht="13.5" thickBot="1">
      <c r="A52" s="1198"/>
      <c r="B52" s="1200"/>
      <c r="C52" s="1201"/>
      <c r="D52" s="1174"/>
      <c r="E52" s="1202" t="s">
        <v>1408</v>
      </c>
      <c r="F52" s="1277"/>
      <c r="I52" s="1903" t="s">
        <v>1543</v>
      </c>
      <c r="J52" s="1904">
        <v>0.09</v>
      </c>
      <c r="K52" s="1903" t="s">
        <v>1544</v>
      </c>
      <c r="L52" s="1904"/>
      <c r="O52" s="1894" t="s">
        <v>1045</v>
      </c>
      <c r="P52" s="1885" t="s">
        <v>1545</v>
      </c>
      <c r="Q52" s="1886">
        <f ca="1">J53</f>
        <v>32.42</v>
      </c>
      <c r="R52" s="1886" t="s">
        <v>1546</v>
      </c>
    </row>
    <row r="53" spans="1:18" s="1842" customFormat="1" ht="30.75" customHeight="1" thickBot="1">
      <c r="A53" s="1363" t="s">
        <v>1137</v>
      </c>
      <c r="B53" s="369" t="s">
        <v>1409</v>
      </c>
      <c r="C53" s="361">
        <f ca="1">ROUND(IF(F53="押一",C49/12*F11,IF(F53="押二",C49/12*2*F11,IF(F53="押三",C49/12*3*F11,C54*F11))),0)</f>
        <v>0</v>
      </c>
      <c r="D53" s="1824" t="s">
        <v>3041</v>
      </c>
      <c r="E53" s="358" t="s">
        <v>1410</v>
      </c>
      <c r="F53" s="1368"/>
      <c r="I53" s="1905" t="s">
        <v>1547</v>
      </c>
      <c r="J53" s="1906">
        <f ca="1">IF(M47="住宅",IF(D1="——",MAX(J51,L48),IF(D1="在建（套用方法）",MAX(J51,L48-'数据-取费表'!B24),MAX(J51,L48-'数据-取费表'!B20))),IF(D1="——",MIN(J51,L48),IF(D1="在建（套用方法）",MIN(J51,L48-'数据-取费表'!B24),IF(D1="土地（套用方法）",MIN(J51,L48-'数据-取费表'!B20)))))</f>
        <v>32.42</v>
      </c>
      <c r="K53" s="3263" t="s">
        <v>1548</v>
      </c>
      <c r="L53" s="3264"/>
      <c r="O53" s="1884" t="s">
        <v>1046</v>
      </c>
      <c r="P53" s="1885" t="s">
        <v>1549</v>
      </c>
      <c r="Q53" s="1886">
        <f ca="1">Q47+Q48</f>
        <v>3242397</v>
      </c>
      <c r="R53" s="1886" t="s">
        <v>1047</v>
      </c>
    </row>
    <row r="54" spans="1:18" s="1842" customFormat="1" ht="13.5" thickBot="1">
      <c r="A54" s="1196"/>
      <c r="B54" s="1941" t="s">
        <v>1603</v>
      </c>
      <c r="C54" s="1180"/>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5" t="s">
        <v>1075</v>
      </c>
      <c r="B55" s="1827" t="s">
        <v>1413</v>
      </c>
      <c r="C55" s="1336"/>
      <c r="D55" s="1824"/>
      <c r="E55" s="1832"/>
      <c r="F55" s="1907"/>
      <c r="I55" s="1910" t="s">
        <v>1551</v>
      </c>
      <c r="J55" s="1911">
        <f ca="1">ROUND(IF(J47="钢混",J57/J50,1-(1-2%)*(J50-J57)/J50),3)</f>
        <v>0.376</v>
      </c>
      <c r="K55" s="1912" t="s">
        <v>1552</v>
      </c>
      <c r="L55" s="1913"/>
      <c r="O55" s="1877" t="s">
        <v>1522</v>
      </c>
      <c r="P55" s="1878" t="s">
        <v>1523</v>
      </c>
      <c r="Q55" s="1879" t="s">
        <v>1524</v>
      </c>
      <c r="R55" s="1879" t="s">
        <v>1525</v>
      </c>
    </row>
    <row r="56" spans="1:18" s="1842" customFormat="1" ht="36" customHeight="1" thickTop="1" thickBot="1">
      <c r="A56" s="1178">
        <v>2</v>
      </c>
      <c r="B56" s="1179" t="s">
        <v>1414</v>
      </c>
      <c r="C56" s="276">
        <f ca="1">C13</f>
        <v>1070749</v>
      </c>
      <c r="D56" s="1914"/>
      <c r="E56" s="1915"/>
      <c r="F56" s="1907"/>
      <c r="I56" s="1916" t="s">
        <v>1554</v>
      </c>
      <c r="J56" s="1917" t="s">
        <v>3055</v>
      </c>
      <c r="K56" s="1887" t="s">
        <v>1555</v>
      </c>
      <c r="L56" s="1890" t="str">
        <f ca="1">IF(L48&lt;J51,"——",L48-J51)</f>
        <v>——</v>
      </c>
      <c r="O56" s="1884" t="s">
        <v>1040</v>
      </c>
      <c r="P56" s="1885" t="s">
        <v>1528</v>
      </c>
      <c r="Q56" s="1886">
        <f ca="1">C40+J29</f>
        <v>3214520</v>
      </c>
      <c r="R56" s="1886" t="s">
        <v>1529</v>
      </c>
    </row>
    <row r="57" spans="1:18" s="1842" customFormat="1" ht="24.75" thickBot="1">
      <c r="A57" s="1918"/>
      <c r="B57" s="1171" t="s">
        <v>1478</v>
      </c>
      <c r="C57" s="282">
        <f ca="1">C29</f>
        <v>1139095</v>
      </c>
      <c r="D57" s="1919"/>
      <c r="E57" s="1920"/>
      <c r="F57" s="1921"/>
      <c r="I57" s="1922" t="s">
        <v>1556</v>
      </c>
      <c r="J57" s="1923">
        <f ca="1">IF(OR(M47="住宅",J51&lt;L48,J56="是"),"——",J51-L48)</f>
        <v>22.58</v>
      </c>
      <c r="K57" s="1887" t="s">
        <v>1605</v>
      </c>
      <c r="L57" s="1890" t="str">
        <f ca="1">IF(L48&lt;J51,"——",IF(L55="比较法",L49,IF(L55="基准地价",L50,L51)))</f>
        <v>——</v>
      </c>
      <c r="O57" s="1884" t="s">
        <v>1041</v>
      </c>
      <c r="P57" s="1885" t="s">
        <v>1606</v>
      </c>
      <c r="Q57" s="1886">
        <f ca="1">L60</f>
        <v>0</v>
      </c>
      <c r="R57" s="1886" t="s">
        <v>1607</v>
      </c>
    </row>
    <row r="58" spans="1:18" s="1842" customFormat="1" ht="24.75" thickBot="1">
      <c r="A58" s="360" t="s">
        <v>1030</v>
      </c>
      <c r="B58" s="1179" t="s">
        <v>1424</v>
      </c>
      <c r="C58" s="361">
        <f ca="1">ROUND(C59+C64+C65+C66,0)</f>
        <v>114835</v>
      </c>
      <c r="D58" s="1181" t="s">
        <v>1425</v>
      </c>
      <c r="E58" s="1182"/>
      <c r="F58" s="1183"/>
      <c r="I58" s="1922" t="s">
        <v>1560</v>
      </c>
      <c r="J58" s="1924">
        <f ca="1">IF(J55&lt;0.4,0.4,J55)</f>
        <v>0.4</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3" t="s">
        <v>1035</v>
      </c>
      <c r="B59" s="1171" t="s">
        <v>1429</v>
      </c>
      <c r="C59" s="24">
        <f ca="1">ROUND(IF(项目基本情况!B11="自然人",C48*F59,C60+C61+C62),0)</f>
        <v>96143</v>
      </c>
      <c r="D59" s="1184" t="s">
        <v>1430</v>
      </c>
      <c r="E59" s="1185" t="s">
        <v>1431</v>
      </c>
      <c r="F59" s="368" t="str">
        <f ca="1">IF(项目基本情况!B11="企业","",IF(INDIRECT("'数据-取费表'!c"&amp;$G$1)="住宅",5%,IF(F49*F50*F51/12/(1+'数据-取费表'!C42)&gt;20000,12%,7%)))</f>
        <v/>
      </c>
      <c r="I59" s="1922" t="s">
        <v>1563</v>
      </c>
      <c r="J59" s="1923">
        <f ca="1">IF(OR(M47="住宅",J51&lt;L48,J56="是"),"——",ROUND(C29*J58,0))</f>
        <v>455638</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5" t="s">
        <v>1565</v>
      </c>
      <c r="J60" s="1926">
        <f ca="1">IF(OR(M47="住宅",J51&lt;L48,J56="是"),"0",ROUND(J59/(1+J52)^J53,0))</f>
        <v>27877</v>
      </c>
      <c r="K60" s="1927" t="s">
        <v>1566</v>
      </c>
      <c r="L60" s="1926">
        <f ca="1">IF(OR(M47="住宅",L48&lt;J51),0,ROUND(L57*(L58/L59-1),0))</f>
        <v>0</v>
      </c>
      <c r="O60" s="1894" t="s">
        <v>1044</v>
      </c>
      <c r="P60" s="1885" t="s">
        <v>1567</v>
      </c>
      <c r="Q60" s="1886" t="e">
        <f ca="1">L58</f>
        <v>#DIV/0!</v>
      </c>
      <c r="R60" s="1886" t="s">
        <v>1568</v>
      </c>
    </row>
    <row r="61" spans="1:18" s="1842" customFormat="1" ht="13.5" thickBot="1">
      <c r="A61" s="1203" t="s">
        <v>1492</v>
      </c>
      <c r="B61" s="1171" t="s">
        <v>1493</v>
      </c>
      <c r="C61" s="24">
        <f ca="1">IF(项目基本情况!B11="自然人","——",IF(D61="按租金收入计税",ROUND(C48*F61,0),IF(D61="按房产原值计税",ROUND(C57*F61*0.7,0),INDIRECT("'数据-取费表'!Aj"&amp;$G$1))))</f>
        <v>95684</v>
      </c>
      <c r="D61" s="1828" t="s">
        <v>1438</v>
      </c>
      <c r="E61" s="1171"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3" t="s">
        <v>1495</v>
      </c>
      <c r="B62" s="1170" t="s">
        <v>1496</v>
      </c>
      <c r="C62" s="25">
        <f ca="1">IF(项目基本情况!B11="自然人","——",ROUND(F62*F63,0))</f>
        <v>459</v>
      </c>
      <c r="D62" s="1186" t="s">
        <v>1497</v>
      </c>
      <c r="E62" s="1171" t="s">
        <v>1498</v>
      </c>
      <c r="F62" s="371">
        <f t="shared" si="0"/>
        <v>4</v>
      </c>
      <c r="I62" s="1929" t="s">
        <v>1570</v>
      </c>
      <c r="J62" s="1930" t="s">
        <v>1571</v>
      </c>
      <c r="K62" s="1930" t="s">
        <v>1572</v>
      </c>
      <c r="L62" s="1930" t="s">
        <v>1573</v>
      </c>
      <c r="M62" s="1931" t="s">
        <v>1574</v>
      </c>
      <c r="O62" s="1884" t="s">
        <v>1046</v>
      </c>
      <c r="P62" s="1885" t="s">
        <v>1575</v>
      </c>
      <c r="Q62" s="1886">
        <f ca="1">Q56+Q57</f>
        <v>3214520</v>
      </c>
      <c r="R62" s="1886" t="s">
        <v>1047</v>
      </c>
    </row>
    <row r="63" spans="1:18" s="1842" customFormat="1" ht="13.5" thickBot="1">
      <c r="A63" s="372"/>
      <c r="B63" s="1177"/>
      <c r="C63" s="29"/>
      <c r="D63" s="1187"/>
      <c r="E63" s="1171" t="s">
        <v>1499</v>
      </c>
      <c r="F63" s="348">
        <f t="shared" ca="1" si="0"/>
        <v>114.7</v>
      </c>
      <c r="I63" s="1929" t="s">
        <v>1576</v>
      </c>
      <c r="J63" s="1930">
        <v>70</v>
      </c>
      <c r="K63" s="1930">
        <v>50</v>
      </c>
      <c r="L63" s="1930">
        <v>80</v>
      </c>
      <c r="M63" s="1932">
        <v>0.02</v>
      </c>
      <c r="O63" s="1869" t="s">
        <v>1577</v>
      </c>
      <c r="P63" s="1839"/>
      <c r="Q63" s="1839"/>
      <c r="R63" s="1839"/>
    </row>
    <row r="64" spans="1:18" s="1842" customFormat="1" ht="13.5" thickBot="1">
      <c r="A64" s="1203" t="s">
        <v>1500</v>
      </c>
      <c r="B64" s="1171" t="s">
        <v>1501</v>
      </c>
      <c r="C64" s="24">
        <f ca="1">ROUND(C57*F64,0)</f>
        <v>17086</v>
      </c>
      <c r="D64" s="1185" t="s">
        <v>1502</v>
      </c>
      <c r="E64" s="1171"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3" t="s">
        <v>1503</v>
      </c>
      <c r="B65" s="1171" t="s">
        <v>1453</v>
      </c>
      <c r="C65" s="24">
        <f ca="1">ROUND(C56*F65,0)</f>
        <v>1606</v>
      </c>
      <c r="D65" s="1185" t="s">
        <v>1454</v>
      </c>
      <c r="E65" s="1171" t="s">
        <v>1455</v>
      </c>
      <c r="F65" s="376">
        <f t="shared" ca="1" si="0"/>
        <v>1.5E-3</v>
      </c>
      <c r="I65" s="1929" t="s">
        <v>1579</v>
      </c>
      <c r="J65" s="1930">
        <v>40</v>
      </c>
      <c r="K65" s="1930">
        <v>30</v>
      </c>
      <c r="L65" s="1930">
        <v>50</v>
      </c>
      <c r="M65" s="1932">
        <v>0.02</v>
      </c>
      <c r="O65" s="1884" t="s">
        <v>1040</v>
      </c>
      <c r="P65" s="1885" t="s">
        <v>1580</v>
      </c>
      <c r="Q65" s="1886">
        <f ca="1">C40+J29</f>
        <v>3214520</v>
      </c>
      <c r="R65" s="1886" t="s">
        <v>1529</v>
      </c>
    </row>
    <row r="66" spans="1:18" s="1842" customFormat="1" ht="16.5" thickBot="1">
      <c r="A66" s="1203" t="s">
        <v>1504</v>
      </c>
      <c r="B66" s="1171" t="s">
        <v>1439</v>
      </c>
      <c r="C66" s="24">
        <f ca="1">ROUND(C48*F66,0)</f>
        <v>0</v>
      </c>
      <c r="D66" s="1185" t="s">
        <v>1505</v>
      </c>
      <c r="E66" s="1171" t="s">
        <v>1422</v>
      </c>
      <c r="F66" s="357">
        <f t="shared" ca="1" si="0"/>
        <v>0.01</v>
      </c>
      <c r="O66" s="1884" t="s">
        <v>1041</v>
      </c>
      <c r="P66" s="1885" t="s">
        <v>1558</v>
      </c>
      <c r="Q66" s="1886">
        <f ca="1">L60</f>
        <v>0</v>
      </c>
      <c r="R66" s="1886" t="s">
        <v>1581</v>
      </c>
    </row>
    <row r="67" spans="1:18" s="1842" customFormat="1" ht="16.5" thickBot="1">
      <c r="A67" s="1178" t="s">
        <v>1031</v>
      </c>
      <c r="B67" s="1188" t="s">
        <v>1463</v>
      </c>
      <c r="C67" s="361">
        <f ca="1">C48-C58</f>
        <v>-114835</v>
      </c>
      <c r="D67" s="1184" t="s">
        <v>1464</v>
      </c>
      <c r="E67" s="1189"/>
      <c r="F67" s="1190"/>
      <c r="O67" s="1894" t="s">
        <v>1042</v>
      </c>
      <c r="P67" s="1885" t="s">
        <v>1562</v>
      </c>
      <c r="Q67" s="1933">
        <f ca="1">L51</f>
        <v>916478</v>
      </c>
      <c r="R67" s="1886" t="s">
        <v>1582</v>
      </c>
    </row>
    <row r="68" spans="1:18" s="1842" customFormat="1" ht="16.5" thickBot="1">
      <c r="A68" s="1168" t="s">
        <v>1032</v>
      </c>
      <c r="B68" s="1169" t="s">
        <v>1485</v>
      </c>
      <c r="C68" s="346">
        <f ca="1">ROUND(C67*(1-((1+F70)/(1+F68))^F69)/(F68-F70),0)</f>
        <v>-2482477</v>
      </c>
      <c r="D68" s="1186" t="s">
        <v>1469</v>
      </c>
      <c r="E68" s="1171" t="s">
        <v>1470</v>
      </c>
      <c r="F68" s="357">
        <f ca="1">F40</f>
        <v>5.5E-2</v>
      </c>
      <c r="O68" s="1894" t="s">
        <v>1043</v>
      </c>
      <c r="P68" s="1934" t="s">
        <v>1583</v>
      </c>
      <c r="Q68" s="1886">
        <f ca="1">ROUND(Q69-Q70*Q71,0)</f>
        <v>57684</v>
      </c>
      <c r="R68" s="1886" t="s">
        <v>1051</v>
      </c>
    </row>
    <row r="69" spans="1:18" s="1842" customFormat="1" ht="13.5" thickBot="1">
      <c r="A69" s="1172"/>
      <c r="B69" s="1173"/>
      <c r="C69" s="351"/>
      <c r="D69" s="1191" t="s">
        <v>1473</v>
      </c>
      <c r="E69" s="1171" t="s">
        <v>1474</v>
      </c>
      <c r="F69" s="379">
        <f ca="1">F41</f>
        <v>32.42</v>
      </c>
      <c r="O69" s="1894" t="s">
        <v>1048</v>
      </c>
      <c r="P69" s="1934" t="s">
        <v>1584</v>
      </c>
      <c r="Q69" s="1886">
        <f ca="1">C39</f>
        <v>148698</v>
      </c>
      <c r="R69" s="1886" t="s">
        <v>1529</v>
      </c>
    </row>
    <row r="70" spans="1:18" s="1842" customFormat="1" ht="13.5" thickBot="1">
      <c r="A70" s="1175"/>
      <c r="B70" s="1176"/>
      <c r="C70" s="355"/>
      <c r="D70" s="1187"/>
      <c r="E70" s="1171" t="s">
        <v>1477</v>
      </c>
      <c r="F70" s="1277">
        <f ca="1">F42</f>
        <v>0.03</v>
      </c>
      <c r="O70" s="1894" t="s">
        <v>1049</v>
      </c>
      <c r="P70" s="1934" t="s">
        <v>1585</v>
      </c>
      <c r="Q70" s="1886">
        <f ca="1">C13</f>
        <v>1070749</v>
      </c>
      <c r="R70" s="1886" t="s">
        <v>1529</v>
      </c>
    </row>
    <row r="71" spans="1:18" s="1842" customFormat="1" ht="13.5" thickBot="1">
      <c r="A71" s="1192" t="s">
        <v>1033</v>
      </c>
      <c r="B71" s="1193" t="s">
        <v>1487</v>
      </c>
      <c r="C71" s="382">
        <f ca="1">ROUND(C68/F71,0)</f>
        <v>-9932</v>
      </c>
      <c r="D71" s="1194" t="s">
        <v>1488</v>
      </c>
      <c r="E71" s="1195" t="s">
        <v>1489</v>
      </c>
      <c r="F71" s="385">
        <f ca="1">F43</f>
        <v>249.95</v>
      </c>
      <c r="O71" s="1894" t="s">
        <v>1050</v>
      </c>
      <c r="P71" s="1934" t="s">
        <v>1586</v>
      </c>
      <c r="Q71" s="1897">
        <f ca="1">C76</f>
        <v>8.5000000000000006E-2</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91014</v>
      </c>
      <c r="D75" s="1842"/>
      <c r="E75" s="1842"/>
      <c r="F75" s="1842"/>
      <c r="K75" s="1868"/>
      <c r="L75" s="1842"/>
      <c r="O75" s="1884" t="s">
        <v>1046</v>
      </c>
      <c r="P75" s="1885" t="s">
        <v>1549</v>
      </c>
      <c r="Q75" s="1886">
        <f ca="1">Q65+Q66</f>
        <v>3214520</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0.38800000000000001</v>
      </c>
    </row>
    <row r="80" spans="1:18">
      <c r="B80" s="386" t="s">
        <v>1511</v>
      </c>
      <c r="C80" s="318">
        <f ca="1">ROUND(C75/C39,3)</f>
        <v>0.61199999999999999</v>
      </c>
    </row>
    <row r="81" spans="2:3">
      <c r="B81" s="314" t="s">
        <v>1512</v>
      </c>
      <c r="C81" s="282"/>
    </row>
    <row r="82" spans="2:3">
      <c r="B82" s="317" t="s">
        <v>1513</v>
      </c>
      <c r="C82" s="319">
        <f ca="1">1-C83</f>
        <v>0.66700000000000004</v>
      </c>
    </row>
    <row r="83" spans="2:3">
      <c r="B83" s="317" t="s">
        <v>1514</v>
      </c>
      <c r="C83" s="318">
        <f ca="1">ROUND(C13/C40,3)</f>
        <v>0.33300000000000002</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Normal="100" zoomScaleSheetLayoutView="90" workbookViewId="0">
      <selection activeCell="F35" sqref="F35"/>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1"/>
      <c r="C1" s="1837" t="s">
        <v>3376</v>
      </c>
      <c r="D1" s="1820" t="s">
        <v>70</v>
      </c>
      <c r="E1" s="1821" t="s">
        <v>1387</v>
      </c>
      <c r="F1" s="1285">
        <f ca="1">J53</f>
        <v>32.42</v>
      </c>
      <c r="G1" s="1836">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1515</v>
      </c>
      <c r="B2" s="1844">
        <f ca="1">C40+J29+L46</f>
        <v>327</v>
      </c>
      <c r="C2" s="1845" t="s">
        <v>1516</v>
      </c>
      <c r="D2" s="1845"/>
      <c r="E2" s="1846"/>
      <c r="F2" s="1847"/>
      <c r="G2" s="1848"/>
      <c r="H2" s="1840"/>
      <c r="I2" s="1840"/>
      <c r="J2" s="1840"/>
      <c r="K2" s="1841"/>
      <c r="L2" s="1840"/>
      <c r="M2" s="1840"/>
    </row>
    <row r="3" spans="1:37" ht="18" customHeight="1" thickBot="1">
      <c r="A3" s="1849" t="s">
        <v>1517</v>
      </c>
      <c r="B3" s="1850">
        <f ca="1">IF(ISERROR(B2*10000/F43),0,ROUND(B2*10000/F43,0))</f>
        <v>13083</v>
      </c>
      <c r="C3" s="1845" t="s">
        <v>1518</v>
      </c>
      <c r="D3" s="1845"/>
      <c r="E3" s="1846"/>
      <c r="F3" s="1847"/>
      <c r="G3" s="1848"/>
      <c r="H3" s="743"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4">
        <f ca="1">C6+C10+C12</f>
        <v>21</v>
      </c>
      <c r="D5" s="1822" t="s">
        <v>1402</v>
      </c>
      <c r="E5" s="1295"/>
      <c r="F5" s="1296"/>
      <c r="G5" s="1851"/>
      <c r="H5" s="344">
        <v>1</v>
      </c>
      <c r="I5" s="345" t="s">
        <v>1401</v>
      </c>
      <c r="J5" s="1294">
        <f ca="1">J6+J10+J12</f>
        <v>0</v>
      </c>
      <c r="K5" s="1822" t="s">
        <v>1402</v>
      </c>
      <c r="L5" s="1295"/>
      <c r="M5" s="1296"/>
    </row>
    <row r="6" spans="1:37" ht="18" customHeight="1">
      <c r="A6" s="1293" t="s">
        <v>1035</v>
      </c>
      <c r="B6" s="3260" t="s">
        <v>1403</v>
      </c>
      <c r="C6" s="1298">
        <f ca="1">ROUND(F6*F8*F7*(1-F9)/10000,0)</f>
        <v>21</v>
      </c>
      <c r="D6" s="164" t="s">
        <v>3030</v>
      </c>
      <c r="E6" s="347" t="s">
        <v>1405</v>
      </c>
      <c r="F6" s="348">
        <f ca="1">INDIRECT("'数据-取费表'!u"&amp;$G$1)</f>
        <v>2.5</v>
      </c>
      <c r="G6" s="1851"/>
      <c r="H6" s="1293" t="s">
        <v>1035</v>
      </c>
      <c r="I6" s="3260" t="s">
        <v>1403</v>
      </c>
      <c r="J6" s="346">
        <f ca="1">ROUND(M6*M8*M7*(1-M9)/10000,0)</f>
        <v>0</v>
      </c>
      <c r="K6" s="164" t="s">
        <v>3029</v>
      </c>
      <c r="L6" s="347" t="s">
        <v>1405</v>
      </c>
      <c r="M6" s="348">
        <f ca="1">INDIRECT("'数据-取费表'!z"&amp;$G$1)</f>
        <v>0</v>
      </c>
    </row>
    <row r="7" spans="1:37" ht="18" customHeight="1">
      <c r="A7" s="1297"/>
      <c r="B7" s="3261"/>
      <c r="C7" s="1299"/>
      <c r="D7" s="352"/>
      <c r="E7" s="1300" t="s">
        <v>1406</v>
      </c>
      <c r="F7" s="348">
        <f ca="1">IF(INDIRECT("'数据-取费表'!ah"&amp;$G$1)="",INDIRECT("'数据-取费表'!k"&amp;$G$1),INDIRECT("'数据-取费表'!ah"&amp;$G$1))</f>
        <v>249.95</v>
      </c>
      <c r="G7" s="1851"/>
      <c r="H7" s="349"/>
      <c r="I7" s="3261"/>
      <c r="J7" s="351"/>
      <c r="K7" s="352"/>
      <c r="L7" s="347" t="s">
        <v>1406</v>
      </c>
      <c r="M7" s="348">
        <f ca="1">F7</f>
        <v>249.95</v>
      </c>
    </row>
    <row r="8" spans="1:37" ht="18" customHeight="1">
      <c r="A8" s="349"/>
      <c r="B8" s="3261"/>
      <c r="C8" s="351"/>
      <c r="D8" s="352"/>
      <c r="E8" s="347" t="s">
        <v>1407</v>
      </c>
      <c r="F8" s="348">
        <f ca="1">INDIRECT("'数据-取费表'!ai"&amp;$G$1)</f>
        <v>365</v>
      </c>
      <c r="G8" s="1851"/>
      <c r="H8" s="349"/>
      <c r="I8" s="3261"/>
      <c r="J8" s="351"/>
      <c r="K8" s="352"/>
      <c r="L8" s="347" t="s">
        <v>1407</v>
      </c>
      <c r="M8" s="348">
        <f ca="1">INDIRECT("'数据-取费表'!ai"&amp;$G$1)</f>
        <v>365</v>
      </c>
    </row>
    <row r="9" spans="1:37" ht="18" customHeight="1">
      <c r="A9" s="349"/>
      <c r="B9" s="3262"/>
      <c r="C9" s="351"/>
      <c r="D9" s="352"/>
      <c r="E9" s="347" t="s">
        <v>1408</v>
      </c>
      <c r="F9" s="357">
        <f ca="1">INDIRECT("'数据-取费表'!w"&amp;$G$1)</f>
        <v>0.1</v>
      </c>
      <c r="G9" s="1851"/>
      <c r="H9" s="349"/>
      <c r="I9" s="3262"/>
      <c r="J9" s="351"/>
      <c r="K9" s="352"/>
      <c r="L9" s="358" t="s">
        <v>1408</v>
      </c>
      <c r="M9" s="359">
        <f ca="1">INDIRECT("'数据-取费表'!ab"&amp;$G$1)</f>
        <v>0</v>
      </c>
    </row>
    <row r="10" spans="1:37" ht="18" customHeight="1">
      <c r="A10" s="1293" t="s">
        <v>1039</v>
      </c>
      <c r="B10" s="1823" t="s">
        <v>1409</v>
      </c>
      <c r="C10" s="361">
        <f ca="1">ROUND(IF(F10="押一",C6/12*F11,IF(F10="押二",C6/12*2*F11,IF(F10="押三",C6/12*3*F11,C11*F11))),0)</f>
        <v>0</v>
      </c>
      <c r="D10" s="1824" t="s">
        <v>3039</v>
      </c>
      <c r="E10" s="358" t="s">
        <v>1410</v>
      </c>
      <c r="F10" s="1368" t="s">
        <v>3247</v>
      </c>
      <c r="G10" s="1851"/>
      <c r="H10" s="1293" t="s">
        <v>1039</v>
      </c>
      <c r="I10" s="1823" t="s">
        <v>1409</v>
      </c>
      <c r="J10" s="346">
        <f ca="1">ROUND(IF(M10="押一",J6/12*M11,IF(M10="押二",J6/12*2*M11,IF(M10="押三",J6/12*3*M11,J11*M11))),0)</f>
        <v>0</v>
      </c>
      <c r="K10" s="1824" t="s">
        <v>3038</v>
      </c>
      <c r="L10" s="358" t="s">
        <v>1410</v>
      </c>
      <c r="M10" s="1368" t="s">
        <v>1411</v>
      </c>
    </row>
    <row r="11" spans="1:37" ht="18" customHeight="1">
      <c r="A11" s="353"/>
      <c r="B11" s="1825" t="s">
        <v>1388</v>
      </c>
      <c r="C11" s="1180"/>
      <c r="D11" s="1826"/>
      <c r="E11" s="358" t="s">
        <v>1412</v>
      </c>
      <c r="F11" s="359">
        <f ca="1">'数据-取费表'!B39</f>
        <v>1.4999999999999999E-2</v>
      </c>
      <c r="G11" s="1851"/>
      <c r="H11" s="1301"/>
      <c r="I11" s="1825" t="s">
        <v>1388</v>
      </c>
      <c r="J11" s="1180"/>
      <c r="K11" s="747"/>
      <c r="L11" s="358" t="s">
        <v>1412</v>
      </c>
      <c r="M11" s="1058">
        <f ca="1">'数据-取费表'!B39</f>
        <v>1.4999999999999999E-2</v>
      </c>
    </row>
    <row r="12" spans="1:37" ht="18" customHeight="1" thickBot="1">
      <c r="A12" s="1335" t="s">
        <v>1075</v>
      </c>
      <c r="B12" s="1827" t="s">
        <v>1413</v>
      </c>
      <c r="C12" s="1336"/>
      <c r="D12" s="1337"/>
      <c r="E12" s="1342"/>
      <c r="F12" s="1338"/>
      <c r="G12" s="1851"/>
      <c r="H12" s="1335" t="s">
        <v>1075</v>
      </c>
      <c r="I12" s="1827" t="s">
        <v>1413</v>
      </c>
      <c r="J12" s="1336"/>
      <c r="K12" s="1350"/>
      <c r="L12" s="1342"/>
      <c r="M12" s="1351"/>
    </row>
    <row r="13" spans="1:37" ht="18" customHeight="1" thickTop="1">
      <c r="A13" s="1331">
        <v>2</v>
      </c>
      <c r="B13" s="1332" t="s">
        <v>1414</v>
      </c>
      <c r="C13" s="355">
        <f ca="1">ROUND(C29*F13,0)</f>
        <v>108</v>
      </c>
      <c r="D13" s="1333" t="s">
        <v>1415</v>
      </c>
      <c r="E13" s="1333" t="s">
        <v>1416</v>
      </c>
      <c r="F13" s="1334">
        <f ca="1">INDIRECT("'数据-取费表'!y"&amp;$G$1)</f>
        <v>0.94</v>
      </c>
      <c r="G13" s="1851"/>
      <c r="H13" s="1331">
        <v>2</v>
      </c>
      <c r="I13" s="1332" t="s">
        <v>1414</v>
      </c>
      <c r="J13" s="1292">
        <f ca="1">ROUND(J14*J15,0)</f>
        <v>0</v>
      </c>
      <c r="K13" s="1339" t="s">
        <v>1415</v>
      </c>
      <c r="L13" s="1852"/>
      <c r="M13" s="1853"/>
    </row>
    <row r="14" spans="1:37" ht="18" customHeight="1">
      <c r="A14" s="1203" t="s">
        <v>1034</v>
      </c>
      <c r="B14" s="347" t="s">
        <v>1417</v>
      </c>
      <c r="C14" s="363">
        <f ca="1">INDIRECT("'数据-取费表'!m"&amp;$G$1)+INDIRECT("'数据-取费表'!t"&amp;$G$1)</f>
        <v>70</v>
      </c>
      <c r="D14" s="1800" t="s">
        <v>1418</v>
      </c>
      <c r="E14" s="1794"/>
      <c r="F14" s="364"/>
      <c r="G14" s="1851"/>
      <c r="H14" s="1203" t="s">
        <v>1035</v>
      </c>
      <c r="I14" s="347" t="s">
        <v>1419</v>
      </c>
      <c r="J14" s="24">
        <f ca="1">C29</f>
        <v>115</v>
      </c>
      <c r="K14" s="15"/>
      <c r="L14" s="981"/>
      <c r="M14" s="982"/>
    </row>
    <row r="15" spans="1:37" s="1858" customFormat="1" ht="18" customHeight="1" thickBot="1">
      <c r="A15" s="1203" t="s">
        <v>1036</v>
      </c>
      <c r="B15" s="347" t="s">
        <v>1420</v>
      </c>
      <c r="C15" s="24">
        <f ca="1">ROUND(C14*F15,0)</f>
        <v>2</v>
      </c>
      <c r="D15" s="365" t="s">
        <v>1421</v>
      </c>
      <c r="E15" s="365" t="s">
        <v>1422</v>
      </c>
      <c r="F15" s="366">
        <f>'数据-取费表'!B33</f>
        <v>0.03</v>
      </c>
      <c r="G15" s="1854"/>
      <c r="H15" s="1341" t="s">
        <v>1039</v>
      </c>
      <c r="I15" s="1342" t="s">
        <v>1416</v>
      </c>
      <c r="J15" s="1351">
        <f ca="1">INDIRECT("'数据-取费表'!ad"&amp;$G$1)</f>
        <v>0</v>
      </c>
      <c r="K15" s="1352"/>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1"/>
      <c r="H16" s="1331" t="s">
        <v>1030</v>
      </c>
      <c r="I16" s="1332" t="s">
        <v>1424</v>
      </c>
      <c r="J16" s="355">
        <f ca="1">ROUND(J17+J22+J23+J24,0)</f>
        <v>3</v>
      </c>
      <c r="K16" s="1339" t="s">
        <v>1425</v>
      </c>
      <c r="L16" s="1340"/>
      <c r="M16" s="1296"/>
    </row>
    <row r="17" spans="1:37" s="1858" customFormat="1" ht="18" customHeight="1">
      <c r="A17" s="1203" t="s">
        <v>1390</v>
      </c>
      <c r="B17" s="347" t="s">
        <v>1426</v>
      </c>
      <c r="C17" s="24">
        <f ca="1">ROUND(F17*(F43+INDIRECT("'数据-取费表'!S"&amp;$G$1))/10000,0)</f>
        <v>5</v>
      </c>
      <c r="D17" s="347" t="s">
        <v>1427</v>
      </c>
      <c r="E17" s="347" t="s">
        <v>1428</v>
      </c>
      <c r="F17" s="26">
        <f>'数据-取费表'!B35</f>
        <v>200</v>
      </c>
      <c r="G17" s="1854"/>
      <c r="H17" s="1203" t="s">
        <v>1035</v>
      </c>
      <c r="I17" s="347" t="s">
        <v>1429</v>
      </c>
      <c r="J17" s="24">
        <f ca="1">ROUND(IF(项目基本情况!B11="自然人",J5*M17,J18+J19+J20),1)</f>
        <v>1</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3" t="s">
        <v>1391</v>
      </c>
      <c r="B18" s="347" t="s">
        <v>1432</v>
      </c>
      <c r="C18" s="24">
        <f ca="1">ROUND(C14*F18,0)</f>
        <v>1</v>
      </c>
      <c r="D18" s="347" t="s">
        <v>1421</v>
      </c>
      <c r="E18" s="347" t="s">
        <v>1422</v>
      </c>
      <c r="F18" s="367">
        <f>'数据-取费表'!B36</f>
        <v>1.4999999999999999E-2</v>
      </c>
      <c r="G18" s="1854"/>
      <c r="H18" s="1203"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3" t="s">
        <v>1035</v>
      </c>
      <c r="B19" s="347" t="s">
        <v>1435</v>
      </c>
      <c r="C19" s="24">
        <f ca="1">SUM(C14:C18)</f>
        <v>78</v>
      </c>
      <c r="D19" s="140" t="s">
        <v>1436</v>
      </c>
      <c r="E19" s="1818"/>
      <c r="F19" s="26"/>
      <c r="G19" s="1851"/>
      <c r="H19" s="1203" t="s">
        <v>1036</v>
      </c>
      <c r="I19" s="347" t="s">
        <v>1437</v>
      </c>
      <c r="J19" s="24">
        <f ca="1">IF(K19="按租金收入计税",ROUND(J5*M19,2),ROUND(C29*M19*0.7,2))</f>
        <v>0.97</v>
      </c>
      <c r="K19" s="1828" t="s">
        <v>1438</v>
      </c>
      <c r="L19" s="347" t="s">
        <v>1422</v>
      </c>
      <c r="M19" s="367">
        <f>IF(K19="按租金收入计税",'数据-取费表'!B51,'数据-取费表'!B50)</f>
        <v>1.2E-2</v>
      </c>
    </row>
    <row r="20" spans="1:37" s="1858" customFormat="1" ht="18" customHeight="1">
      <c r="A20" s="1203" t="s">
        <v>1039</v>
      </c>
      <c r="B20" s="347" t="s">
        <v>1439</v>
      </c>
      <c r="C20" s="24">
        <f ca="1">ROUND(C19*F20,0)</f>
        <v>2</v>
      </c>
      <c r="D20" s="369" t="s">
        <v>1440</v>
      </c>
      <c r="E20" s="347" t="s">
        <v>1422</v>
      </c>
      <c r="F20" s="367">
        <f>'数据-取费表'!B37</f>
        <v>0.02</v>
      </c>
      <c r="G20" s="1854"/>
      <c r="H20" s="1203" t="s">
        <v>1389</v>
      </c>
      <c r="I20" s="164" t="s">
        <v>1441</v>
      </c>
      <c r="J20" s="25">
        <f ca="1">ROUND(M20*M21/10000,2)</f>
        <v>0.05</v>
      </c>
      <c r="K20" s="370" t="s">
        <v>1442</v>
      </c>
      <c r="L20" s="347" t="s">
        <v>1443</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3"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114.7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8"/>
      <c r="F22" s="26"/>
      <c r="G22" s="1851"/>
      <c r="H22" s="1203" t="s">
        <v>1039</v>
      </c>
      <c r="I22" s="347" t="s">
        <v>1449</v>
      </c>
      <c r="J22" s="24">
        <f ca="1">ROUND(J14*M22,1)</f>
        <v>1.7</v>
      </c>
      <c r="K22" s="1798" t="s">
        <v>1450</v>
      </c>
      <c r="L22" s="347" t="s">
        <v>1422</v>
      </c>
      <c r="M22" s="374">
        <f ca="1">INDIRECT("'数据-取费表'!Ak"&amp;$G$1)</f>
        <v>1.4999999999999999E-2</v>
      </c>
    </row>
    <row r="23" spans="1:37" s="1858" customFormat="1" ht="18" customHeight="1">
      <c r="A23" s="1203" t="s">
        <v>1034</v>
      </c>
      <c r="B23" s="347" t="s">
        <v>1451</v>
      </c>
      <c r="C23" s="24">
        <f ca="1">IF('数据-取费表'!B22&lt;=1,ROUND(C19*F24*F23/2,0)+ROUND(C20*F24*F23/2,0),ROUND(C19*(POWER((1+F24),F23/2)-1),0)+ROUND(C20*(POWER((1+F24),F23/2)-1),0))</f>
        <v>4</v>
      </c>
      <c r="D23" s="375" t="str">
        <f>IF(F23&lt;=1,"(建造成本+管理费用)×利率×(建设周期÷2)","(建造成本+管理费用)×((1+利率)^(建设周期÷2)-1)")</f>
        <v>(建造成本+管理费用)×((1+利率)^(建设周期÷2)-1)</v>
      </c>
      <c r="E23" s="347" t="s">
        <v>1452</v>
      </c>
      <c r="F23" s="371">
        <f>'数据-取费表'!B20</f>
        <v>2</v>
      </c>
      <c r="G23" s="1854"/>
      <c r="H23" s="1203" t="s">
        <v>1075</v>
      </c>
      <c r="I23" s="347" t="s">
        <v>1453</v>
      </c>
      <c r="J23" s="24">
        <f ca="1">ROUND(J13*M23,1)</f>
        <v>0</v>
      </c>
      <c r="K23" s="1798"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41" t="s">
        <v>1393</v>
      </c>
      <c r="I24" s="1342" t="s">
        <v>1439</v>
      </c>
      <c r="J24" s="1343">
        <f ca="1">ROUND(J5*M24,1)</f>
        <v>0</v>
      </c>
      <c r="K24" s="1344" t="s">
        <v>1459</v>
      </c>
      <c r="L24" s="1342" t="s">
        <v>1455</v>
      </c>
      <c r="M24" s="1338">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3" t="s">
        <v>1460</v>
      </c>
      <c r="B25" s="347" t="s">
        <v>1461</v>
      </c>
      <c r="C25" s="24"/>
      <c r="D25" s="140" t="s">
        <v>1462</v>
      </c>
      <c r="E25" s="1818"/>
      <c r="F25" s="26"/>
      <c r="G25" s="1851"/>
      <c r="H25" s="1331" t="s">
        <v>1031</v>
      </c>
      <c r="I25" s="1346" t="s">
        <v>1463</v>
      </c>
      <c r="J25" s="355">
        <f ca="1">J5-J16</f>
        <v>-3</v>
      </c>
      <c r="K25" s="1347" t="s">
        <v>1464</v>
      </c>
      <c r="L25" s="1348"/>
      <c r="M25" s="1349"/>
    </row>
    <row r="26" spans="1:37">
      <c r="A26" s="1203" t="s">
        <v>1034</v>
      </c>
      <c r="B26" s="347" t="s">
        <v>1465</v>
      </c>
      <c r="C26" s="24">
        <f ca="1">ROUND((C19+C20)*F26,0)</f>
        <v>20</v>
      </c>
      <c r="D26" s="369" t="s">
        <v>1466</v>
      </c>
      <c r="E26" s="358" t="s">
        <v>1467</v>
      </c>
      <c r="F26" s="357">
        <f ca="1">INDIRECT("'数据-取费表'!q"&amp;$G$1)</f>
        <v>0.25</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7.4999999999999997E-3</v>
      </c>
      <c r="D27" s="369" t="s">
        <v>1472</v>
      </c>
      <c r="E27" s="365"/>
      <c r="F27" s="366"/>
      <c r="G27" s="1851"/>
      <c r="H27" s="349"/>
      <c r="I27" s="350"/>
      <c r="J27" s="351"/>
      <c r="K27" s="378" t="s">
        <v>1473</v>
      </c>
      <c r="L27" s="347" t="s">
        <v>1474</v>
      </c>
      <c r="M27" s="379">
        <f ca="1">INDIRECT("'数据-取费表'!ag"&amp;$G$1)</f>
        <v>0</v>
      </c>
    </row>
    <row r="28" spans="1:37" s="1858" customFormat="1" ht="18" customHeight="1">
      <c r="A28" s="1203"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1" t="s">
        <v>1038</v>
      </c>
      <c r="B29" s="1342" t="s">
        <v>1478</v>
      </c>
      <c r="C29" s="1343">
        <f ca="1">ROUND((C19+C20+C23+C26)/(1-F21-C24-C27-C28),0)</f>
        <v>115</v>
      </c>
      <c r="D29" s="1344"/>
      <c r="E29" s="1342"/>
      <c r="F29" s="1345"/>
      <c r="G29" s="1854"/>
      <c r="H29" s="380" t="s">
        <v>1033</v>
      </c>
      <c r="I29" s="381" t="s">
        <v>1479</v>
      </c>
      <c r="J29" s="382">
        <f ca="1">ROUND(J26/(1+F40)^F41,0)</f>
        <v>0</v>
      </c>
      <c r="K29" s="383" t="s">
        <v>1480</v>
      </c>
      <c r="L29" s="384"/>
      <c r="M29" s="385">
        <f ca="1">INDIRECT("'数据-取费表'!k"&amp;$G$1)</f>
        <v>249.95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1" t="s">
        <v>1030</v>
      </c>
      <c r="B30" s="1332" t="s">
        <v>1424</v>
      </c>
      <c r="C30" s="355">
        <f ca="1">ROUND(C31+C36+C37+C38,0)</f>
        <v>6</v>
      </c>
      <c r="D30" s="1339" t="s">
        <v>1425</v>
      </c>
      <c r="E30" s="1340"/>
      <c r="F30" s="1296"/>
      <c r="G30" s="1851"/>
      <c r="H30" s="744"/>
      <c r="I30" s="745"/>
      <c r="J30" s="746"/>
      <c r="K30" s="747"/>
      <c r="L30" s="748"/>
      <c r="M30" s="749"/>
    </row>
    <row r="31" spans="1:37" ht="18" customHeight="1">
      <c r="A31" s="1203" t="s">
        <v>1035</v>
      </c>
      <c r="B31" s="347" t="s">
        <v>1429</v>
      </c>
      <c r="C31" s="24">
        <f ca="1">ROUND(IF(项目基本情况!B11="自然人",C5*F31,C32+C33+C34),1)</f>
        <v>3.7</v>
      </c>
      <c r="D31" s="1800" t="s">
        <v>1430</v>
      </c>
      <c r="E31" s="1798" t="s">
        <v>1481</v>
      </c>
      <c r="F31" s="368" t="str">
        <f ca="1">IF(项目基本情况!B11="企业","",IF(INDIRECT("'数据-取费表'!c"&amp;$G$1)="住宅",5%,IF(F6*F7*F8/12/(1+'数据-取费表'!C42)&gt;20000,12%,7%)))</f>
        <v/>
      </c>
      <c r="G31" s="1851"/>
      <c r="H31" s="744"/>
      <c r="I31" s="745"/>
      <c r="J31" s="746"/>
      <c r="K31" s="747"/>
      <c r="L31" s="748"/>
      <c r="M31" s="749"/>
    </row>
    <row r="32" spans="1:37" ht="18" customHeight="1">
      <c r="A32" s="1203" t="s">
        <v>1034</v>
      </c>
      <c r="B32" s="347" t="s">
        <v>1433</v>
      </c>
      <c r="C32" s="24">
        <f ca="1">IF(项目基本情况!B11="自然人","——",ROUND(C5*F32/(1+'数据-取费表'!C42),2))</f>
        <v>1.1200000000000001</v>
      </c>
      <c r="D32" s="1798" t="s">
        <v>1434</v>
      </c>
      <c r="E32" s="347" t="s">
        <v>1422</v>
      </c>
      <c r="F32" s="377">
        <f>'数据-取费表'!B41</f>
        <v>5.6000000000000001E-2</v>
      </c>
      <c r="G32" s="1851"/>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2.52</v>
      </c>
      <c r="D33" s="1828" t="s">
        <v>3248</v>
      </c>
      <c r="E33" s="347" t="s">
        <v>1422</v>
      </c>
      <c r="F33" s="367">
        <f>IF(D33="按票据","——",IF(D33="按租金收入计税",'数据-取费表'!B51,'数据-取费表'!B50))</f>
        <v>0.12</v>
      </c>
      <c r="G33" s="1851"/>
      <c r="H33" s="1859"/>
      <c r="I33" s="1860"/>
      <c r="J33" s="1861"/>
      <c r="K33" s="1862"/>
      <c r="L33" s="1859"/>
      <c r="M33" s="1859"/>
    </row>
    <row r="34" spans="1:18" ht="18" customHeight="1">
      <c r="A34" s="1293" t="s">
        <v>1389</v>
      </c>
      <c r="B34" s="164" t="s">
        <v>1441</v>
      </c>
      <c r="C34" s="25">
        <f ca="1">IF(项目基本情况!B11="自然人","——",ROUND(F34*F35/10000,2))</f>
        <v>0.05</v>
      </c>
      <c r="D34" s="370" t="s">
        <v>1442</v>
      </c>
      <c r="E34" s="347" t="s">
        <v>1443</v>
      </c>
      <c r="F34" s="371">
        <f>'数据-取费表'!B52</f>
        <v>4</v>
      </c>
      <c r="G34" s="1851"/>
      <c r="H34" s="744"/>
      <c r="I34" s="1860"/>
      <c r="J34" s="1861"/>
      <c r="K34" s="1863"/>
      <c r="L34" s="1864"/>
      <c r="M34" s="1864"/>
    </row>
    <row r="35" spans="1:18" ht="18" customHeight="1">
      <c r="A35" s="1355"/>
      <c r="B35" s="1353"/>
      <c r="C35" s="29"/>
      <c r="D35" s="373"/>
      <c r="E35" s="347" t="s">
        <v>1447</v>
      </c>
      <c r="F35" s="348">
        <f ca="1">INDIRECT("'数据-取费表'!r"&amp;$G$1)</f>
        <v>114.7</v>
      </c>
      <c r="G35" s="1851"/>
      <c r="H35" s="744"/>
      <c r="I35" s="1860"/>
      <c r="J35" s="1861"/>
      <c r="K35" s="1862"/>
      <c r="L35" s="1859"/>
      <c r="M35" s="1859"/>
    </row>
    <row r="36" spans="1:18" ht="18" customHeight="1">
      <c r="A36" s="1354" t="s">
        <v>1039</v>
      </c>
      <c r="B36" s="347" t="s">
        <v>1449</v>
      </c>
      <c r="C36" s="24">
        <f ca="1">ROUND(C29*F36,1)</f>
        <v>1.7</v>
      </c>
      <c r="D36" s="1798" t="s">
        <v>1482</v>
      </c>
      <c r="E36" s="347" t="s">
        <v>1422</v>
      </c>
      <c r="F36" s="374">
        <f ca="1">INDIRECT("'数据-取费表'!Ak"&amp;$G$1)</f>
        <v>1.4999999999999999E-2</v>
      </c>
      <c r="G36" s="1851"/>
      <c r="H36" s="1859"/>
      <c r="I36" s="1860"/>
      <c r="J36" s="1861"/>
      <c r="K36" s="750"/>
      <c r="L36" s="1859"/>
      <c r="M36" s="1859"/>
    </row>
    <row r="37" spans="1:18" ht="18" customHeight="1">
      <c r="A37" s="1203" t="s">
        <v>1075</v>
      </c>
      <c r="B37" s="347" t="s">
        <v>1453</v>
      </c>
      <c r="C37" s="24">
        <f ca="1">ROUND(C13*F37,1)</f>
        <v>0.2</v>
      </c>
      <c r="D37" s="1798" t="s">
        <v>1454</v>
      </c>
      <c r="E37" s="347" t="s">
        <v>1455</v>
      </c>
      <c r="F37" s="376">
        <f ca="1">INDIRECT("'数据-取费表'!Al"&amp;$G$1)</f>
        <v>1.5E-3</v>
      </c>
      <c r="G37" s="1851"/>
      <c r="H37" s="1859"/>
      <c r="I37" s="1860"/>
      <c r="J37" s="1861"/>
      <c r="K37" s="750"/>
      <c r="L37" s="1859"/>
      <c r="M37" s="1859"/>
    </row>
    <row r="38" spans="1:18" ht="18" customHeight="1" thickBot="1">
      <c r="A38" s="1341" t="s">
        <v>1393</v>
      </c>
      <c r="B38" s="1342" t="s">
        <v>1439</v>
      </c>
      <c r="C38" s="1343">
        <f ca="1">ROUND(C5*F38,1)</f>
        <v>0.2</v>
      </c>
      <c r="D38" s="1344" t="s">
        <v>1459</v>
      </c>
      <c r="E38" s="1342" t="s">
        <v>1455</v>
      </c>
      <c r="F38" s="1338">
        <f ca="1">INDIRECT("'数据-取费表'!Am"&amp;$G$1)</f>
        <v>0.01</v>
      </c>
      <c r="G38" s="1851"/>
      <c r="H38" s="1859"/>
      <c r="I38" s="1860"/>
      <c r="J38" s="1861"/>
      <c r="K38" s="1865"/>
      <c r="L38" s="1859"/>
      <c r="M38" s="1859"/>
    </row>
    <row r="39" spans="1:18" ht="24.6" customHeight="1" thickTop="1">
      <c r="A39" s="1331" t="s">
        <v>1031</v>
      </c>
      <c r="B39" s="1346" t="s">
        <v>1483</v>
      </c>
      <c r="C39" s="355">
        <f ca="1">C5-C30</f>
        <v>15</v>
      </c>
      <c r="D39" s="1347" t="s">
        <v>1484</v>
      </c>
      <c r="E39" s="1348"/>
      <c r="F39" s="1349"/>
      <c r="G39" s="1851"/>
      <c r="H39" s="1859"/>
      <c r="I39" s="1860"/>
      <c r="J39" s="1861"/>
      <c r="K39" s="1865"/>
      <c r="L39" s="1859"/>
      <c r="M39" s="1859"/>
    </row>
    <row r="40" spans="1:18" ht="18" customHeight="1">
      <c r="A40" s="344" t="s">
        <v>1032</v>
      </c>
      <c r="B40" s="345" t="s">
        <v>1485</v>
      </c>
      <c r="C40" s="346">
        <f ca="1">ROUND(C39*(1-((1+F42)/(1+F40))^F41)/(F40-F42),0)</f>
        <v>324</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32.42</v>
      </c>
      <c r="G41" s="1851"/>
      <c r="H41" s="731"/>
      <c r="I41" s="1860"/>
      <c r="J41" s="1861"/>
      <c r="K41" s="750"/>
      <c r="L41" s="731"/>
      <c r="M41" s="731"/>
    </row>
    <row r="42" spans="1:18" ht="18" customHeight="1">
      <c r="A42" s="353"/>
      <c r="B42" s="354"/>
      <c r="C42" s="355"/>
      <c r="D42" s="373"/>
      <c r="E42" s="347" t="s">
        <v>1477</v>
      </c>
      <c r="F42" s="357">
        <f ca="1">INDIRECT("'数据-取费表'!v"&amp;$G$1)</f>
        <v>0.03</v>
      </c>
      <c r="G42" s="1851"/>
      <c r="H42" s="731"/>
      <c r="I42" s="1860"/>
      <c r="J42" s="1861"/>
      <c r="K42" s="750"/>
      <c r="L42" s="731"/>
      <c r="M42" s="731"/>
    </row>
    <row r="43" spans="1:18" ht="18" customHeight="1" thickBot="1">
      <c r="A43" s="380" t="s">
        <v>1033</v>
      </c>
      <c r="B43" s="381" t="s">
        <v>1487</v>
      </c>
      <c r="C43" s="382">
        <f ca="1">ROUND(C40*10000/F43,0)</f>
        <v>12963</v>
      </c>
      <c r="D43" s="383" t="s">
        <v>1488</v>
      </c>
      <c r="E43" s="384" t="s">
        <v>1489</v>
      </c>
      <c r="F43" s="385">
        <f ca="1">INDIRECT("'数据-取费表'!k"&amp;$G$1)</f>
        <v>249.95</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1519</v>
      </c>
      <c r="P45" s="1839"/>
      <c r="Q45" s="1839"/>
      <c r="R45" s="1839"/>
    </row>
    <row r="46" spans="1:18" s="1842" customFormat="1" ht="13.5" thickBot="1">
      <c r="A46" s="1870" t="s">
        <v>1520</v>
      </c>
      <c r="C46" s="1871">
        <f ca="1">C68-C40</f>
        <v>-504</v>
      </c>
      <c r="D46" s="1872" t="str">
        <f>C2</f>
        <v>万元</v>
      </c>
      <c r="E46" s="1866"/>
      <c r="F46" s="1866"/>
      <c r="I46" s="1873" t="s">
        <v>1521</v>
      </c>
      <c r="J46" s="1874"/>
      <c r="K46" s="1875"/>
      <c r="L46" s="1876">
        <f ca="1">IF(M47="住宅",0,IF(L48&gt;J51,L60,J60))</f>
        <v>3</v>
      </c>
      <c r="O46" s="1877" t="s">
        <v>1522</v>
      </c>
      <c r="P46" s="1878" t="s">
        <v>1523</v>
      </c>
      <c r="Q46" s="1879" t="s">
        <v>1524</v>
      </c>
      <c r="R46" s="1879" t="s">
        <v>1525</v>
      </c>
    </row>
    <row r="47" spans="1:18" s="1842" customFormat="1" ht="13.5" thickBot="1">
      <c r="A47" s="1167" t="s">
        <v>1396</v>
      </c>
      <c r="B47" s="1199" t="s">
        <v>1397</v>
      </c>
      <c r="C47" s="1369" t="s">
        <v>1398</v>
      </c>
      <c r="D47" s="1199" t="s">
        <v>1399</v>
      </c>
      <c r="E47" s="1281" t="s">
        <v>1400</v>
      </c>
      <c r="F47" s="1282"/>
      <c r="G47" s="791"/>
      <c r="I47" s="1880" t="s">
        <v>1526</v>
      </c>
      <c r="J47" s="1881" t="s">
        <v>3249</v>
      </c>
      <c r="K47" s="1882" t="s">
        <v>1527</v>
      </c>
      <c r="L47" s="1883">
        <f ca="1">INDIRECT("'数据-取费表'!d"&amp;$G$1)</f>
        <v>40</v>
      </c>
      <c r="M47" s="1838" t="str">
        <f>IF(ISNUMBER(FIND("住宅",C1)),"住宅","非住宅")</f>
        <v>非住宅</v>
      </c>
      <c r="O47" s="1884" t="s">
        <v>1040</v>
      </c>
      <c r="P47" s="1885" t="s">
        <v>1528</v>
      </c>
      <c r="Q47" s="1886">
        <f ca="1">C40+J29</f>
        <v>324</v>
      </c>
      <c r="R47" s="1886" t="s">
        <v>1529</v>
      </c>
    </row>
    <row r="48" spans="1:18" s="1842" customFormat="1" ht="28.5" thickBot="1">
      <c r="A48" s="1362" t="s">
        <v>1135</v>
      </c>
      <c r="B48" s="345" t="s">
        <v>1401</v>
      </c>
      <c r="C48" s="1817">
        <f ca="1">C49+C53+C55</f>
        <v>0</v>
      </c>
      <c r="D48" s="1364"/>
      <c r="E48" s="1365"/>
      <c r="F48" s="1183"/>
      <c r="G48" s="791"/>
      <c r="H48" s="792"/>
      <c r="I48" s="1887" t="s">
        <v>1530</v>
      </c>
      <c r="J48" s="1888" t="s">
        <v>3250</v>
      </c>
      <c r="K48" s="1889" t="s">
        <v>1531</v>
      </c>
      <c r="L48" s="1890">
        <f ca="1">INDIRECT("'数据-取费表'!f"&amp;$G$1)</f>
        <v>32.42</v>
      </c>
      <c r="O48" s="1884" t="s">
        <v>1041</v>
      </c>
      <c r="P48" s="1885" t="s">
        <v>1532</v>
      </c>
      <c r="Q48" s="1886">
        <f ca="1">J60</f>
        <v>3</v>
      </c>
      <c r="R48" s="1886" t="s">
        <v>1533</v>
      </c>
    </row>
    <row r="49" spans="1:18" s="1842" customFormat="1" ht="13.5" thickBot="1">
      <c r="A49" s="1196" t="s">
        <v>1136</v>
      </c>
      <c r="B49" s="1829" t="s">
        <v>1490</v>
      </c>
      <c r="C49" s="1366">
        <f ca="1">ROUND(F49*F51*F50*(1-F52)/10000,0)</f>
        <v>0</v>
      </c>
      <c r="D49" s="1278" t="s">
        <v>3031</v>
      </c>
      <c r="E49" s="1830" t="s">
        <v>1491</v>
      </c>
      <c r="F49" s="1283"/>
      <c r="G49" s="1891"/>
      <c r="H49" s="792"/>
      <c r="I49" s="1887" t="s">
        <v>1534</v>
      </c>
      <c r="J49" s="1892">
        <v>2013</v>
      </c>
      <c r="K49" s="1889" t="s">
        <v>1535</v>
      </c>
      <c r="L49" s="1893"/>
      <c r="O49" s="1894" t="s">
        <v>1042</v>
      </c>
      <c r="P49" s="1885" t="s">
        <v>1536</v>
      </c>
      <c r="Q49" s="1886">
        <f ca="1">C29</f>
        <v>115</v>
      </c>
      <c r="R49" s="1886" t="s">
        <v>1529</v>
      </c>
    </row>
    <row r="50" spans="1:18" s="1842" customFormat="1" ht="13.5" thickBot="1">
      <c r="A50" s="1197"/>
      <c r="B50" s="1200"/>
      <c r="C50" s="1370"/>
      <c r="D50" s="1174"/>
      <c r="E50" s="1279" t="s">
        <v>1406</v>
      </c>
      <c r="F50" s="1280">
        <f ca="1">F7</f>
        <v>249.95</v>
      </c>
      <c r="H50" s="792"/>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8"/>
      <c r="B51" s="1200"/>
      <c r="C51" s="1201"/>
      <c r="D51" s="1174"/>
      <c r="E51" s="1202" t="s">
        <v>1407</v>
      </c>
      <c r="F51" s="348">
        <f ca="1">F8</f>
        <v>365</v>
      </c>
      <c r="I51" s="1898" t="s">
        <v>1540</v>
      </c>
      <c r="J51" s="1899">
        <f>IF(J49="",J50,J49+J50-YEAR('数据-取费表'!B2))</f>
        <v>55</v>
      </c>
      <c r="K51" s="1900" t="s">
        <v>1541</v>
      </c>
      <c r="L51" s="1901">
        <f ca="1">ROUND(-PV(INDIRECT("'数据-取费表'!h"&amp;$G$1),L48,(C39-C13*C76),0),0)</f>
        <v>92</v>
      </c>
      <c r="M51" s="1902"/>
      <c r="O51" s="1894" t="s">
        <v>1044</v>
      </c>
      <c r="P51" s="1885" t="s">
        <v>1542</v>
      </c>
      <c r="Q51" s="1897">
        <f>J52</f>
        <v>0.09</v>
      </c>
      <c r="R51" s="1886"/>
    </row>
    <row r="52" spans="1:18" s="1842" customFormat="1" ht="13.5" thickBot="1">
      <c r="A52" s="1198"/>
      <c r="B52" s="1200"/>
      <c r="C52" s="1201"/>
      <c r="D52" s="1174"/>
      <c r="E52" s="1202" t="s">
        <v>1408</v>
      </c>
      <c r="F52" s="1277"/>
      <c r="I52" s="1903" t="s">
        <v>1543</v>
      </c>
      <c r="J52" s="1904">
        <v>0.09</v>
      </c>
      <c r="K52" s="1903" t="s">
        <v>1544</v>
      </c>
      <c r="L52" s="1904"/>
      <c r="O52" s="1894" t="s">
        <v>1045</v>
      </c>
      <c r="P52" s="1885" t="s">
        <v>1545</v>
      </c>
      <c r="Q52" s="1886">
        <f ca="1">J53</f>
        <v>32.42</v>
      </c>
      <c r="R52" s="1886" t="s">
        <v>1546</v>
      </c>
    </row>
    <row r="53" spans="1:18" s="1842" customFormat="1" ht="24.75" thickBot="1">
      <c r="A53" s="1407" t="s">
        <v>1137</v>
      </c>
      <c r="B53" s="1831" t="s">
        <v>1409</v>
      </c>
      <c r="C53" s="361">
        <f ca="1">ROUND(IF(F53="押一",C49/12*F11,IF(F53="押二",C49/12*2*F11,IF(F53="押三",C49/12*3*F11,C54*F11))),0)</f>
        <v>0</v>
      </c>
      <c r="D53" s="1824" t="s">
        <v>3038</v>
      </c>
      <c r="E53" s="358" t="s">
        <v>1410</v>
      </c>
      <c r="F53" s="1368"/>
      <c r="I53" s="1905" t="s">
        <v>1547</v>
      </c>
      <c r="J53" s="1906">
        <f ca="1">IF(M47="住宅",IF(D1="——",MAX(J51,L48),IF(D1="在建（套用方法）",MAX(J51,L48-'数据-取费表'!B24),MAX(J51,L48-'数据-取费表'!B20))),IF(D1="——",MIN(J51,L48),IF(D1="在建（套用方法）",MIN(J51,L48-'数据-取费表'!B24),IF(D1="土地（套用方法）",MIN(J51,L48-'数据-取费表'!B20)))))</f>
        <v>32.42</v>
      </c>
      <c r="K53" s="3263" t="s">
        <v>1548</v>
      </c>
      <c r="L53" s="3264"/>
      <c r="O53" s="1884" t="s">
        <v>1046</v>
      </c>
      <c r="P53" s="1885" t="s">
        <v>1549</v>
      </c>
      <c r="Q53" s="1886">
        <f ca="1">Q47+Q48</f>
        <v>327</v>
      </c>
      <c r="R53" s="1886" t="s">
        <v>1047</v>
      </c>
    </row>
    <row r="54" spans="1:18" s="1842" customFormat="1" ht="13.5" thickBot="1">
      <c r="A54" s="1408"/>
      <c r="B54" s="1825" t="s">
        <v>1388</v>
      </c>
      <c r="C54" s="1180"/>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5" t="s">
        <v>1075</v>
      </c>
      <c r="B55" s="1827" t="s">
        <v>1413</v>
      </c>
      <c r="C55" s="1336"/>
      <c r="D55" s="1824"/>
      <c r="E55" s="1832"/>
      <c r="F55" s="1907"/>
      <c r="I55" s="1910" t="s">
        <v>1551</v>
      </c>
      <c r="J55" s="1911">
        <f ca="1">ROUND(IF(J47="钢混",J57/J50,1-(1-2%)*(J50-J57)/J50),3)</f>
        <v>0.376</v>
      </c>
      <c r="K55" s="1912" t="s">
        <v>1552</v>
      </c>
      <c r="L55" s="1913" t="s">
        <v>1553</v>
      </c>
      <c r="O55" s="1877" t="s">
        <v>1522</v>
      </c>
      <c r="P55" s="1878" t="s">
        <v>1523</v>
      </c>
      <c r="Q55" s="1879" t="s">
        <v>1524</v>
      </c>
      <c r="R55" s="1879" t="s">
        <v>1525</v>
      </c>
    </row>
    <row r="56" spans="1:18" s="1842" customFormat="1" ht="25.5" thickTop="1" thickBot="1">
      <c r="A56" s="1178">
        <v>2</v>
      </c>
      <c r="B56" s="1179" t="s">
        <v>1414</v>
      </c>
      <c r="C56" s="276">
        <f ca="1">C13</f>
        <v>108</v>
      </c>
      <c r="D56" s="1914"/>
      <c r="E56" s="1915"/>
      <c r="F56" s="1907"/>
      <c r="I56" s="1916" t="s">
        <v>1554</v>
      </c>
      <c r="J56" s="1917" t="s">
        <v>3055</v>
      </c>
      <c r="K56" s="1887" t="s">
        <v>1555</v>
      </c>
      <c r="L56" s="1890" t="str">
        <f ca="1">IF(L48&lt;J51,"——",L48-J53)</f>
        <v>——</v>
      </c>
      <c r="O56" s="1884" t="s">
        <v>1040</v>
      </c>
      <c r="P56" s="1885" t="s">
        <v>1528</v>
      </c>
      <c r="Q56" s="1886">
        <f ca="1">C40+J29</f>
        <v>324</v>
      </c>
      <c r="R56" s="1886" t="s">
        <v>1529</v>
      </c>
    </row>
    <row r="57" spans="1:18" s="1842" customFormat="1" ht="24.75" thickBot="1">
      <c r="A57" s="1918"/>
      <c r="B57" s="1171" t="s">
        <v>1478</v>
      </c>
      <c r="C57" s="282">
        <f ca="1">C29</f>
        <v>115</v>
      </c>
      <c r="D57" s="1919"/>
      <c r="E57" s="1920"/>
      <c r="F57" s="1921"/>
      <c r="I57" s="1922" t="s">
        <v>1556</v>
      </c>
      <c r="J57" s="1923">
        <f ca="1">IF(OR(M47="住宅",J51&lt;L48,J56="是"),"——",J51-L48)</f>
        <v>22.58</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9" t="s">
        <v>1424</v>
      </c>
      <c r="C58" s="361">
        <f ca="1">ROUND(C59+C64+C65+C66,0)</f>
        <v>12</v>
      </c>
      <c r="D58" s="1181" t="s">
        <v>1425</v>
      </c>
      <c r="E58" s="1182"/>
      <c r="F58" s="1183"/>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3" t="s">
        <v>1035</v>
      </c>
      <c r="B59" s="1171" t="s">
        <v>1429</v>
      </c>
      <c r="C59" s="24">
        <f ca="1">ROUND(IF(项目基本情况!B11="自然人",C48*F59,C60+C61+C62),1)</f>
        <v>9.6999999999999993</v>
      </c>
      <c r="D59" s="1184" t="s">
        <v>1430</v>
      </c>
      <c r="E59" s="1185" t="s">
        <v>1431</v>
      </c>
      <c r="F59" s="368" t="str">
        <f ca="1">IF(项目基本情况!B11="企业","",IF(INDIRECT("'数据-取费表'!c"&amp;$G$1)="住宅",5%,IF(F49*F50*F51/12/(1+'数据-取费表'!C42)&gt;20000,12%,7%)))</f>
        <v/>
      </c>
      <c r="I59" s="1922" t="s">
        <v>1563</v>
      </c>
      <c r="J59" s="1923">
        <f ca="1">IF(OR(M47="住宅",J51&lt;L48,J56="是"),"——",ROUND(C29*J58,0))</f>
        <v>46</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5" t="s">
        <v>1565</v>
      </c>
      <c r="J60" s="1926">
        <f ca="1">IF(OR(M47="住宅",J51&lt;L48,J56="是"),"0",ROUND(J59/(1+J52)^J53,0))</f>
        <v>3</v>
      </c>
      <c r="K60" s="1927" t="s">
        <v>1566</v>
      </c>
      <c r="L60" s="1926">
        <f ca="1">IF(OR(M47="住宅",L48&lt;J51),0,ROUND(L57*(L58/L59-1),0))</f>
        <v>0</v>
      </c>
      <c r="O60" s="1894" t="s">
        <v>1044</v>
      </c>
      <c r="P60" s="1885" t="s">
        <v>1567</v>
      </c>
      <c r="Q60" s="1886" t="e">
        <f ca="1">L58</f>
        <v>#DIV/0!</v>
      </c>
      <c r="R60" s="1886" t="s">
        <v>1568</v>
      </c>
    </row>
    <row r="61" spans="1:18" s="1842" customFormat="1" ht="13.5" thickBot="1">
      <c r="A61" s="1203" t="s">
        <v>1492</v>
      </c>
      <c r="B61" s="1171" t="s">
        <v>1493</v>
      </c>
      <c r="C61" s="24">
        <f ca="1">IF(项目基本情况!B11="自然人","——",IF(D61="按租金收入计税",ROUND(C48*F61,2),IF(D61="按房产原值计税",ROUND(C57*F61*0.7,2),INDIRECT("'数据-取费表'!Aj"&amp;$G$1))))</f>
        <v>9.66</v>
      </c>
      <c r="D61" s="1828" t="s">
        <v>1438</v>
      </c>
      <c r="E61" s="1171"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3" t="s">
        <v>1495</v>
      </c>
      <c r="B62" s="1170" t="s">
        <v>1496</v>
      </c>
      <c r="C62" s="25">
        <f ca="1">IF(项目基本情况!B11="自然人","——",ROUND(F62*F63/10000,2))</f>
        <v>0.05</v>
      </c>
      <c r="D62" s="1186" t="s">
        <v>1497</v>
      </c>
      <c r="E62" s="1171" t="s">
        <v>1498</v>
      </c>
      <c r="F62" s="371">
        <f t="shared" si="0"/>
        <v>4</v>
      </c>
      <c r="I62" s="1929" t="s">
        <v>1570</v>
      </c>
      <c r="J62" s="1930" t="s">
        <v>1571</v>
      </c>
      <c r="K62" s="1930" t="s">
        <v>1572</v>
      </c>
      <c r="L62" s="1930" t="s">
        <v>1573</v>
      </c>
      <c r="M62" s="1931" t="s">
        <v>1574</v>
      </c>
      <c r="O62" s="1884" t="s">
        <v>1046</v>
      </c>
      <c r="P62" s="1885" t="s">
        <v>1575</v>
      </c>
      <c r="Q62" s="1886">
        <f ca="1">Q56+Q57</f>
        <v>324</v>
      </c>
      <c r="R62" s="1886" t="s">
        <v>1047</v>
      </c>
    </row>
    <row r="63" spans="1:18" s="1842" customFormat="1" ht="13.5" thickBot="1">
      <c r="A63" s="372"/>
      <c r="B63" s="1177"/>
      <c r="C63" s="29"/>
      <c r="D63" s="1187"/>
      <c r="E63" s="1171" t="s">
        <v>1499</v>
      </c>
      <c r="F63" s="348">
        <f t="shared" ca="1" si="0"/>
        <v>114.7</v>
      </c>
      <c r="I63" s="1929" t="s">
        <v>1576</v>
      </c>
      <c r="J63" s="1930">
        <v>70</v>
      </c>
      <c r="K63" s="1930">
        <v>50</v>
      </c>
      <c r="L63" s="1930">
        <v>80</v>
      </c>
      <c r="M63" s="1932">
        <v>0.02</v>
      </c>
      <c r="O63" s="1869" t="s">
        <v>1577</v>
      </c>
      <c r="P63" s="1839"/>
      <c r="Q63" s="1839"/>
      <c r="R63" s="1839"/>
    </row>
    <row r="64" spans="1:18" s="1842" customFormat="1" ht="13.5" thickBot="1">
      <c r="A64" s="1203" t="s">
        <v>1500</v>
      </c>
      <c r="B64" s="1171" t="s">
        <v>1501</v>
      </c>
      <c r="C64" s="24">
        <f ca="1">ROUND(C57*F64,1)</f>
        <v>1.7</v>
      </c>
      <c r="D64" s="1185" t="s">
        <v>1502</v>
      </c>
      <c r="E64" s="1171"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3" t="s">
        <v>1503</v>
      </c>
      <c r="B65" s="1171" t="s">
        <v>1453</v>
      </c>
      <c r="C65" s="24">
        <f ca="1">ROUND(C56*F65,1)</f>
        <v>0.2</v>
      </c>
      <c r="D65" s="1185" t="s">
        <v>1454</v>
      </c>
      <c r="E65" s="1171" t="s">
        <v>1455</v>
      </c>
      <c r="F65" s="376">
        <f t="shared" ca="1" si="0"/>
        <v>1.5E-3</v>
      </c>
      <c r="I65" s="1929" t="s">
        <v>1579</v>
      </c>
      <c r="J65" s="1930">
        <v>40</v>
      </c>
      <c r="K65" s="1930">
        <v>30</v>
      </c>
      <c r="L65" s="1930">
        <v>50</v>
      </c>
      <c r="M65" s="1932">
        <v>0.02</v>
      </c>
      <c r="O65" s="1884" t="s">
        <v>1040</v>
      </c>
      <c r="P65" s="1885" t="s">
        <v>1580</v>
      </c>
      <c r="Q65" s="1886">
        <f ca="1">C40+J29</f>
        <v>324</v>
      </c>
      <c r="R65" s="1886" t="s">
        <v>1529</v>
      </c>
    </row>
    <row r="66" spans="1:18" s="1842" customFormat="1" ht="16.5" thickBot="1">
      <c r="A66" s="1203" t="s">
        <v>1504</v>
      </c>
      <c r="B66" s="1171" t="s">
        <v>1439</v>
      </c>
      <c r="C66" s="24">
        <f ca="1">ROUND(C48*F66,1)</f>
        <v>0</v>
      </c>
      <c r="D66" s="1185" t="s">
        <v>1505</v>
      </c>
      <c r="E66" s="1171" t="s">
        <v>1422</v>
      </c>
      <c r="F66" s="357">
        <f t="shared" ca="1" si="0"/>
        <v>0.01</v>
      </c>
      <c r="O66" s="1884" t="s">
        <v>1041</v>
      </c>
      <c r="P66" s="1885" t="s">
        <v>1558</v>
      </c>
      <c r="Q66" s="1886">
        <f ca="1">L60</f>
        <v>0</v>
      </c>
      <c r="R66" s="1886" t="s">
        <v>1581</v>
      </c>
    </row>
    <row r="67" spans="1:18" s="1842" customFormat="1" ht="16.5" thickBot="1">
      <c r="A67" s="1178" t="s">
        <v>1031</v>
      </c>
      <c r="B67" s="1188" t="s">
        <v>1463</v>
      </c>
      <c r="C67" s="361">
        <f ca="1">C48-C58</f>
        <v>-12</v>
      </c>
      <c r="D67" s="1184" t="s">
        <v>1464</v>
      </c>
      <c r="E67" s="1189"/>
      <c r="F67" s="1190"/>
      <c r="O67" s="1894" t="s">
        <v>1042</v>
      </c>
      <c r="P67" s="1885" t="s">
        <v>1562</v>
      </c>
      <c r="Q67" s="1933">
        <f ca="1">L51</f>
        <v>92</v>
      </c>
      <c r="R67" s="1886" t="s">
        <v>1582</v>
      </c>
    </row>
    <row r="68" spans="1:18" s="1842" customFormat="1" ht="16.5" thickBot="1">
      <c r="A68" s="1168" t="s">
        <v>1032</v>
      </c>
      <c r="B68" s="1169" t="s">
        <v>1485</v>
      </c>
      <c r="C68" s="346">
        <f ca="1">ROUND(C67*(1-((1+F70)/(1+F68))^F69)/(F68-F70),0)</f>
        <v>-180</v>
      </c>
      <c r="D68" s="1186" t="s">
        <v>1469</v>
      </c>
      <c r="E68" s="1171" t="s">
        <v>1470</v>
      </c>
      <c r="F68" s="357">
        <f ca="1">F40</f>
        <v>5.5E-2</v>
      </c>
      <c r="O68" s="1894" t="s">
        <v>1043</v>
      </c>
      <c r="P68" s="1934" t="s">
        <v>1583</v>
      </c>
      <c r="Q68" s="1886">
        <f ca="1">ROUND(Q69-Q70*Q71,0)</f>
        <v>6</v>
      </c>
      <c r="R68" s="1886" t="s">
        <v>1051</v>
      </c>
    </row>
    <row r="69" spans="1:18" s="1842" customFormat="1" ht="13.5" thickBot="1">
      <c r="A69" s="1172"/>
      <c r="B69" s="1173"/>
      <c r="C69" s="351"/>
      <c r="D69" s="1191" t="s">
        <v>1473</v>
      </c>
      <c r="E69" s="1171" t="s">
        <v>1474</v>
      </c>
      <c r="F69" s="379">
        <f ca="1">F41</f>
        <v>32.42</v>
      </c>
      <c r="O69" s="1894" t="s">
        <v>1048</v>
      </c>
      <c r="P69" s="1934" t="s">
        <v>1584</v>
      </c>
      <c r="Q69" s="1886">
        <f ca="1">C39</f>
        <v>15</v>
      </c>
      <c r="R69" s="1886" t="s">
        <v>1529</v>
      </c>
    </row>
    <row r="70" spans="1:18" s="1842" customFormat="1" ht="13.5" thickBot="1">
      <c r="A70" s="1175"/>
      <c r="B70" s="1176"/>
      <c r="C70" s="355"/>
      <c r="D70" s="1187"/>
      <c r="E70" s="1171" t="s">
        <v>1477</v>
      </c>
      <c r="F70" s="1277"/>
      <c r="O70" s="1894" t="s">
        <v>1049</v>
      </c>
      <c r="P70" s="1934" t="s">
        <v>1585</v>
      </c>
      <c r="Q70" s="1886">
        <f ca="1">C13</f>
        <v>108</v>
      </c>
      <c r="R70" s="1886" t="s">
        <v>1529</v>
      </c>
    </row>
    <row r="71" spans="1:18" s="1842" customFormat="1" ht="13.5" thickBot="1">
      <c r="A71" s="1192" t="s">
        <v>1033</v>
      </c>
      <c r="B71" s="1193" t="s">
        <v>1487</v>
      </c>
      <c r="C71" s="382">
        <f ca="1">ROUND(C68*10000/F71,0)</f>
        <v>-7201</v>
      </c>
      <c r="D71" s="1194" t="s">
        <v>1488</v>
      </c>
      <c r="E71" s="1195" t="s">
        <v>1489</v>
      </c>
      <c r="F71" s="385">
        <f ca="1">F43</f>
        <v>249.95</v>
      </c>
      <c r="O71" s="1894" t="s">
        <v>1050</v>
      </c>
      <c r="P71" s="1934" t="s">
        <v>1586</v>
      </c>
      <c r="Q71" s="1897">
        <f ca="1">C76</f>
        <v>8.5000000000000006E-2</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9</v>
      </c>
      <c r="D75" s="1842"/>
      <c r="E75" s="1842"/>
      <c r="F75" s="1842"/>
      <c r="K75" s="1868"/>
      <c r="L75" s="1842"/>
      <c r="O75" s="1884" t="s">
        <v>1046</v>
      </c>
      <c r="P75" s="1885" t="s">
        <v>1549</v>
      </c>
      <c r="Q75" s="1886">
        <f ca="1">Q65+Q66</f>
        <v>324</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0.4</v>
      </c>
    </row>
    <row r="80" spans="1:18">
      <c r="B80" s="386" t="s">
        <v>1511</v>
      </c>
      <c r="C80" s="318">
        <f ca="1">ROUND(C75/C39,3)</f>
        <v>0.6</v>
      </c>
    </row>
    <row r="81" spans="2:3">
      <c r="B81" s="314" t="s">
        <v>1512</v>
      </c>
      <c r="C81" s="282"/>
    </row>
    <row r="82" spans="2:3">
      <c r="B82" s="317" t="s">
        <v>1513</v>
      </c>
      <c r="C82" s="319">
        <f ca="1">1-C83</f>
        <v>0.66700000000000004</v>
      </c>
    </row>
    <row r="83" spans="2:3">
      <c r="B83" s="317" t="s">
        <v>1514</v>
      </c>
      <c r="C83" s="318">
        <f ca="1">ROUND(C13/C40,3)</f>
        <v>0.33300000000000002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C11" sqref="C11"/>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1"/>
      <c r="C1" s="1837" t="s">
        <v>48</v>
      </c>
      <c r="D1" s="1820" t="s">
        <v>70</v>
      </c>
      <c r="E1" s="1821" t="s">
        <v>1387</v>
      </c>
      <c r="F1" s="1285" t="e">
        <f ca="1">J53</f>
        <v>#N/A</v>
      </c>
      <c r="G1" s="1836"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1515</v>
      </c>
      <c r="B2" s="1844" t="e">
        <f ca="1">C40+J29+L46</f>
        <v>#N/A</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3"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4" t="e">
        <f ca="1">C6+C10+C12</f>
        <v>#N/A</v>
      </c>
      <c r="D5" s="1822" t="s">
        <v>1402</v>
      </c>
      <c r="E5" s="1295"/>
      <c r="F5" s="1296"/>
      <c r="G5" s="1851"/>
      <c r="H5" s="344">
        <v>1</v>
      </c>
      <c r="I5" s="345" t="s">
        <v>1401</v>
      </c>
      <c r="J5" s="1294" t="e">
        <f ca="1">J6+J10+J12</f>
        <v>#N/A</v>
      </c>
      <c r="K5" s="1822" t="s">
        <v>1402</v>
      </c>
      <c r="L5" s="1295"/>
      <c r="M5" s="1296"/>
    </row>
    <row r="6" spans="1:37" ht="18" customHeight="1">
      <c r="A6" s="1293" t="s">
        <v>1035</v>
      </c>
      <c r="B6" s="3260" t="s">
        <v>1403</v>
      </c>
      <c r="C6" s="1298" t="e">
        <f ca="1">ROUND(F6*F8*F7*(1-F9)/10000,0)</f>
        <v>#N/A</v>
      </c>
      <c r="D6" s="164" t="s">
        <v>3030</v>
      </c>
      <c r="E6" s="347" t="s">
        <v>1405</v>
      </c>
      <c r="F6" s="348" t="e">
        <f ca="1">INDIRECT("'数据-取费表'!u"&amp;$G$1)</f>
        <v>#N/A</v>
      </c>
      <c r="G6" s="1851"/>
      <c r="H6" s="1293" t="s">
        <v>1035</v>
      </c>
      <c r="I6" s="3260" t="s">
        <v>1403</v>
      </c>
      <c r="J6" s="346" t="e">
        <f ca="1">ROUND(M6*M8*M7*(1-M9)/10000,0)</f>
        <v>#N/A</v>
      </c>
      <c r="K6" s="164" t="s">
        <v>3029</v>
      </c>
      <c r="L6" s="347" t="s">
        <v>1405</v>
      </c>
      <c r="M6" s="348" t="e">
        <f ca="1">INDIRECT("'数据-取费表'!z"&amp;$G$1)</f>
        <v>#N/A</v>
      </c>
    </row>
    <row r="7" spans="1:37" ht="18" customHeight="1">
      <c r="A7" s="1297"/>
      <c r="B7" s="3261"/>
      <c r="C7" s="1299"/>
      <c r="D7" s="352"/>
      <c r="E7" s="2947" t="s">
        <v>1406</v>
      </c>
      <c r="F7" s="348" t="e">
        <f ca="1">IF(INDIRECT("'数据-取费表'!ah"&amp;$G$1)="",INDIRECT("'数据-取费表'!k"&amp;$G$1),INDIRECT("'数据-取费表'!ah"&amp;$G$1))</f>
        <v>#N/A</v>
      </c>
      <c r="G7" s="1851"/>
      <c r="H7" s="349"/>
      <c r="I7" s="3261"/>
      <c r="J7" s="351"/>
      <c r="K7" s="352"/>
      <c r="L7" s="347" t="s">
        <v>1406</v>
      </c>
      <c r="M7" s="348" t="e">
        <f ca="1">F7</f>
        <v>#N/A</v>
      </c>
    </row>
    <row r="8" spans="1:37" ht="18" customHeight="1">
      <c r="A8" s="349"/>
      <c r="B8" s="3261"/>
      <c r="C8" s="351"/>
      <c r="D8" s="352"/>
      <c r="E8" s="347" t="s">
        <v>1407</v>
      </c>
      <c r="F8" s="348" t="e">
        <f ca="1">INDIRECT("'数据-取费表'!ai"&amp;$G$1)</f>
        <v>#N/A</v>
      </c>
      <c r="G8" s="1851"/>
      <c r="H8" s="349"/>
      <c r="I8" s="3261"/>
      <c r="J8" s="351"/>
      <c r="K8" s="352"/>
      <c r="L8" s="347" t="s">
        <v>1407</v>
      </c>
      <c r="M8" s="348" t="e">
        <f ca="1">INDIRECT("'数据-取费表'!ai"&amp;$G$1)</f>
        <v>#N/A</v>
      </c>
    </row>
    <row r="9" spans="1:37" ht="18" customHeight="1">
      <c r="A9" s="349"/>
      <c r="B9" s="3262"/>
      <c r="C9" s="351"/>
      <c r="D9" s="352"/>
      <c r="E9" s="347" t="s">
        <v>1408</v>
      </c>
      <c r="F9" s="357" t="e">
        <f ca="1">INDIRECT("'数据-取费表'!w"&amp;$G$1)</f>
        <v>#N/A</v>
      </c>
      <c r="G9" s="1851"/>
      <c r="H9" s="349"/>
      <c r="I9" s="3262"/>
      <c r="J9" s="351"/>
      <c r="K9" s="352"/>
      <c r="L9" s="358" t="s">
        <v>1408</v>
      </c>
      <c r="M9" s="359" t="e">
        <f ca="1">INDIRECT("'数据-取费表'!ab"&amp;$G$1)</f>
        <v>#N/A</v>
      </c>
    </row>
    <row r="10" spans="1:37" ht="18" customHeight="1">
      <c r="A10" s="1293" t="s">
        <v>1039</v>
      </c>
      <c r="B10" s="1823" t="s">
        <v>1409</v>
      </c>
      <c r="C10" s="361">
        <f ca="1">ROUND(IF(F10="押一",C6/12*F11,IF(F10="押二",C6/12*2*F11,IF(F10="押三",C6/12*3*F11,C11*F11))),0)</f>
        <v>0</v>
      </c>
      <c r="D10" s="1824" t="s">
        <v>3038</v>
      </c>
      <c r="E10" s="358" t="s">
        <v>1410</v>
      </c>
      <c r="F10" s="1368" t="s">
        <v>3252</v>
      </c>
      <c r="G10" s="1851"/>
      <c r="H10" s="1293" t="s">
        <v>1039</v>
      </c>
      <c r="I10" s="1823" t="s">
        <v>1409</v>
      </c>
      <c r="J10" s="346" t="e">
        <f ca="1">ROUND(IF(M10="押一",J6/12*M11,IF(M10="押二",J6/12*2*M11,IF(M10="押三",J6/12*3*M11,J11*M11))),0)</f>
        <v>#N/A</v>
      </c>
      <c r="K10" s="1824" t="s">
        <v>3038</v>
      </c>
      <c r="L10" s="358" t="s">
        <v>1410</v>
      </c>
      <c r="M10" s="1368" t="s">
        <v>1411</v>
      </c>
    </row>
    <row r="11" spans="1:37" ht="18" customHeight="1">
      <c r="A11" s="353"/>
      <c r="B11" s="1825" t="s">
        <v>1388</v>
      </c>
      <c r="C11" s="1180"/>
      <c r="D11" s="1826"/>
      <c r="E11" s="358" t="s">
        <v>1412</v>
      </c>
      <c r="F11" s="359">
        <f ca="1">'数据-取费表'!B39</f>
        <v>1.4999999999999999E-2</v>
      </c>
      <c r="G11" s="1851"/>
      <c r="H11" s="1301"/>
      <c r="I11" s="1825" t="s">
        <v>1388</v>
      </c>
      <c r="J11" s="1180"/>
      <c r="K11" s="747"/>
      <c r="L11" s="358" t="s">
        <v>1412</v>
      </c>
      <c r="M11" s="1058">
        <f ca="1">'数据-取费表'!B39</f>
        <v>1.4999999999999999E-2</v>
      </c>
    </row>
    <row r="12" spans="1:37" ht="18" customHeight="1" thickBot="1">
      <c r="A12" s="1335" t="s">
        <v>1075</v>
      </c>
      <c r="B12" s="1827" t="s">
        <v>1413</v>
      </c>
      <c r="C12" s="1336"/>
      <c r="D12" s="1337"/>
      <c r="E12" s="1342"/>
      <c r="F12" s="1338"/>
      <c r="G12" s="1851"/>
      <c r="H12" s="1335" t="s">
        <v>1075</v>
      </c>
      <c r="I12" s="1827" t="s">
        <v>1413</v>
      </c>
      <c r="J12" s="1336"/>
      <c r="K12" s="1350"/>
      <c r="L12" s="1342"/>
      <c r="M12" s="1351"/>
    </row>
    <row r="13" spans="1:37" ht="18" customHeight="1" thickTop="1">
      <c r="A13" s="1331">
        <v>2</v>
      </c>
      <c r="B13" s="1332" t="s">
        <v>1414</v>
      </c>
      <c r="C13" s="355" t="e">
        <f ca="1">ROUND(C29*F13,0)</f>
        <v>#N/A</v>
      </c>
      <c r="D13" s="1333" t="s">
        <v>1415</v>
      </c>
      <c r="E13" s="1333" t="s">
        <v>1416</v>
      </c>
      <c r="F13" s="1334" t="e">
        <f ca="1">INDIRECT("'数据-取费表'!y"&amp;$G$1)</f>
        <v>#N/A</v>
      </c>
      <c r="G13" s="1851"/>
      <c r="H13" s="1331">
        <v>2</v>
      </c>
      <c r="I13" s="1332" t="s">
        <v>1414</v>
      </c>
      <c r="J13" s="1292" t="e">
        <f ca="1">ROUND(J14*J15,0)</f>
        <v>#N/A</v>
      </c>
      <c r="K13" s="1339" t="s">
        <v>1415</v>
      </c>
      <c r="L13" s="1852"/>
      <c r="M13" s="1853"/>
    </row>
    <row r="14" spans="1:37" ht="18" customHeight="1">
      <c r="A14" s="1203" t="s">
        <v>1034</v>
      </c>
      <c r="B14" s="347" t="s">
        <v>1417</v>
      </c>
      <c r="C14" s="363" t="e">
        <f ca="1">INDIRECT("'数据-取费表'!m"&amp;$G$1)+INDIRECT("'数据-取费表'!t"&amp;$G$1)</f>
        <v>#N/A</v>
      </c>
      <c r="D14" s="2950" t="s">
        <v>1418</v>
      </c>
      <c r="E14" s="2949"/>
      <c r="F14" s="364"/>
      <c r="G14" s="1851"/>
      <c r="H14" s="1203" t="s">
        <v>1035</v>
      </c>
      <c r="I14" s="347" t="s">
        <v>1419</v>
      </c>
      <c r="J14" s="24" t="e">
        <f ca="1">C29</f>
        <v>#N/A</v>
      </c>
      <c r="K14" s="2946"/>
      <c r="L14" s="981"/>
      <c r="M14" s="982"/>
    </row>
    <row r="15" spans="1:37" s="1858" customFormat="1" ht="18" customHeight="1" thickBot="1">
      <c r="A15" s="1203" t="s">
        <v>1036</v>
      </c>
      <c r="B15" s="347" t="s">
        <v>1420</v>
      </c>
      <c r="C15" s="24" t="e">
        <f ca="1">ROUND(C14*F15,0)</f>
        <v>#N/A</v>
      </c>
      <c r="D15" s="365" t="s">
        <v>1421</v>
      </c>
      <c r="E15" s="365" t="s">
        <v>1422</v>
      </c>
      <c r="F15" s="366">
        <f>'数据-取费表'!B33</f>
        <v>0.03</v>
      </c>
      <c r="G15" s="1854"/>
      <c r="H15" s="1341" t="s">
        <v>1039</v>
      </c>
      <c r="I15" s="1342" t="s">
        <v>1416</v>
      </c>
      <c r="J15" s="1351" t="e">
        <f ca="1">INDIRECT("'数据-取费表'!ad"&amp;$G$1)</f>
        <v>#N/A</v>
      </c>
      <c r="K15" s="1352"/>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3" t="s">
        <v>1389</v>
      </c>
      <c r="B16" s="347" t="s">
        <v>1423</v>
      </c>
      <c r="C16" s="24" t="e">
        <f ca="1">ROUND(INDIRECT("'数据-取费表'!m"&amp;$G$1)*F16,0)</f>
        <v>#N/A</v>
      </c>
      <c r="D16" s="347" t="s">
        <v>1421</v>
      </c>
      <c r="E16" s="347" t="s">
        <v>1422</v>
      </c>
      <c r="F16" s="367" t="e">
        <f ca="1">IF(INDIRECT("'数据-取费表'!c"&amp;$G$1)="住宅",'数据-取费表'!B34,0)</f>
        <v>#N/A</v>
      </c>
      <c r="G16" s="1851"/>
      <c r="H16" s="1331" t="s">
        <v>1030</v>
      </c>
      <c r="I16" s="1332" t="s">
        <v>1424</v>
      </c>
      <c r="J16" s="355" t="e">
        <f ca="1">ROUND(J17+J22+J23+J24,0)</f>
        <v>#N/A</v>
      </c>
      <c r="K16" s="1339" t="s">
        <v>1425</v>
      </c>
      <c r="L16" s="2952"/>
      <c r="M16" s="1296"/>
    </row>
    <row r="17" spans="1:37" s="1858" customFormat="1" ht="18" customHeight="1">
      <c r="A17" s="1203" t="s">
        <v>1390</v>
      </c>
      <c r="B17" s="347" t="s">
        <v>1426</v>
      </c>
      <c r="C17" s="24" t="e">
        <f ca="1">ROUND(F17*(F43+INDIRECT("'数据-取费表'!S"&amp;$G$1))/10000,0)</f>
        <v>#N/A</v>
      </c>
      <c r="D17" s="347" t="s">
        <v>1427</v>
      </c>
      <c r="E17" s="347" t="s">
        <v>1428</v>
      </c>
      <c r="F17" s="26">
        <f>'数据-取费表'!B35</f>
        <v>200</v>
      </c>
      <c r="G17" s="1854"/>
      <c r="H17" s="1203" t="s">
        <v>1035</v>
      </c>
      <c r="I17" s="347" t="s">
        <v>1429</v>
      </c>
      <c r="J17" s="24" t="e">
        <f ca="1">ROUND(IF(项目基本情况!B11="自然人",J5*M17,J18+J19+J20),1)</f>
        <v>#N/A</v>
      </c>
      <c r="K17" s="2950" t="s">
        <v>1430</v>
      </c>
      <c r="L17" s="2951"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3" t="s">
        <v>1391</v>
      </c>
      <c r="B18" s="347" t="s">
        <v>1432</v>
      </c>
      <c r="C18" s="24" t="e">
        <f ca="1">ROUND(C14*F18,0)</f>
        <v>#N/A</v>
      </c>
      <c r="D18" s="347" t="s">
        <v>1421</v>
      </c>
      <c r="E18" s="347" t="s">
        <v>1422</v>
      </c>
      <c r="F18" s="367">
        <f>'数据-取费表'!B36</f>
        <v>1.4999999999999999E-2</v>
      </c>
      <c r="G18" s="1854"/>
      <c r="H18" s="1203" t="s">
        <v>1034</v>
      </c>
      <c r="I18" s="347" t="s">
        <v>1433</v>
      </c>
      <c r="J18" s="24" t="e">
        <f ca="1">ROUND(J5*M18/(1+'数据-取费表'!C42),2)</f>
        <v>#N/A</v>
      </c>
      <c r="K18" s="2951"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3" t="s">
        <v>1035</v>
      </c>
      <c r="B19" s="347" t="s">
        <v>1435</v>
      </c>
      <c r="C19" s="24" t="e">
        <f ca="1">SUM(C14:C18)</f>
        <v>#N/A</v>
      </c>
      <c r="D19" s="140" t="s">
        <v>1436</v>
      </c>
      <c r="E19" s="2945"/>
      <c r="F19" s="26"/>
      <c r="G19" s="1851"/>
      <c r="H19" s="1203" t="s">
        <v>1036</v>
      </c>
      <c r="I19" s="347" t="s">
        <v>1437</v>
      </c>
      <c r="J19" s="24" t="e">
        <f ca="1">IF(K19="按租金收入计税",ROUND(J5*M19,2),ROUND(C29*M19*0.7,2))</f>
        <v>#N/A</v>
      </c>
      <c r="K19" s="1828" t="s">
        <v>1438</v>
      </c>
      <c r="L19" s="347" t="s">
        <v>1422</v>
      </c>
      <c r="M19" s="367">
        <f>IF(K19="按租金收入计税",'数据-取费表'!B51,'数据-取费表'!B50)</f>
        <v>1.2E-2</v>
      </c>
    </row>
    <row r="20" spans="1:37" s="1858" customFormat="1" ht="18" customHeight="1">
      <c r="A20" s="1203" t="s">
        <v>1039</v>
      </c>
      <c r="B20" s="347" t="s">
        <v>1439</v>
      </c>
      <c r="C20" s="24" t="e">
        <f ca="1">ROUND(C19*F20,0)</f>
        <v>#N/A</v>
      </c>
      <c r="D20" s="369" t="s">
        <v>1440</v>
      </c>
      <c r="E20" s="347" t="s">
        <v>1422</v>
      </c>
      <c r="F20" s="367">
        <f>'数据-取费表'!B37</f>
        <v>0.02</v>
      </c>
      <c r="G20" s="1854"/>
      <c r="H20" s="1203" t="s">
        <v>1389</v>
      </c>
      <c r="I20" s="164" t="s">
        <v>1441</v>
      </c>
      <c r="J20" s="25" t="e">
        <f ca="1">ROUND(M20*M21/10000,2)</f>
        <v>#N/A</v>
      </c>
      <c r="K20" s="370" t="s">
        <v>1442</v>
      </c>
      <c r="L20" s="347" t="s">
        <v>1443</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3" t="s">
        <v>1075</v>
      </c>
      <c r="B21" s="347" t="s">
        <v>1444</v>
      </c>
      <c r="C21" s="24" t="s">
        <v>18</v>
      </c>
      <c r="D21" s="369" t="s">
        <v>1445</v>
      </c>
      <c r="E21" s="347" t="s">
        <v>1446</v>
      </c>
      <c r="F21" s="367">
        <f>'数据-取费表'!B38</f>
        <v>0.03</v>
      </c>
      <c r="G21" s="1854"/>
      <c r="H21" s="372"/>
      <c r="I21" s="356"/>
      <c r="J21" s="29"/>
      <c r="K21" s="373"/>
      <c r="L21" s="347" t="s">
        <v>1447</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5"/>
      <c r="F22" s="26"/>
      <c r="G22" s="1851"/>
      <c r="H22" s="1203" t="s">
        <v>1039</v>
      </c>
      <c r="I22" s="347" t="s">
        <v>1449</v>
      </c>
      <c r="J22" s="24" t="e">
        <f ca="1">ROUND(J14*M22,1)</f>
        <v>#N/A</v>
      </c>
      <c r="K22" s="2951" t="s">
        <v>1450</v>
      </c>
      <c r="L22" s="347" t="s">
        <v>1422</v>
      </c>
      <c r="M22" s="374" t="e">
        <f ca="1">INDIRECT("'数据-取费表'!Ak"&amp;$G$1)</f>
        <v>#N/A</v>
      </c>
    </row>
    <row r="23" spans="1:37" s="1858" customFormat="1" ht="18" customHeight="1">
      <c r="A23" s="1203"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v>
      </c>
      <c r="G23" s="1854"/>
      <c r="H23" s="1203" t="s">
        <v>1075</v>
      </c>
      <c r="I23" s="347" t="s">
        <v>1453</v>
      </c>
      <c r="J23" s="24" t="e">
        <f ca="1">ROUND(J13*M23,1)</f>
        <v>#N/A</v>
      </c>
      <c r="K23" s="2951" t="s">
        <v>1454</v>
      </c>
      <c r="L23" s="347" t="s">
        <v>1422</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3"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41" t="s">
        <v>1392</v>
      </c>
      <c r="I24" s="1342" t="s">
        <v>1439</v>
      </c>
      <c r="J24" s="1343" t="e">
        <f ca="1">ROUND(J5*M24,1)</f>
        <v>#N/A</v>
      </c>
      <c r="K24" s="1344" t="s">
        <v>1459</v>
      </c>
      <c r="L24" s="1342" t="s">
        <v>1422</v>
      </c>
      <c r="M24" s="1338"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3" t="s">
        <v>1460</v>
      </c>
      <c r="B25" s="347" t="s">
        <v>1461</v>
      </c>
      <c r="C25" s="24"/>
      <c r="D25" s="140" t="s">
        <v>1462</v>
      </c>
      <c r="E25" s="2945"/>
      <c r="F25" s="26"/>
      <c r="G25" s="1851"/>
      <c r="H25" s="1331" t="s">
        <v>1031</v>
      </c>
      <c r="I25" s="1346" t="s">
        <v>1463</v>
      </c>
      <c r="J25" s="355" t="e">
        <f ca="1">J5-J16</f>
        <v>#N/A</v>
      </c>
      <c r="K25" s="1347" t="s">
        <v>1464</v>
      </c>
      <c r="L25" s="1348"/>
      <c r="M25" s="1349"/>
    </row>
    <row r="26" spans="1:37">
      <c r="A26" s="1203" t="s">
        <v>1034</v>
      </c>
      <c r="B26" s="347" t="s">
        <v>1465</v>
      </c>
      <c r="C26" s="24" t="e">
        <f ca="1">ROUND((C19+C20)*F26,0)</f>
        <v>#N/A</v>
      </c>
      <c r="D26" s="369" t="s">
        <v>1466</v>
      </c>
      <c r="E26" s="358" t="s">
        <v>1467</v>
      </c>
      <c r="F26" s="357" t="e">
        <f ca="1">INDIRECT("'数据-取费表'!q"&amp;$G$1)</f>
        <v>#N/A</v>
      </c>
      <c r="G26" s="1851"/>
      <c r="H26" s="344" t="s">
        <v>1032</v>
      </c>
      <c r="I26" s="345" t="s">
        <v>1468</v>
      </c>
      <c r="J26" s="346" t="e">
        <f ca="1">IF(J5&lt;&gt;0,ROUND(J25*(1-((1+M28)/(1+M26))^M27)/(M26-M28),0),0)</f>
        <v>#N/A</v>
      </c>
      <c r="K26" s="370" t="s">
        <v>1469</v>
      </c>
      <c r="L26" s="347" t="s">
        <v>1470</v>
      </c>
      <c r="M26" s="357" t="e">
        <f ca="1">INDIRECT("'数据-取费表'!I"&amp;$G$1)</f>
        <v>#N/A</v>
      </c>
    </row>
    <row r="27" spans="1:37" ht="18" customHeight="1">
      <c r="A27" s="1203" t="s">
        <v>1036</v>
      </c>
      <c r="B27" s="347" t="s">
        <v>1471</v>
      </c>
      <c r="C27" s="24" t="e">
        <f ca="1">ROUND(F21*F26,4)</f>
        <v>#N/A</v>
      </c>
      <c r="D27" s="369" t="s">
        <v>1472</v>
      </c>
      <c r="E27" s="365"/>
      <c r="F27" s="366"/>
      <c r="G27" s="1851"/>
      <c r="H27" s="349"/>
      <c r="I27" s="350"/>
      <c r="J27" s="351"/>
      <c r="K27" s="378" t="s">
        <v>1473</v>
      </c>
      <c r="L27" s="347" t="s">
        <v>1474</v>
      </c>
      <c r="M27" s="379" t="e">
        <f ca="1">INDIRECT("'数据-取费表'!ag"&amp;$G$1)</f>
        <v>#N/A</v>
      </c>
    </row>
    <row r="28" spans="1:37" s="1858" customFormat="1" ht="18" customHeight="1">
      <c r="A28" s="1203"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1" t="s">
        <v>1038</v>
      </c>
      <c r="B29" s="1342" t="s">
        <v>1478</v>
      </c>
      <c r="C29" s="1343" t="e">
        <f ca="1">ROUND((C19+C20+C23+C26)/(1-F21-C24-C27-C28),0)</f>
        <v>#N/A</v>
      </c>
      <c r="D29" s="1344"/>
      <c r="E29" s="1342"/>
      <c r="F29" s="1345"/>
      <c r="G29" s="1854"/>
      <c r="H29" s="380" t="s">
        <v>1033</v>
      </c>
      <c r="I29" s="381" t="s">
        <v>1479</v>
      </c>
      <c r="J29" s="382" t="e">
        <f ca="1">ROUND(J26/(1+F40)^F41,0)</f>
        <v>#N/A</v>
      </c>
      <c r="K29" s="383" t="s">
        <v>1480</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1" t="s">
        <v>1030</v>
      </c>
      <c r="B30" s="1332" t="s">
        <v>1424</v>
      </c>
      <c r="C30" s="355" t="e">
        <f ca="1">ROUND(C31+C36+C37+C38,0)</f>
        <v>#N/A</v>
      </c>
      <c r="D30" s="1339" t="s">
        <v>1425</v>
      </c>
      <c r="E30" s="2952"/>
      <c r="F30" s="1296"/>
      <c r="G30" s="1851"/>
      <c r="H30" s="744"/>
      <c r="I30" s="745"/>
      <c r="J30" s="746"/>
      <c r="K30" s="747"/>
      <c r="L30" s="748"/>
      <c r="M30" s="749"/>
    </row>
    <row r="31" spans="1:37" ht="18" customHeight="1">
      <c r="A31" s="1203" t="s">
        <v>1035</v>
      </c>
      <c r="B31" s="347" t="s">
        <v>1429</v>
      </c>
      <c r="C31" s="24" t="e">
        <f ca="1">ROUND(IF(项目基本情况!B11="自然人",C5*F31,C32+C33+C34),1)</f>
        <v>#N/A</v>
      </c>
      <c r="D31" s="2950" t="s">
        <v>1430</v>
      </c>
      <c r="E31" s="2951" t="s">
        <v>1481</v>
      </c>
      <c r="F31" s="368" t="str">
        <f ca="1">IF(项目基本情况!B11="企业","",IF(INDIRECT("'数据-取费表'!c"&amp;$G$1)="住宅",5%,IF(F6*F7*F8/12/(1+'数据-取费表'!C42)&gt;20000,12%,7%)))</f>
        <v/>
      </c>
      <c r="G31" s="1851"/>
      <c r="H31" s="744"/>
      <c r="I31" s="745"/>
      <c r="J31" s="746"/>
      <c r="K31" s="747"/>
      <c r="L31" s="748"/>
      <c r="M31" s="749"/>
    </row>
    <row r="32" spans="1:37" ht="18" customHeight="1">
      <c r="A32" s="1203" t="s">
        <v>1034</v>
      </c>
      <c r="B32" s="347" t="s">
        <v>1433</v>
      </c>
      <c r="C32" s="24" t="e">
        <f ca="1">IF(项目基本情况!B11="自然人","——",ROUND(C5*F32/(1+'数据-取费表'!C42),2))</f>
        <v>#N/A</v>
      </c>
      <c r="D32" s="2951" t="s">
        <v>1434</v>
      </c>
      <c r="E32" s="347" t="s">
        <v>1422</v>
      </c>
      <c r="F32" s="377">
        <f>'数据-取费表'!B41</f>
        <v>5.6000000000000001E-2</v>
      </c>
      <c r="G32" s="1851"/>
      <c r="H32" s="744"/>
      <c r="I32" s="745"/>
      <c r="J32" s="746"/>
      <c r="K32" s="747"/>
      <c r="L32" s="748"/>
      <c r="M32" s="749"/>
    </row>
    <row r="33" spans="1:18" ht="18" customHeight="1">
      <c r="A33" s="1203" t="s">
        <v>1036</v>
      </c>
      <c r="B33" s="347" t="s">
        <v>1437</v>
      </c>
      <c r="C33" s="24" t="e">
        <f ca="1">IF(项目基本情况!B11="自然人","——",IF(D33="按租金收入计税",ROUND(C5*F33,2),IF(D33="按房产原值计税",ROUND(C29*F33*0.7,2),INDIRECT("'数据-取费表'!Aj"&amp;$G$1))))</f>
        <v>#N/A</v>
      </c>
      <c r="D33" s="1828" t="s">
        <v>3248</v>
      </c>
      <c r="E33" s="347" t="s">
        <v>1422</v>
      </c>
      <c r="F33" s="367">
        <f>IF(D33="按票据","——",IF(D33="按租金收入计税",'数据-取费表'!B51,'数据-取费表'!B50))</f>
        <v>0.12</v>
      </c>
      <c r="G33" s="1851"/>
      <c r="H33" s="1859"/>
      <c r="I33" s="1860"/>
      <c r="J33" s="1861"/>
      <c r="K33" s="1862"/>
      <c r="L33" s="1859"/>
      <c r="M33" s="1859"/>
    </row>
    <row r="34" spans="1:18" ht="18" customHeight="1">
      <c r="A34" s="1293" t="s">
        <v>1389</v>
      </c>
      <c r="B34" s="164" t="s">
        <v>1441</v>
      </c>
      <c r="C34" s="25" t="e">
        <f ca="1">IF(项目基本情况!B11="自然人","——",ROUND(F34*F35/10000,2))</f>
        <v>#N/A</v>
      </c>
      <c r="D34" s="370" t="s">
        <v>1442</v>
      </c>
      <c r="E34" s="347" t="s">
        <v>1443</v>
      </c>
      <c r="F34" s="371">
        <f>'数据-取费表'!B52</f>
        <v>4</v>
      </c>
      <c r="G34" s="1851"/>
      <c r="H34" s="744"/>
      <c r="I34" s="1860"/>
      <c r="J34" s="1861"/>
      <c r="K34" s="1863"/>
      <c r="L34" s="1864"/>
      <c r="M34" s="1864"/>
    </row>
    <row r="35" spans="1:18" ht="18" customHeight="1">
      <c r="A35" s="1355"/>
      <c r="B35" s="1353"/>
      <c r="C35" s="29"/>
      <c r="D35" s="373"/>
      <c r="E35" s="347" t="s">
        <v>1447</v>
      </c>
      <c r="F35" s="348" t="e">
        <f ca="1">INDIRECT("'数据-取费表'!r"&amp;$G$1)</f>
        <v>#N/A</v>
      </c>
      <c r="G35" s="1851"/>
      <c r="H35" s="744"/>
      <c r="I35" s="1860"/>
      <c r="J35" s="1861"/>
      <c r="K35" s="1862"/>
      <c r="L35" s="1859"/>
      <c r="M35" s="1859"/>
    </row>
    <row r="36" spans="1:18" ht="18" customHeight="1">
      <c r="A36" s="1354" t="s">
        <v>1039</v>
      </c>
      <c r="B36" s="347" t="s">
        <v>1449</v>
      </c>
      <c r="C36" s="24" t="e">
        <f ca="1">ROUND(C29*F36,1)</f>
        <v>#N/A</v>
      </c>
      <c r="D36" s="2951" t="s">
        <v>1482</v>
      </c>
      <c r="E36" s="347" t="s">
        <v>1422</v>
      </c>
      <c r="F36" s="374" t="e">
        <f ca="1">INDIRECT("'数据-取费表'!Ak"&amp;$G$1)</f>
        <v>#N/A</v>
      </c>
      <c r="G36" s="1851"/>
      <c r="H36" s="1859"/>
      <c r="I36" s="1860"/>
      <c r="J36" s="1861"/>
      <c r="K36" s="750"/>
      <c r="L36" s="1859"/>
      <c r="M36" s="1859"/>
    </row>
    <row r="37" spans="1:18" ht="18" customHeight="1">
      <c r="A37" s="1203" t="s">
        <v>1075</v>
      </c>
      <c r="B37" s="347" t="s">
        <v>1453</v>
      </c>
      <c r="C37" s="24" t="e">
        <f ca="1">ROUND(C13*F37,1)</f>
        <v>#N/A</v>
      </c>
      <c r="D37" s="2951" t="s">
        <v>1454</v>
      </c>
      <c r="E37" s="347" t="s">
        <v>1422</v>
      </c>
      <c r="F37" s="376" t="e">
        <f ca="1">INDIRECT("'数据-取费表'!Al"&amp;$G$1)</f>
        <v>#N/A</v>
      </c>
      <c r="G37" s="1851"/>
      <c r="H37" s="1859"/>
      <c r="I37" s="1860"/>
      <c r="J37" s="1861"/>
      <c r="K37" s="750"/>
      <c r="L37" s="1859"/>
      <c r="M37" s="1859"/>
    </row>
    <row r="38" spans="1:18" ht="18" customHeight="1" thickBot="1">
      <c r="A38" s="1341" t="s">
        <v>1392</v>
      </c>
      <c r="B38" s="1342" t="s">
        <v>1439</v>
      </c>
      <c r="C38" s="1343" t="e">
        <f ca="1">ROUND(C5*F38,1)</f>
        <v>#N/A</v>
      </c>
      <c r="D38" s="1344" t="s">
        <v>1459</v>
      </c>
      <c r="E38" s="1342" t="s">
        <v>1422</v>
      </c>
      <c r="F38" s="1338" t="e">
        <f ca="1">INDIRECT("'数据-取费表'!Am"&amp;$G$1)</f>
        <v>#N/A</v>
      </c>
      <c r="G38" s="1851"/>
      <c r="H38" s="1859"/>
      <c r="I38" s="1860"/>
      <c r="J38" s="1861"/>
      <c r="K38" s="1865"/>
      <c r="L38" s="1859"/>
      <c r="M38" s="1859"/>
    </row>
    <row r="39" spans="1:18" ht="24.6" customHeight="1" thickTop="1">
      <c r="A39" s="1331" t="s">
        <v>1031</v>
      </c>
      <c r="B39" s="1346" t="s">
        <v>1463</v>
      </c>
      <c r="C39" s="355" t="e">
        <f ca="1">C5-C30</f>
        <v>#N/A</v>
      </c>
      <c r="D39" s="1347" t="s">
        <v>1464</v>
      </c>
      <c r="E39" s="1348"/>
      <c r="F39" s="1349"/>
      <c r="G39" s="1851"/>
      <c r="H39" s="1859"/>
      <c r="I39" s="1860"/>
      <c r="J39" s="1861"/>
      <c r="K39" s="1865"/>
      <c r="L39" s="1859"/>
      <c r="M39" s="1859"/>
    </row>
    <row r="40" spans="1:18" ht="18" customHeight="1">
      <c r="A40" s="344" t="s">
        <v>1032</v>
      </c>
      <c r="B40" s="345" t="s">
        <v>1485</v>
      </c>
      <c r="C40" s="346" t="e">
        <f ca="1">ROUND(C39*(1-((1+F42)/(1+F40))^F41)/(F40-F42),0)</f>
        <v>#N/A</v>
      </c>
      <c r="D40" s="370" t="s">
        <v>1469</v>
      </c>
      <c r="E40" s="347" t="s">
        <v>1470</v>
      </c>
      <c r="F40" s="357" t="e">
        <f ca="1">INDIRECT("'数据-取费表'!I"&amp;$G$1)</f>
        <v>#N/A</v>
      </c>
      <c r="G40" s="1851"/>
      <c r="H40" s="1839"/>
      <c r="I40" s="1860"/>
      <c r="J40" s="1861"/>
      <c r="K40" s="1865"/>
      <c r="L40" s="1839"/>
      <c r="M40" s="1839"/>
    </row>
    <row r="41" spans="1:18" ht="18" customHeight="1">
      <c r="A41" s="349"/>
      <c r="B41" s="350"/>
      <c r="C41" s="351"/>
      <c r="D41" s="378" t="s">
        <v>1486</v>
      </c>
      <c r="E41" s="347" t="s">
        <v>1474</v>
      </c>
      <c r="F41" s="379" t="e">
        <f ca="1">IF(INDIRECT("'数据-取费表'!af"&amp;$G$1)=0,INDIRECT("'数据-取费表'!ae"&amp;$G$1),INDIRECT("'数据-取费表'!af"&amp;$G$1))</f>
        <v>#N/A</v>
      </c>
      <c r="G41" s="1851"/>
      <c r="H41" s="731"/>
      <c r="I41" s="1860"/>
      <c r="J41" s="1861"/>
      <c r="K41" s="750"/>
      <c r="L41" s="731"/>
      <c r="M41" s="731"/>
    </row>
    <row r="42" spans="1:18" ht="18" customHeight="1">
      <c r="A42" s="353"/>
      <c r="B42" s="354"/>
      <c r="C42" s="355"/>
      <c r="D42" s="373"/>
      <c r="E42" s="347" t="s">
        <v>1477</v>
      </c>
      <c r="F42" s="357" t="e">
        <f ca="1">INDIRECT("'数据-取费表'!v"&amp;$G$1)</f>
        <v>#N/A</v>
      </c>
      <c r="G42" s="1851"/>
      <c r="H42" s="731"/>
      <c r="I42" s="1860"/>
      <c r="J42" s="1861"/>
      <c r="K42" s="750"/>
      <c r="L42" s="731"/>
      <c r="M42" s="731"/>
    </row>
    <row r="43" spans="1:18" ht="18" customHeight="1" thickBot="1">
      <c r="A43" s="380" t="s">
        <v>1033</v>
      </c>
      <c r="B43" s="381" t="s">
        <v>1487</v>
      </c>
      <c r="C43" s="382" t="e">
        <f ca="1">ROUND(C40*10000/F43,0)</f>
        <v>#N/A</v>
      </c>
      <c r="D43" s="383" t="s">
        <v>1488</v>
      </c>
      <c r="E43" s="384" t="s">
        <v>1489</v>
      </c>
      <c r="F43" s="385" t="e">
        <f ca="1">INDIRECT("'数据-取费表'!k"&amp;$G$1)</f>
        <v>#N/A</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1519</v>
      </c>
      <c r="P45" s="1839"/>
      <c r="Q45" s="1839"/>
      <c r="R45" s="1839"/>
    </row>
    <row r="46" spans="1:18" s="1842" customFormat="1" ht="13.5" thickBot="1">
      <c r="A46" s="1870" t="s">
        <v>1520</v>
      </c>
      <c r="C46" s="1871" t="e">
        <f ca="1">C68-C40</f>
        <v>#N/A</v>
      </c>
      <c r="D46" s="1872" t="str">
        <f>C2</f>
        <v>万元</v>
      </c>
      <c r="E46" s="1866"/>
      <c r="F46" s="1866"/>
      <c r="I46" s="1873" t="s">
        <v>1521</v>
      </c>
      <c r="J46" s="1874"/>
      <c r="K46" s="1875"/>
      <c r="L46" s="1876" t="e">
        <f ca="1">IF(M47="住宅",0,IF(L48&gt;J51,L60,J60))</f>
        <v>#N/A</v>
      </c>
      <c r="O46" s="1877" t="s">
        <v>1522</v>
      </c>
      <c r="P46" s="1878" t="s">
        <v>1523</v>
      </c>
      <c r="Q46" s="1879" t="s">
        <v>1524</v>
      </c>
      <c r="R46" s="1879" t="s">
        <v>1525</v>
      </c>
    </row>
    <row r="47" spans="1:18" s="1842" customFormat="1" ht="13.5" thickBot="1">
      <c r="A47" s="1167" t="s">
        <v>1396</v>
      </c>
      <c r="B47" s="1199" t="s">
        <v>1397</v>
      </c>
      <c r="C47" s="1369" t="s">
        <v>1398</v>
      </c>
      <c r="D47" s="1199" t="s">
        <v>1399</v>
      </c>
      <c r="E47" s="1281" t="s">
        <v>1400</v>
      </c>
      <c r="F47" s="1282"/>
      <c r="G47" s="791"/>
      <c r="I47" s="1880" t="s">
        <v>1526</v>
      </c>
      <c r="J47" s="1881" t="s">
        <v>3249</v>
      </c>
      <c r="K47" s="1882" t="s">
        <v>1527</v>
      </c>
      <c r="L47" s="1883" t="e">
        <f ca="1">INDIRECT("'数据-取费表'!d"&amp;$G$1)</f>
        <v>#N/A</v>
      </c>
      <c r="M47" s="1838" t="str">
        <f>IF(ISNUMBER(FIND("住宅",C1)),"住宅","非住宅")</f>
        <v>非住宅</v>
      </c>
      <c r="O47" s="1884" t="s">
        <v>1040</v>
      </c>
      <c r="P47" s="1885" t="s">
        <v>1528</v>
      </c>
      <c r="Q47" s="1886" t="e">
        <f ca="1">C40+J29</f>
        <v>#N/A</v>
      </c>
      <c r="R47" s="1886" t="s">
        <v>1529</v>
      </c>
    </row>
    <row r="48" spans="1:18" s="1842" customFormat="1" ht="28.5" thickBot="1">
      <c r="A48" s="1362" t="s">
        <v>1135</v>
      </c>
      <c r="B48" s="345" t="s">
        <v>1401</v>
      </c>
      <c r="C48" s="2944" t="e">
        <f ca="1">C49+C53+C55</f>
        <v>#N/A</v>
      </c>
      <c r="D48" s="1364"/>
      <c r="E48" s="1365"/>
      <c r="F48" s="1183"/>
      <c r="G48" s="791"/>
      <c r="H48" s="792"/>
      <c r="I48" s="1887" t="s">
        <v>1530</v>
      </c>
      <c r="J48" s="1888" t="s">
        <v>3250</v>
      </c>
      <c r="K48" s="1889" t="s">
        <v>1531</v>
      </c>
      <c r="L48" s="1890" t="e">
        <f ca="1">INDIRECT("'数据-取费表'!f"&amp;$G$1)</f>
        <v>#N/A</v>
      </c>
      <c r="O48" s="1884" t="s">
        <v>1041</v>
      </c>
      <c r="P48" s="1885" t="s">
        <v>1532</v>
      </c>
      <c r="Q48" s="1886" t="e">
        <f ca="1">J60</f>
        <v>#N/A</v>
      </c>
      <c r="R48" s="1886" t="s">
        <v>1533</v>
      </c>
    </row>
    <row r="49" spans="1:18" s="1842" customFormat="1" ht="13.5" thickBot="1">
      <c r="A49" s="1196" t="s">
        <v>1136</v>
      </c>
      <c r="B49" s="1829" t="s">
        <v>1490</v>
      </c>
      <c r="C49" s="1366" t="e">
        <f ca="1">ROUND(F49*F51*F50*(1-F52)/10000,0)</f>
        <v>#N/A</v>
      </c>
      <c r="D49" s="1278" t="s">
        <v>3029</v>
      </c>
      <c r="E49" s="1830" t="s">
        <v>1491</v>
      </c>
      <c r="F49" s="1283"/>
      <c r="G49" s="1891"/>
      <c r="H49" s="792"/>
      <c r="I49" s="1887" t="s">
        <v>1534</v>
      </c>
      <c r="J49" s="1892">
        <v>2013</v>
      </c>
      <c r="K49" s="1889" t="s">
        <v>1535</v>
      </c>
      <c r="L49" s="1893"/>
      <c r="O49" s="1894" t="s">
        <v>1042</v>
      </c>
      <c r="P49" s="1885" t="s">
        <v>1536</v>
      </c>
      <c r="Q49" s="1886" t="e">
        <f ca="1">C29</f>
        <v>#N/A</v>
      </c>
      <c r="R49" s="1886" t="s">
        <v>1529</v>
      </c>
    </row>
    <row r="50" spans="1:18" s="1842" customFormat="1" ht="13.5" thickBot="1">
      <c r="A50" s="1197"/>
      <c r="B50" s="1200"/>
      <c r="C50" s="1370"/>
      <c r="D50" s="1174"/>
      <c r="E50" s="1279" t="s">
        <v>1406</v>
      </c>
      <c r="F50" s="1280" t="e">
        <f ca="1">F7</f>
        <v>#N/A</v>
      </c>
      <c r="H50" s="792"/>
      <c r="I50" s="1887" t="s">
        <v>1537</v>
      </c>
      <c r="J50" s="1895">
        <f>SUMPRODUCT((I63:I65=J47)*(J62:L62=J48)*(J63:L65))</f>
        <v>60</v>
      </c>
      <c r="K50" s="1889" t="s">
        <v>1538</v>
      </c>
      <c r="L50" s="1893"/>
      <c r="M50" s="1896"/>
      <c r="O50" s="1894" t="s">
        <v>1043</v>
      </c>
      <c r="P50" s="1885" t="s">
        <v>1539</v>
      </c>
      <c r="Q50" s="1897" t="e">
        <f ca="1">J58</f>
        <v>#N/A</v>
      </c>
      <c r="R50" s="1886"/>
    </row>
    <row r="51" spans="1:18" s="1842" customFormat="1" ht="13.5" thickBot="1">
      <c r="A51" s="1198"/>
      <c r="B51" s="1200"/>
      <c r="C51" s="1201"/>
      <c r="D51" s="1174"/>
      <c r="E51" s="1202" t="s">
        <v>1407</v>
      </c>
      <c r="F51" s="348" t="e">
        <f ca="1">F8</f>
        <v>#N/A</v>
      </c>
      <c r="I51" s="1898" t="s">
        <v>1540</v>
      </c>
      <c r="J51" s="1899">
        <f>IF(J49="",J50,J49+J50-YEAR('数据-取费表'!B2))</f>
        <v>55</v>
      </c>
      <c r="K51" s="1900" t="s">
        <v>1541</v>
      </c>
      <c r="L51" s="1901" t="e">
        <f ca="1">ROUND(-PV(INDIRECT("'数据-取费表'!h"&amp;$G$1),L48,(C39-C13*C76),0),0)</f>
        <v>#N/A</v>
      </c>
      <c r="M51" s="1902"/>
      <c r="O51" s="1894" t="s">
        <v>1044</v>
      </c>
      <c r="P51" s="1885" t="s">
        <v>1542</v>
      </c>
      <c r="Q51" s="1897">
        <f>J52</f>
        <v>0.09</v>
      </c>
      <c r="R51" s="1886"/>
    </row>
    <row r="52" spans="1:18" s="1842" customFormat="1" ht="13.5" thickBot="1">
      <c r="A52" s="1198"/>
      <c r="B52" s="1200"/>
      <c r="C52" s="1201"/>
      <c r="D52" s="1174"/>
      <c r="E52" s="1202" t="s">
        <v>1408</v>
      </c>
      <c r="F52" s="1277"/>
      <c r="I52" s="1903" t="s">
        <v>1543</v>
      </c>
      <c r="J52" s="1904">
        <v>0.09</v>
      </c>
      <c r="K52" s="1903" t="s">
        <v>1544</v>
      </c>
      <c r="L52" s="1904"/>
      <c r="O52" s="1894" t="s">
        <v>1045</v>
      </c>
      <c r="P52" s="1885" t="s">
        <v>1545</v>
      </c>
      <c r="Q52" s="1886" t="e">
        <f ca="1">J53</f>
        <v>#N/A</v>
      </c>
      <c r="R52" s="1886" t="s">
        <v>1546</v>
      </c>
    </row>
    <row r="53" spans="1:18" s="1842" customFormat="1" ht="24.75" thickBot="1">
      <c r="A53" s="1407" t="s">
        <v>1137</v>
      </c>
      <c r="B53" s="1831" t="s">
        <v>1409</v>
      </c>
      <c r="C53" s="361">
        <f ca="1">ROUND(IF(F53="押一",C49/12*F11,IF(F53="押二",C49/12*2*F11,IF(F53="押三",C49/12*3*F11,C54*F11))),0)</f>
        <v>0</v>
      </c>
      <c r="D53" s="1824" t="s">
        <v>3038</v>
      </c>
      <c r="E53" s="358" t="s">
        <v>1410</v>
      </c>
      <c r="F53" s="1368"/>
      <c r="I53" s="1905" t="s">
        <v>1547</v>
      </c>
      <c r="J53" s="1906" t="e">
        <f ca="1">IF(M47="住宅",IF(D1="——",MAX(J51,L48),IF(D1="在建（套用方法）",MAX(J51,L48-'数据-取费表'!B24),MAX(J51,L48-'数据-取费表'!B20))),IF(D1="——",MIN(J51,L48),IF(D1="在建（套用方法）",MIN(J51,L48-'数据-取费表'!B24),IF(D1="土地（套用方法）",MIN(J51,L48-'数据-取费表'!B20)))))</f>
        <v>#N/A</v>
      </c>
      <c r="K53" s="3263" t="s">
        <v>1548</v>
      </c>
      <c r="L53" s="3264"/>
      <c r="O53" s="1884" t="s">
        <v>1046</v>
      </c>
      <c r="P53" s="1885" t="s">
        <v>1549</v>
      </c>
      <c r="Q53" s="1886" t="e">
        <f ca="1">Q47+Q48</f>
        <v>#N/A</v>
      </c>
      <c r="R53" s="1886" t="s">
        <v>1047</v>
      </c>
    </row>
    <row r="54" spans="1:18" s="1842" customFormat="1" ht="13.5" thickBot="1">
      <c r="A54" s="1408"/>
      <c r="B54" s="1825" t="s">
        <v>1388</v>
      </c>
      <c r="C54" s="1180"/>
      <c r="D54" s="1824"/>
      <c r="E54" s="2948"/>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1550</v>
      </c>
      <c r="P54" s="1839"/>
      <c r="Q54" s="1839"/>
      <c r="R54" s="1839"/>
    </row>
    <row r="55" spans="1:18" s="1842" customFormat="1" ht="13.5" thickBot="1">
      <c r="A55" s="1335" t="s">
        <v>1075</v>
      </c>
      <c r="B55" s="1827" t="s">
        <v>1413</v>
      </c>
      <c r="C55" s="1336"/>
      <c r="D55" s="1824"/>
      <c r="E55" s="2948"/>
      <c r="F55" s="1907"/>
      <c r="I55" s="1910" t="s">
        <v>1551</v>
      </c>
      <c r="J55" s="1911" t="e">
        <f ca="1">ROUND(IF(J47="钢混",J57/J50,1-(1-2%)*(J50-J57)/J50),3)</f>
        <v>#N/A</v>
      </c>
      <c r="K55" s="1912" t="s">
        <v>1552</v>
      </c>
      <c r="L55" s="1913" t="s">
        <v>1553</v>
      </c>
      <c r="O55" s="1877" t="s">
        <v>1522</v>
      </c>
      <c r="P55" s="1878" t="s">
        <v>1523</v>
      </c>
      <c r="Q55" s="1879" t="s">
        <v>1524</v>
      </c>
      <c r="R55" s="1879" t="s">
        <v>1525</v>
      </c>
    </row>
    <row r="56" spans="1:18" s="1842" customFormat="1" ht="25.5" thickTop="1" thickBot="1">
      <c r="A56" s="1178">
        <v>2</v>
      </c>
      <c r="B56" s="1179" t="s">
        <v>1414</v>
      </c>
      <c r="C56" s="276" t="e">
        <f ca="1">C13</f>
        <v>#N/A</v>
      </c>
      <c r="D56" s="1914"/>
      <c r="E56" s="1915"/>
      <c r="F56" s="1907"/>
      <c r="I56" s="1916" t="s">
        <v>1554</v>
      </c>
      <c r="J56" s="1917" t="s">
        <v>3055</v>
      </c>
      <c r="K56" s="1887" t="s">
        <v>1555</v>
      </c>
      <c r="L56" s="1890" t="e">
        <f ca="1">IF(L48&lt;J51,"——",L48-J53)</f>
        <v>#N/A</v>
      </c>
      <c r="O56" s="1884" t="s">
        <v>1040</v>
      </c>
      <c r="P56" s="1885" t="s">
        <v>1528</v>
      </c>
      <c r="Q56" s="1886" t="e">
        <f ca="1">C40+J29</f>
        <v>#N/A</v>
      </c>
      <c r="R56" s="1886" t="s">
        <v>1529</v>
      </c>
    </row>
    <row r="57" spans="1:18" s="1842" customFormat="1" ht="24.75" thickBot="1">
      <c r="A57" s="1918"/>
      <c r="B57" s="1171" t="s">
        <v>1478</v>
      </c>
      <c r="C57" s="282" t="e">
        <f ca="1">C29</f>
        <v>#N/A</v>
      </c>
      <c r="D57" s="1919"/>
      <c r="E57" s="1920"/>
      <c r="F57" s="1921"/>
      <c r="I57" s="1922" t="s">
        <v>1556</v>
      </c>
      <c r="J57" s="1923" t="e">
        <f ca="1">IF(OR(M47="住宅",J51&lt;L48,J56="是"),"——",J51-L48)</f>
        <v>#N/A</v>
      </c>
      <c r="K57" s="1887" t="s">
        <v>1557</v>
      </c>
      <c r="L57" s="1890" t="e">
        <f ca="1">IF(L48&lt;J51,"——",IF(L55="比较法",L49,IF(L55="基准地价",L50,L51)))</f>
        <v>#N/A</v>
      </c>
      <c r="O57" s="1884" t="s">
        <v>1041</v>
      </c>
      <c r="P57" s="1885" t="s">
        <v>1558</v>
      </c>
      <c r="Q57" s="1886" t="e">
        <f ca="1">L60</f>
        <v>#N/A</v>
      </c>
      <c r="R57" s="1886" t="s">
        <v>1559</v>
      </c>
    </row>
    <row r="58" spans="1:18" s="1842" customFormat="1" ht="24.75" thickBot="1">
      <c r="A58" s="360" t="s">
        <v>1030</v>
      </c>
      <c r="B58" s="1179" t="s">
        <v>1424</v>
      </c>
      <c r="C58" s="361" t="e">
        <f ca="1">ROUND(C59+C64+C65+C66,0)</f>
        <v>#N/A</v>
      </c>
      <c r="D58" s="1181" t="s">
        <v>1425</v>
      </c>
      <c r="E58" s="1182"/>
      <c r="F58" s="1183"/>
      <c r="I58" s="1922" t="s">
        <v>1560</v>
      </c>
      <c r="J58" s="1924" t="e">
        <f ca="1">IF(J55&lt;0.4,0.4,J55)</f>
        <v>#N/A</v>
      </c>
      <c r="K58" s="1900" t="s">
        <v>1561</v>
      </c>
      <c r="L58" s="1890" t="e">
        <f ca="1">ROUND(POWER(1+L52,L47-L48)*(POWER(1+L52,L48)-1)/(POWER(1+L52,L47)-1),4)</f>
        <v>#N/A</v>
      </c>
      <c r="O58" s="1894" t="s">
        <v>1042</v>
      </c>
      <c r="P58" s="1885" t="s">
        <v>1562</v>
      </c>
      <c r="Q58" s="1886">
        <f>IF(L55="比较法",L49,IF(L55="基准地价",L50,0))</f>
        <v>0</v>
      </c>
      <c r="R58" s="1886" t="s">
        <v>1529</v>
      </c>
    </row>
    <row r="59" spans="1:18" s="1842" customFormat="1" ht="24.75" thickBot="1">
      <c r="A59" s="1203" t="s">
        <v>1035</v>
      </c>
      <c r="B59" s="1171" t="s">
        <v>1429</v>
      </c>
      <c r="C59" s="24" t="e">
        <f ca="1">ROUND(IF(项目基本情况!B11="自然人",C48*F59,C60+C61+C62),1)</f>
        <v>#N/A</v>
      </c>
      <c r="D59" s="1184" t="s">
        <v>1430</v>
      </c>
      <c r="E59" s="1185" t="s">
        <v>1431</v>
      </c>
      <c r="F59" s="368" t="str">
        <f ca="1">IF(项目基本情况!B11="企业","",IF(INDIRECT("'数据-取费表'!c"&amp;$G$1)="住宅",5%,IF(F49*F50*F51/12/(1+'数据-取费表'!C42)&gt;20000,12%,7%)))</f>
        <v/>
      </c>
      <c r="I59" s="1922" t="s">
        <v>1563</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1564</v>
      </c>
      <c r="Q59" s="1897">
        <f>L52</f>
        <v>0</v>
      </c>
      <c r="R59" s="1886"/>
    </row>
    <row r="60" spans="1:18" s="1842" customFormat="1" ht="16.5" thickBot="1">
      <c r="A60" s="1203" t="s">
        <v>1034</v>
      </c>
      <c r="B60" s="1171" t="s">
        <v>1433</v>
      </c>
      <c r="C60" s="24" t="e">
        <f ca="1">IF(项目基本情况!B11="自然人","——",ROUND(C48*F60/(1+'数据-取费表'!C42),2))</f>
        <v>#N/A</v>
      </c>
      <c r="D60" s="1185" t="s">
        <v>1434</v>
      </c>
      <c r="E60" s="1171" t="s">
        <v>1422</v>
      </c>
      <c r="F60" s="377">
        <f t="shared" ref="F60:F66" si="0">F32</f>
        <v>5.6000000000000001E-2</v>
      </c>
      <c r="I60" s="1925" t="s">
        <v>1565</v>
      </c>
      <c r="J60" s="1926" t="e">
        <f ca="1">IF(OR(M47="住宅",J51&lt;L48,J56="是"),"0",ROUND(J59/(1+J52)^J53,0))</f>
        <v>#N/A</v>
      </c>
      <c r="K60" s="1927" t="s">
        <v>1566</v>
      </c>
      <c r="L60" s="1926" t="e">
        <f ca="1">IF(OR(M47="住宅",L48&lt;J51),0,ROUND(L57*(L58/L59-1),0))</f>
        <v>#N/A</v>
      </c>
      <c r="O60" s="1894" t="s">
        <v>1044</v>
      </c>
      <c r="P60" s="1885" t="s">
        <v>1567</v>
      </c>
      <c r="Q60" s="1886" t="e">
        <f ca="1">L58</f>
        <v>#N/A</v>
      </c>
      <c r="R60" s="1886" t="s">
        <v>1568</v>
      </c>
    </row>
    <row r="61" spans="1:18" s="1842" customFormat="1" ht="13.5" thickBot="1">
      <c r="A61" s="1203" t="s">
        <v>1492</v>
      </c>
      <c r="B61" s="1171" t="s">
        <v>1437</v>
      </c>
      <c r="C61" s="24" t="e">
        <f ca="1">IF(项目基本情况!B11="自然人","——",IF(D61="按租金收入计税",ROUND(C48*F61,2),IF(D61="按房产原值计税",ROUND(C57*F61*0.7,2),INDIRECT("'数据-取费表'!Aj"&amp;$G$1))))</f>
        <v>#N/A</v>
      </c>
      <c r="D61" s="1828" t="s">
        <v>1438</v>
      </c>
      <c r="E61" s="1171" t="s">
        <v>1422</v>
      </c>
      <c r="F61" s="367">
        <f t="shared" si="0"/>
        <v>0.12</v>
      </c>
      <c r="I61" s="1928"/>
      <c r="J61" s="1928"/>
      <c r="K61" s="1928"/>
      <c r="L61" s="1928"/>
      <c r="O61" s="1894" t="s">
        <v>1045</v>
      </c>
      <c r="P61" s="1885" t="str">
        <f>K59</f>
        <v>建筑物剩余耐用年限下的土地年期修正系数Kn</v>
      </c>
      <c r="Q61" s="1886" t="e">
        <f ca="1">L59</f>
        <v>#N/A</v>
      </c>
      <c r="R61" s="1886" t="s">
        <v>1569</v>
      </c>
    </row>
    <row r="62" spans="1:18" s="1842" customFormat="1" ht="13.5" thickBot="1">
      <c r="A62" s="1203" t="s">
        <v>1495</v>
      </c>
      <c r="B62" s="1170" t="s">
        <v>1441</v>
      </c>
      <c r="C62" s="25" t="e">
        <f ca="1">IF(项目基本情况!B11="自然人","——",ROUND(F62*F63/10000,2))</f>
        <v>#N/A</v>
      </c>
      <c r="D62" s="1186" t="s">
        <v>1442</v>
      </c>
      <c r="E62" s="1171" t="s">
        <v>1443</v>
      </c>
      <c r="F62" s="371">
        <f t="shared" si="0"/>
        <v>4</v>
      </c>
      <c r="I62" s="1929" t="s">
        <v>1570</v>
      </c>
      <c r="J62" s="1930" t="s">
        <v>1571</v>
      </c>
      <c r="K62" s="1930" t="s">
        <v>1572</v>
      </c>
      <c r="L62" s="1930" t="s">
        <v>1573</v>
      </c>
      <c r="M62" s="1931" t="s">
        <v>1574</v>
      </c>
      <c r="O62" s="1884" t="s">
        <v>1046</v>
      </c>
      <c r="P62" s="1885" t="s">
        <v>1549</v>
      </c>
      <c r="Q62" s="1886" t="e">
        <f ca="1">Q56+Q57</f>
        <v>#N/A</v>
      </c>
      <c r="R62" s="1886" t="s">
        <v>1047</v>
      </c>
    </row>
    <row r="63" spans="1:18" s="1842" customFormat="1" ht="13.5" thickBot="1">
      <c r="A63" s="372"/>
      <c r="B63" s="1177"/>
      <c r="C63" s="29"/>
      <c r="D63" s="1187"/>
      <c r="E63" s="1171" t="s">
        <v>1447</v>
      </c>
      <c r="F63" s="348" t="e">
        <f t="shared" ca="1" si="0"/>
        <v>#N/A</v>
      </c>
      <c r="I63" s="1929" t="s">
        <v>1576</v>
      </c>
      <c r="J63" s="1930">
        <v>70</v>
      </c>
      <c r="K63" s="1930">
        <v>50</v>
      </c>
      <c r="L63" s="1930">
        <v>80</v>
      </c>
      <c r="M63" s="1932">
        <v>0.02</v>
      </c>
      <c r="O63" s="1869" t="s">
        <v>1577</v>
      </c>
      <c r="P63" s="1839"/>
      <c r="Q63" s="1839"/>
      <c r="R63" s="1839"/>
    </row>
    <row r="64" spans="1:18" s="1842" customFormat="1" ht="13.5" thickBot="1">
      <c r="A64" s="1203" t="s">
        <v>1039</v>
      </c>
      <c r="B64" s="1171" t="s">
        <v>1449</v>
      </c>
      <c r="C64" s="24" t="e">
        <f ca="1">ROUND(C57*F64,1)</f>
        <v>#N/A</v>
      </c>
      <c r="D64" s="1185" t="s">
        <v>1482</v>
      </c>
      <c r="E64" s="1171" t="s">
        <v>1422</v>
      </c>
      <c r="F64" s="374" t="e">
        <f t="shared" ca="1" si="0"/>
        <v>#N/A</v>
      </c>
      <c r="I64" s="1929" t="s">
        <v>1578</v>
      </c>
      <c r="J64" s="1930">
        <v>50</v>
      </c>
      <c r="K64" s="1930">
        <v>35</v>
      </c>
      <c r="L64" s="1930">
        <v>60</v>
      </c>
      <c r="M64" s="1931">
        <v>0</v>
      </c>
      <c r="O64" s="1877" t="s">
        <v>1522</v>
      </c>
      <c r="P64" s="1878" t="s">
        <v>1523</v>
      </c>
      <c r="Q64" s="1879" t="s">
        <v>1524</v>
      </c>
      <c r="R64" s="1879" t="s">
        <v>1525</v>
      </c>
    </row>
    <row r="65" spans="1:18" s="1842" customFormat="1" ht="13.5" thickBot="1">
      <c r="A65" s="1203" t="s">
        <v>1503</v>
      </c>
      <c r="B65" s="1171" t="s">
        <v>1453</v>
      </c>
      <c r="C65" s="24" t="e">
        <f ca="1">ROUND(C56*F65,1)</f>
        <v>#N/A</v>
      </c>
      <c r="D65" s="1185" t="s">
        <v>1454</v>
      </c>
      <c r="E65" s="1171" t="s">
        <v>1422</v>
      </c>
      <c r="F65" s="376" t="e">
        <f t="shared" ca="1" si="0"/>
        <v>#N/A</v>
      </c>
      <c r="I65" s="1929" t="s">
        <v>1579</v>
      </c>
      <c r="J65" s="1930">
        <v>40</v>
      </c>
      <c r="K65" s="1930">
        <v>30</v>
      </c>
      <c r="L65" s="1930">
        <v>50</v>
      </c>
      <c r="M65" s="1932">
        <v>0.02</v>
      </c>
      <c r="O65" s="1884" t="s">
        <v>1040</v>
      </c>
      <c r="P65" s="1885" t="s">
        <v>1528</v>
      </c>
      <c r="Q65" s="1886" t="e">
        <f ca="1">C40+J29</f>
        <v>#N/A</v>
      </c>
      <c r="R65" s="1886" t="s">
        <v>1529</v>
      </c>
    </row>
    <row r="66" spans="1:18" s="1842" customFormat="1" ht="16.5" thickBot="1">
      <c r="A66" s="1203" t="s">
        <v>1504</v>
      </c>
      <c r="B66" s="1171" t="s">
        <v>1439</v>
      </c>
      <c r="C66" s="24" t="e">
        <f ca="1">ROUND(C48*F66,1)</f>
        <v>#N/A</v>
      </c>
      <c r="D66" s="1185" t="s">
        <v>1459</v>
      </c>
      <c r="E66" s="1171" t="s">
        <v>1422</v>
      </c>
      <c r="F66" s="357" t="e">
        <f t="shared" ca="1" si="0"/>
        <v>#N/A</v>
      </c>
      <c r="O66" s="1884" t="s">
        <v>1041</v>
      </c>
      <c r="P66" s="1885" t="s">
        <v>1558</v>
      </c>
      <c r="Q66" s="1886" t="e">
        <f ca="1">L60</f>
        <v>#N/A</v>
      </c>
      <c r="R66" s="1886" t="s">
        <v>1581</v>
      </c>
    </row>
    <row r="67" spans="1:18" s="1842" customFormat="1" ht="16.5" thickBot="1">
      <c r="A67" s="1178" t="s">
        <v>1031</v>
      </c>
      <c r="B67" s="1188" t="s">
        <v>1463</v>
      </c>
      <c r="C67" s="361" t="e">
        <f ca="1">C48-C58</f>
        <v>#N/A</v>
      </c>
      <c r="D67" s="1184" t="s">
        <v>1464</v>
      </c>
      <c r="E67" s="1189"/>
      <c r="F67" s="1190"/>
      <c r="O67" s="1894" t="s">
        <v>1042</v>
      </c>
      <c r="P67" s="1885" t="s">
        <v>1562</v>
      </c>
      <c r="Q67" s="1933" t="e">
        <f ca="1">L51</f>
        <v>#N/A</v>
      </c>
      <c r="R67" s="1886" t="s">
        <v>1582</v>
      </c>
    </row>
    <row r="68" spans="1:18" s="1842" customFormat="1" ht="16.5" thickBot="1">
      <c r="A68" s="1168" t="s">
        <v>1032</v>
      </c>
      <c r="B68" s="1169" t="s">
        <v>1485</v>
      </c>
      <c r="C68" s="346" t="e">
        <f ca="1">ROUND(C67*(1-((1+F70)/(1+F68))^F69)/(F68-F70),0)</f>
        <v>#N/A</v>
      </c>
      <c r="D68" s="1186" t="s">
        <v>1469</v>
      </c>
      <c r="E68" s="1171" t="s">
        <v>1470</v>
      </c>
      <c r="F68" s="357" t="e">
        <f ca="1">F40</f>
        <v>#N/A</v>
      </c>
      <c r="O68" s="1894" t="s">
        <v>1043</v>
      </c>
      <c r="P68" s="1934" t="s">
        <v>1583</v>
      </c>
      <c r="Q68" s="1886" t="e">
        <f ca="1">ROUND(Q69-Q70*Q71,0)</f>
        <v>#N/A</v>
      </c>
      <c r="R68" s="1886" t="s">
        <v>1051</v>
      </c>
    </row>
    <row r="69" spans="1:18" s="1842" customFormat="1" ht="13.5" thickBot="1">
      <c r="A69" s="1172"/>
      <c r="B69" s="1173"/>
      <c r="C69" s="351"/>
      <c r="D69" s="1191" t="s">
        <v>1473</v>
      </c>
      <c r="E69" s="1171" t="s">
        <v>1474</v>
      </c>
      <c r="F69" s="379" t="e">
        <f ca="1">F41</f>
        <v>#N/A</v>
      </c>
      <c r="O69" s="1894" t="s">
        <v>1048</v>
      </c>
      <c r="P69" s="1934" t="s">
        <v>1584</v>
      </c>
      <c r="Q69" s="1886" t="e">
        <f ca="1">C39</f>
        <v>#N/A</v>
      </c>
      <c r="R69" s="1886" t="s">
        <v>1529</v>
      </c>
    </row>
    <row r="70" spans="1:18" s="1842" customFormat="1" ht="13.5" thickBot="1">
      <c r="A70" s="1175"/>
      <c r="B70" s="1176"/>
      <c r="C70" s="355"/>
      <c r="D70" s="1187"/>
      <c r="E70" s="1171" t="s">
        <v>1477</v>
      </c>
      <c r="F70" s="1277"/>
      <c r="O70" s="1894" t="s">
        <v>1049</v>
      </c>
      <c r="P70" s="1934" t="s">
        <v>1585</v>
      </c>
      <c r="Q70" s="1886" t="e">
        <f ca="1">C13</f>
        <v>#N/A</v>
      </c>
      <c r="R70" s="1886" t="s">
        <v>1529</v>
      </c>
    </row>
    <row r="71" spans="1:18" s="1842" customFormat="1" ht="13.5" thickBot="1">
      <c r="A71" s="1192" t="s">
        <v>1033</v>
      </c>
      <c r="B71" s="1193" t="s">
        <v>1487</v>
      </c>
      <c r="C71" s="382" t="e">
        <f ca="1">ROUND(C68*10000/F71,0)</f>
        <v>#N/A</v>
      </c>
      <c r="D71" s="1194" t="s">
        <v>1488</v>
      </c>
      <c r="E71" s="1195" t="s">
        <v>1489</v>
      </c>
      <c r="F71" s="385" t="e">
        <f ca="1">F43</f>
        <v>#N/A</v>
      </c>
      <c r="O71" s="1894" t="s">
        <v>1050</v>
      </c>
      <c r="P71" s="1934" t="s">
        <v>1586</v>
      </c>
      <c r="Q71" s="1897" t="e">
        <f ca="1">C76</f>
        <v>#N/A</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#N/A</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#N/A</v>
      </c>
      <c r="R74" s="1886" t="s">
        <v>1569</v>
      </c>
    </row>
    <row r="75" spans="1:18" ht="13.5" thickBot="1">
      <c r="A75" s="1842"/>
      <c r="B75" s="386" t="s">
        <v>1506</v>
      </c>
      <c r="C75" s="387" t="e">
        <f ca="1">ROUND(C13*C76,0)</f>
        <v>#N/A</v>
      </c>
      <c r="D75" s="1842"/>
      <c r="E75" s="1842"/>
      <c r="F75" s="1842"/>
      <c r="K75" s="1868"/>
      <c r="L75" s="1842"/>
      <c r="O75" s="1884" t="s">
        <v>1046</v>
      </c>
      <c r="P75" s="1885" t="s">
        <v>1549</v>
      </c>
      <c r="Q75" s="1886" t="e">
        <f ca="1">Q65+Q66</f>
        <v>#N/A</v>
      </c>
      <c r="R75" s="1886" t="s">
        <v>1047</v>
      </c>
    </row>
    <row r="76" spans="1:18">
      <c r="B76" s="388" t="s">
        <v>1507</v>
      </c>
      <c r="C76" s="389" t="e">
        <f ca="1">INDIRECT("'数据-取费表'!j"&amp;$G$1)</f>
        <v>#N/A</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2799</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2332</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2334</v>
      </c>
      <c r="B3" s="609" t="e">
        <f>ROUND(IF(D3="",B2*10000/'数据-汇总表'!E3,B2*10000/D3),0)</f>
        <v>#DIV/0!</v>
      </c>
      <c r="C3" s="247" t="s">
        <v>2751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2650</v>
      </c>
      <c r="B4" s="402"/>
      <c r="C4" s="3209" t="s">
        <v>2651</v>
      </c>
      <c r="D4" s="3210"/>
      <c r="E4" s="3211" t="s">
        <v>2652</v>
      </c>
      <c r="F4" s="3212"/>
      <c r="G4" s="3209" t="s">
        <v>2653</v>
      </c>
      <c r="H4" s="3210"/>
      <c r="I4" s="3209" t="s">
        <v>2654</v>
      </c>
      <c r="J4" s="3210"/>
      <c r="K4" s="610" t="s">
        <v>2655</v>
      </c>
      <c r="L4" s="1132"/>
      <c r="M4" s="1133"/>
      <c r="N4" s="1133"/>
      <c r="O4" s="1133"/>
      <c r="P4" s="3213" t="s">
        <v>2656</v>
      </c>
      <c r="Q4" s="3214"/>
      <c r="R4" s="3196" t="s">
        <v>2652</v>
      </c>
      <c r="S4" s="3197"/>
      <c r="T4" s="3196" t="s">
        <v>2653</v>
      </c>
      <c r="U4" s="3197"/>
      <c r="V4" s="3221" t="s">
        <v>2654</v>
      </c>
      <c r="W4" s="3221"/>
      <c r="X4" s="1813"/>
      <c r="Y4" s="3196" t="s">
        <v>2656</v>
      </c>
      <c r="Z4" s="3197"/>
      <c r="AA4" s="3191" t="s">
        <v>2652</v>
      </c>
      <c r="AB4" s="3192" t="s">
        <v>2653</v>
      </c>
      <c r="AC4" s="3191" t="s">
        <v>2654</v>
      </c>
    </row>
    <row r="5" spans="1:29" ht="15">
      <c r="A5" s="404"/>
      <c r="B5" s="405"/>
      <c r="C5" s="3202" t="s">
        <v>2547</v>
      </c>
      <c r="D5" s="3203"/>
      <c r="E5" s="3200" t="s">
        <v>2548</v>
      </c>
      <c r="F5" s="3201"/>
      <c r="G5" s="3202" t="s">
        <v>2549</v>
      </c>
      <c r="H5" s="3203"/>
      <c r="I5" s="3202" t="s">
        <v>2550</v>
      </c>
      <c r="J5" s="3203"/>
      <c r="K5" s="610"/>
      <c r="L5" s="1132"/>
      <c r="M5" s="1133"/>
      <c r="N5" s="1133"/>
      <c r="O5" s="1133"/>
      <c r="P5" s="3215"/>
      <c r="Q5" s="3216"/>
      <c r="R5" s="3198"/>
      <c r="S5" s="3199"/>
      <c r="T5" s="3198"/>
      <c r="U5" s="3199"/>
      <c r="V5" s="3221"/>
      <c r="W5" s="3221"/>
      <c r="X5" s="1813"/>
      <c r="Y5" s="3198"/>
      <c r="Z5" s="3199"/>
      <c r="AA5" s="3192"/>
      <c r="AB5" s="3192"/>
      <c r="AC5" s="3192"/>
    </row>
    <row r="6" spans="1:29" ht="15.75" thickBot="1">
      <c r="A6" s="406"/>
      <c r="B6" s="407"/>
      <c r="C6" s="3265" t="s">
        <v>2800</v>
      </c>
      <c r="D6" s="3266"/>
      <c r="E6" s="3267" t="s">
        <v>2800</v>
      </c>
      <c r="F6" s="3268"/>
      <c r="G6" s="3265" t="s">
        <v>2800</v>
      </c>
      <c r="H6" s="3266"/>
      <c r="I6" s="3265" t="s">
        <v>2800</v>
      </c>
      <c r="J6" s="3266"/>
      <c r="K6" s="610" t="s">
        <v>2552</v>
      </c>
      <c r="L6" s="1132"/>
      <c r="M6" s="1133"/>
      <c r="N6" s="1133"/>
      <c r="O6" s="1133"/>
      <c r="P6" s="3217"/>
      <c r="Q6" s="3218"/>
      <c r="R6" s="3198"/>
      <c r="S6" s="3199"/>
      <c r="T6" s="3219"/>
      <c r="U6" s="3220"/>
      <c r="V6" s="3221"/>
      <c r="W6" s="3221"/>
      <c r="X6" s="1813"/>
      <c r="Y6" s="3219"/>
      <c r="Z6" s="3220"/>
      <c r="AA6" s="3193"/>
      <c r="AB6" s="3193"/>
      <c r="AC6" s="3193"/>
    </row>
    <row r="7" spans="1:29" s="117" customFormat="1" ht="15.75" thickBot="1">
      <c r="A7" s="408" t="s">
        <v>2553</v>
      </c>
      <c r="B7" s="409"/>
      <c r="C7" s="410">
        <f>'数据-取费表'!B2</f>
        <v>43296</v>
      </c>
      <c r="D7" s="411">
        <v>100</v>
      </c>
      <c r="E7" s="412"/>
      <c r="F7" s="413">
        <f>SUMIF(65:65,YEAR(E7)&amp;"-"&amp;INT((MONTH(E7)+2)/3),66:66)</f>
        <v>0</v>
      </c>
      <c r="G7" s="2698"/>
      <c r="H7" s="411">
        <f>SUMIF(65:65,YEAR(G7)&amp;"-"&amp;INT((MONTH(G7)+2)/3),66:66)</f>
        <v>0</v>
      </c>
      <c r="I7" s="2698"/>
      <c r="J7" s="411">
        <f>SUMIF(65:65,YEAR(I7)&amp;"-"&amp;INT((MONTH(I7)+2)/3),66:66)</f>
        <v>0</v>
      </c>
      <c r="K7" s="611"/>
      <c r="L7" s="1134"/>
      <c r="M7" s="1135"/>
      <c r="N7" s="1135"/>
      <c r="O7" s="1135"/>
      <c r="P7" s="3194" t="s">
        <v>2554</v>
      </c>
      <c r="Q7" s="3222"/>
      <c r="R7" s="769" t="s">
        <v>17</v>
      </c>
      <c r="S7" s="770">
        <f t="shared" ref="S7:S15" si="0">F7</f>
        <v>0</v>
      </c>
      <c r="T7" s="769" t="s">
        <v>17</v>
      </c>
      <c r="U7" s="770">
        <f t="shared" ref="U7:U15" si="1">H7</f>
        <v>0</v>
      </c>
      <c r="V7" s="769" t="s">
        <v>17</v>
      </c>
      <c r="W7" s="770">
        <f t="shared" ref="W7:W15" si="2">J7</f>
        <v>0</v>
      </c>
      <c r="X7" s="771"/>
      <c r="Y7" s="3194" t="s">
        <v>2554</v>
      </c>
      <c r="Z7" s="3195"/>
      <c r="AA7" s="772" t="e">
        <f>D7/F7</f>
        <v>#DIV/0!</v>
      </c>
      <c r="AB7" s="772" t="e">
        <f>D7/H7</f>
        <v>#DIV/0!</v>
      </c>
      <c r="AC7" s="772"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94" t="s">
        <v>2557</v>
      </c>
      <c r="Q8" s="3195"/>
      <c r="R8" s="769" t="s">
        <v>17</v>
      </c>
      <c r="S8" s="770">
        <f t="shared" si="0"/>
        <v>0</v>
      </c>
      <c r="T8" s="769" t="s">
        <v>17</v>
      </c>
      <c r="U8" s="770">
        <f t="shared" si="1"/>
        <v>0</v>
      </c>
      <c r="V8" s="769" t="s">
        <v>17</v>
      </c>
      <c r="W8" s="770">
        <f t="shared" si="2"/>
        <v>0</v>
      </c>
      <c r="X8" s="771"/>
      <c r="Y8" s="3194" t="s">
        <v>2557</v>
      </c>
      <c r="Z8" s="3195"/>
      <c r="AA8" s="772" t="e">
        <f t="shared" ref="AA8:AA40" si="3">D8/F8</f>
        <v>#DIV/0!</v>
      </c>
      <c r="AB8" s="772" t="e">
        <f t="shared" ref="AB8:AB40" si="4">D8/H8</f>
        <v>#DIV/0!</v>
      </c>
      <c r="AC8" s="772" t="e">
        <f t="shared" ref="AC8:AC40" si="5">D8/J8</f>
        <v>#DIV/0!</v>
      </c>
    </row>
    <row r="9" spans="1:29" s="117" customFormat="1">
      <c r="A9" s="415" t="s">
        <v>2558</v>
      </c>
      <c r="B9" s="71" t="s">
        <v>2559</v>
      </c>
      <c r="C9" s="2701"/>
      <c r="D9" s="135">
        <v>100</v>
      </c>
      <c r="E9" s="2701"/>
      <c r="F9" s="135">
        <f>SUMIF(70:70,E9,71:71)-SUMIF(70:70,C9,71:71)+100</f>
        <v>100</v>
      </c>
      <c r="G9" s="2701"/>
      <c r="H9" s="135">
        <f>SUMIF(70:70,G9,71:71)-SUMIF(70:70,C9,71:71)+100</f>
        <v>100</v>
      </c>
      <c r="I9" s="2701"/>
      <c r="J9" s="135">
        <f>SUMIF(70:70,I9,71:71)-SUMIF(70:70,C9,71:71)+100</f>
        <v>100</v>
      </c>
      <c r="K9" s="611"/>
      <c r="L9" s="1134"/>
      <c r="M9" s="1135"/>
      <c r="N9" s="1135"/>
      <c r="O9" s="1136"/>
      <c r="P9" s="3226" t="s">
        <v>2560</v>
      </c>
      <c r="Q9" s="1795" t="str">
        <f t="shared" ref="Q9:Q15" si="6">B9</f>
        <v>用途</v>
      </c>
      <c r="R9" s="769" t="s">
        <v>17</v>
      </c>
      <c r="S9" s="770">
        <f t="shared" si="0"/>
        <v>100</v>
      </c>
      <c r="T9" s="769" t="s">
        <v>17</v>
      </c>
      <c r="U9" s="770">
        <f t="shared" si="1"/>
        <v>100</v>
      </c>
      <c r="V9" s="769" t="s">
        <v>17</v>
      </c>
      <c r="W9" s="770">
        <f t="shared" si="2"/>
        <v>100</v>
      </c>
      <c r="X9" s="771"/>
      <c r="Y9" s="3047" t="s">
        <v>2561</v>
      </c>
      <c r="Z9" s="55" t="str">
        <f t="shared" ref="Z9:Z15" si="7">Q9</f>
        <v>用途</v>
      </c>
      <c r="AA9" s="772">
        <f t="shared" si="3"/>
        <v>1</v>
      </c>
      <c r="AB9" s="772">
        <f t="shared" si="4"/>
        <v>1</v>
      </c>
      <c r="AC9" s="772">
        <f t="shared" si="5"/>
        <v>1</v>
      </c>
    </row>
    <row r="10" spans="1:29" s="427" customFormat="1" ht="27">
      <c r="A10" s="421"/>
      <c r="B10" s="422" t="s">
        <v>2562</v>
      </c>
      <c r="C10" s="432"/>
      <c r="D10" s="136">
        <v>100</v>
      </c>
      <c r="E10" s="432"/>
      <c r="F10" s="136">
        <f>ROUND(100/'数据-取费表'!G16,0)</f>
        <v>108</v>
      </c>
      <c r="G10" s="432"/>
      <c r="H10" s="136">
        <f>ROUND(100/'数据-取费表'!G16,0)</f>
        <v>108</v>
      </c>
      <c r="I10" s="432"/>
      <c r="J10" s="136">
        <f>ROUND(100/'数据-取费表'!G16,0)</f>
        <v>108</v>
      </c>
      <c r="K10" s="671"/>
      <c r="L10" s="1137"/>
      <c r="M10" s="1138"/>
      <c r="N10" s="1138"/>
      <c r="O10" s="1139"/>
      <c r="P10" s="3226"/>
      <c r="Q10" s="1795" t="str">
        <f t="shared" si="6"/>
        <v>土地使用年限（年）</v>
      </c>
      <c r="R10" s="769" t="s">
        <v>17</v>
      </c>
      <c r="S10" s="770">
        <f t="shared" si="0"/>
        <v>108</v>
      </c>
      <c r="T10" s="769" t="s">
        <v>17</v>
      </c>
      <c r="U10" s="770">
        <f t="shared" si="1"/>
        <v>108</v>
      </c>
      <c r="V10" s="769" t="s">
        <v>17</v>
      </c>
      <c r="W10" s="770">
        <f t="shared" si="2"/>
        <v>108</v>
      </c>
      <c r="X10" s="771"/>
      <c r="Y10" s="3047"/>
      <c r="Z10" s="55" t="str">
        <f t="shared" si="7"/>
        <v>土地使用年限（年）</v>
      </c>
      <c r="AA10" s="772">
        <f t="shared" si="3"/>
        <v>0.92592592592592593</v>
      </c>
      <c r="AB10" s="772">
        <f t="shared" si="4"/>
        <v>0.92592592592592593</v>
      </c>
      <c r="AC10" s="772">
        <f t="shared" si="5"/>
        <v>0.92592592592592593</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226"/>
      <c r="Q11" s="1795" t="str">
        <f t="shared" si="6"/>
        <v>容积率</v>
      </c>
      <c r="R11" s="769" t="s">
        <v>17</v>
      </c>
      <c r="S11" s="770" t="e">
        <f t="shared" si="0"/>
        <v>#N/A</v>
      </c>
      <c r="T11" s="769" t="s">
        <v>17</v>
      </c>
      <c r="U11" s="770" t="e">
        <f t="shared" si="1"/>
        <v>#N/A</v>
      </c>
      <c r="V11" s="769" t="s">
        <v>17</v>
      </c>
      <c r="W11" s="770" t="e">
        <f t="shared" si="2"/>
        <v>#N/A</v>
      </c>
      <c r="X11" s="771"/>
      <c r="Y11" s="3047"/>
      <c r="Z11" s="55" t="str">
        <f t="shared" si="7"/>
        <v>容积率</v>
      </c>
      <c r="AA11" s="772" t="e">
        <f t="shared" si="3"/>
        <v>#N/A</v>
      </c>
      <c r="AB11" s="772" t="e">
        <f t="shared" si="4"/>
        <v>#N/A</v>
      </c>
      <c r="AC11" s="772" t="e">
        <f t="shared" si="5"/>
        <v>#N/A</v>
      </c>
    </row>
    <row r="12" spans="1:29" s="117" customFormat="1" ht="15">
      <c r="A12" s="431"/>
      <c r="B12" s="2602">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226"/>
      <c r="Q12" s="1795">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
      <c r="A13" s="428"/>
      <c r="B13" s="2602">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226"/>
      <c r="Q13" s="1795">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15.75" thickBot="1">
      <c r="A14" s="436"/>
      <c r="B14" s="2604">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226"/>
      <c r="Q14" s="1795">
        <f t="shared" si="6"/>
        <v>111</v>
      </c>
      <c r="R14" s="769" t="s">
        <v>17</v>
      </c>
      <c r="S14" s="770">
        <f t="shared" si="0"/>
        <v>100</v>
      </c>
      <c r="T14" s="769" t="s">
        <v>17</v>
      </c>
      <c r="U14" s="770">
        <f t="shared" si="1"/>
        <v>100</v>
      </c>
      <c r="V14" s="769" t="s">
        <v>17</v>
      </c>
      <c r="W14" s="770">
        <f t="shared" si="2"/>
        <v>100</v>
      </c>
      <c r="X14" s="771"/>
      <c r="Y14" s="3047"/>
      <c r="Z14" s="55">
        <f t="shared" si="7"/>
        <v>111</v>
      </c>
      <c r="AA14" s="772">
        <f t="shared" si="3"/>
        <v>1</v>
      </c>
      <c r="AB14" s="772">
        <f t="shared" si="4"/>
        <v>1</v>
      </c>
      <c r="AC14" s="772">
        <f t="shared" si="5"/>
        <v>1</v>
      </c>
    </row>
    <row r="15" spans="1:29" ht="57">
      <c r="A15" s="440" t="s">
        <v>2564</v>
      </c>
      <c r="B15" s="628" t="s">
        <v>2801</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228" t="s">
        <v>2565</v>
      </c>
      <c r="Q15" s="1810" t="str">
        <f t="shared" si="6"/>
        <v>产业集聚程度</v>
      </c>
      <c r="R15" s="773" t="s">
        <v>17</v>
      </c>
      <c r="S15" s="774">
        <f t="shared" si="0"/>
        <v>100</v>
      </c>
      <c r="T15" s="773" t="s">
        <v>17</v>
      </c>
      <c r="U15" s="774">
        <f t="shared" si="1"/>
        <v>100</v>
      </c>
      <c r="V15" s="773" t="s">
        <v>17</v>
      </c>
      <c r="W15" s="774">
        <f t="shared" si="2"/>
        <v>100</v>
      </c>
      <c r="X15" s="1813"/>
      <c r="Y15" s="3228" t="s">
        <v>2565</v>
      </c>
      <c r="Z15" s="1814" t="str">
        <f t="shared" si="7"/>
        <v>产业集聚程度</v>
      </c>
      <c r="AA15" s="1811">
        <f t="shared" si="3"/>
        <v>1</v>
      </c>
      <c r="AB15" s="1811">
        <f t="shared" si="4"/>
        <v>1</v>
      </c>
      <c r="AC15" s="1811">
        <f t="shared" si="5"/>
        <v>1</v>
      </c>
    </row>
    <row r="16" spans="1:29" ht="15">
      <c r="A16" s="428"/>
      <c r="B16" s="629"/>
      <c r="C16" s="447"/>
      <c r="D16" s="448"/>
      <c r="E16" s="2613"/>
      <c r="F16" s="448"/>
      <c r="G16" s="2613"/>
      <c r="H16" s="450"/>
      <c r="I16" s="2613"/>
      <c r="J16" s="448"/>
      <c r="K16" s="671"/>
      <c r="L16" s="1142"/>
      <c r="M16" s="1133"/>
      <c r="N16" s="1133"/>
      <c r="O16" s="1141"/>
      <c r="P16" s="3229"/>
      <c r="Q16" s="1810"/>
      <c r="R16" s="773"/>
      <c r="S16" s="774"/>
      <c r="T16" s="773"/>
      <c r="U16" s="774"/>
      <c r="V16" s="773"/>
      <c r="W16" s="774"/>
      <c r="X16" s="1813"/>
      <c r="Y16" s="3229"/>
      <c r="Z16" s="1814"/>
      <c r="AA16" s="1811">
        <v>1</v>
      </c>
      <c r="AB16" s="1811">
        <v>1</v>
      </c>
      <c r="AC16" s="1811">
        <v>1</v>
      </c>
    </row>
    <row r="17" spans="1:29" ht="85.5">
      <c r="A17" s="428"/>
      <c r="B17" s="630" t="s">
        <v>2714</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229"/>
      <c r="Q17" s="1810" t="str">
        <f>B17</f>
        <v>交通便捷度</v>
      </c>
      <c r="R17" s="773" t="s">
        <v>17</v>
      </c>
      <c r="S17" s="774">
        <f>F17</f>
        <v>100</v>
      </c>
      <c r="T17" s="773" t="s">
        <v>17</v>
      </c>
      <c r="U17" s="774">
        <f>H17</f>
        <v>100</v>
      </c>
      <c r="V17" s="773" t="s">
        <v>17</v>
      </c>
      <c r="W17" s="774">
        <f>J17</f>
        <v>100</v>
      </c>
      <c r="X17" s="1813"/>
      <c r="Y17" s="3229"/>
      <c r="Z17" s="1814" t="str">
        <f>Q17</f>
        <v>交通便捷度</v>
      </c>
      <c r="AA17" s="1811">
        <f t="shared" si="3"/>
        <v>1</v>
      </c>
      <c r="AB17" s="1811">
        <f t="shared" si="4"/>
        <v>1</v>
      </c>
      <c r="AC17" s="1811">
        <f t="shared" si="5"/>
        <v>1</v>
      </c>
    </row>
    <row r="18" spans="1:29" ht="15">
      <c r="A18" s="428"/>
      <c r="B18" s="631"/>
      <c r="C18" s="447"/>
      <c r="D18" s="448"/>
      <c r="E18" s="2607"/>
      <c r="F18" s="448"/>
      <c r="G18" s="2607"/>
      <c r="H18" s="448"/>
      <c r="I18" s="2606"/>
      <c r="J18" s="448"/>
      <c r="K18" s="671"/>
      <c r="L18" s="1142"/>
      <c r="M18" s="1133"/>
      <c r="N18" s="1133"/>
      <c r="O18" s="1141"/>
      <c r="P18" s="3229"/>
      <c r="Q18" s="1810"/>
      <c r="R18" s="773"/>
      <c r="S18" s="774"/>
      <c r="T18" s="773"/>
      <c r="U18" s="774"/>
      <c r="V18" s="773"/>
      <c r="W18" s="774"/>
      <c r="X18" s="1813"/>
      <c r="Y18" s="3229"/>
      <c r="Z18" s="1814"/>
      <c r="AA18" s="1811">
        <v>1</v>
      </c>
      <c r="AB18" s="1811">
        <v>1</v>
      </c>
      <c r="AC18" s="1811">
        <v>1</v>
      </c>
    </row>
    <row r="19" spans="1:29" ht="15">
      <c r="A19" s="428"/>
      <c r="B19" s="630" t="s">
        <v>2753</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229"/>
      <c r="Q19" s="1810" t="str">
        <f t="shared" ref="Q19:Q33" si="8">B19</f>
        <v>区域土地利用方向</v>
      </c>
      <c r="R19" s="773" t="s">
        <v>17</v>
      </c>
      <c r="S19" s="774">
        <f>F19</f>
        <v>100</v>
      </c>
      <c r="T19" s="773" t="s">
        <v>17</v>
      </c>
      <c r="U19" s="774">
        <f>H19</f>
        <v>100</v>
      </c>
      <c r="V19" s="773" t="s">
        <v>17</v>
      </c>
      <c r="W19" s="774">
        <f>J19</f>
        <v>100</v>
      </c>
      <c r="X19" s="1813"/>
      <c r="Y19" s="3229"/>
      <c r="Z19" s="1814" t="str">
        <f>Q19</f>
        <v>区域土地利用方向</v>
      </c>
      <c r="AA19" s="1811">
        <f t="shared" si="3"/>
        <v>1</v>
      </c>
      <c r="AB19" s="1811">
        <f t="shared" si="4"/>
        <v>1</v>
      </c>
      <c r="AC19" s="1811">
        <f t="shared" si="5"/>
        <v>1</v>
      </c>
    </row>
    <row r="20" spans="1:29" ht="15">
      <c r="A20" s="404"/>
      <c r="B20" s="631"/>
      <c r="C20" s="447"/>
      <c r="D20" s="448"/>
      <c r="E20" s="2607"/>
      <c r="F20" s="448"/>
      <c r="G20" s="2607"/>
      <c r="H20" s="448"/>
      <c r="I20" s="2607"/>
      <c r="J20" s="448"/>
      <c r="K20" s="811"/>
      <c r="L20" s="1142"/>
      <c r="M20" s="1133"/>
      <c r="N20" s="1133"/>
      <c r="O20" s="1141"/>
      <c r="P20" s="3229"/>
      <c r="Q20" s="1810"/>
      <c r="R20" s="773"/>
      <c r="S20" s="774"/>
      <c r="T20" s="773"/>
      <c r="U20" s="774"/>
      <c r="V20" s="773"/>
      <c r="W20" s="774"/>
      <c r="X20" s="1813"/>
      <c r="Y20" s="3229"/>
      <c r="Z20" s="1814"/>
      <c r="AA20" s="1811"/>
      <c r="AB20" s="1811"/>
      <c r="AC20" s="1811"/>
    </row>
    <row r="21" spans="1:29" ht="71.25">
      <c r="A21" s="404"/>
      <c r="B21" s="630" t="s">
        <v>2802</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229"/>
      <c r="Q21" s="1810" t="str">
        <f t="shared" si="8"/>
        <v>环境状况</v>
      </c>
      <c r="R21" s="773" t="s">
        <v>17</v>
      </c>
      <c r="S21" s="774">
        <f>F21</f>
        <v>100</v>
      </c>
      <c r="T21" s="773" t="s">
        <v>17</v>
      </c>
      <c r="U21" s="774">
        <f>H21</f>
        <v>100</v>
      </c>
      <c r="V21" s="773" t="s">
        <v>17</v>
      </c>
      <c r="W21" s="774">
        <f>J21</f>
        <v>100</v>
      </c>
      <c r="X21" s="1813"/>
      <c r="Y21" s="3229"/>
      <c r="Z21" s="1814" t="str">
        <f>Q21</f>
        <v>环境状况</v>
      </c>
      <c r="AA21" s="1811">
        <f t="shared" si="3"/>
        <v>1</v>
      </c>
      <c r="AB21" s="1811">
        <f t="shared" si="4"/>
        <v>1</v>
      </c>
      <c r="AC21" s="1811">
        <f t="shared" si="5"/>
        <v>1</v>
      </c>
    </row>
    <row r="22" spans="1:29" ht="15">
      <c r="A22" s="404"/>
      <c r="B22" s="631"/>
      <c r="C22" s="447"/>
      <c r="D22" s="448"/>
      <c r="E22" s="2613"/>
      <c r="F22" s="448"/>
      <c r="G22" s="2613"/>
      <c r="H22" s="448"/>
      <c r="I22" s="447"/>
      <c r="J22" s="448"/>
      <c r="K22" s="671"/>
      <c r="L22" s="1142"/>
      <c r="M22" s="1133"/>
      <c r="N22" s="1133"/>
      <c r="O22" s="1141"/>
      <c r="P22" s="3229"/>
      <c r="Q22" s="1810"/>
      <c r="R22" s="773"/>
      <c r="S22" s="774"/>
      <c r="T22" s="773"/>
      <c r="U22" s="774"/>
      <c r="V22" s="773"/>
      <c r="W22" s="774"/>
      <c r="X22" s="1813"/>
      <c r="Y22" s="3229"/>
      <c r="Z22" s="1814"/>
      <c r="AA22" s="1811">
        <v>1</v>
      </c>
      <c r="AB22" s="1811">
        <v>1</v>
      </c>
      <c r="AC22" s="1811">
        <v>1</v>
      </c>
    </row>
    <row r="23" spans="1:29" s="117" customFormat="1" ht="42.75">
      <c r="A23" s="648"/>
      <c r="B23" s="632" t="s">
        <v>2659</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229"/>
      <c r="Q23" s="1795" t="str">
        <f t="shared" si="8"/>
        <v>公共配套设施</v>
      </c>
      <c r="R23" s="769" t="s">
        <v>17</v>
      </c>
      <c r="S23" s="770">
        <f>F23</f>
        <v>100</v>
      </c>
      <c r="T23" s="769" t="s">
        <v>17</v>
      </c>
      <c r="U23" s="770">
        <f>H23</f>
        <v>100</v>
      </c>
      <c r="V23" s="769" t="s">
        <v>17</v>
      </c>
      <c r="W23" s="770">
        <f>J23</f>
        <v>100</v>
      </c>
      <c r="X23" s="771"/>
      <c r="Y23" s="3229"/>
      <c r="Z23" s="55" t="str">
        <f>Q23</f>
        <v>公共配套设施</v>
      </c>
      <c r="AA23" s="1811">
        <f>D23/F23</f>
        <v>1</v>
      </c>
      <c r="AB23" s="1811">
        <f>D23/H23</f>
        <v>1</v>
      </c>
      <c r="AC23" s="1811">
        <f>D23/J23</f>
        <v>1</v>
      </c>
    </row>
    <row r="24" spans="1:29" s="117" customFormat="1" ht="15">
      <c r="A24" s="648"/>
      <c r="B24" s="631"/>
      <c r="C24" s="2702"/>
      <c r="D24" s="448"/>
      <c r="E24" s="2613"/>
      <c r="F24" s="448"/>
      <c r="G24" s="2613"/>
      <c r="H24" s="448"/>
      <c r="I24" s="447"/>
      <c r="J24" s="448"/>
      <c r="K24" s="671"/>
      <c r="L24" s="1134"/>
      <c r="M24" s="1135"/>
      <c r="N24" s="1135"/>
      <c r="O24" s="1136"/>
      <c r="P24" s="3229"/>
      <c r="Q24" s="1795"/>
      <c r="R24" s="769"/>
      <c r="S24" s="770"/>
      <c r="T24" s="769"/>
      <c r="U24" s="770"/>
      <c r="V24" s="769"/>
      <c r="W24" s="770"/>
      <c r="X24" s="771"/>
      <c r="Y24" s="3229"/>
      <c r="Z24" s="55"/>
      <c r="AA24" s="772">
        <v>1</v>
      </c>
      <c r="AB24" s="772">
        <v>1</v>
      </c>
      <c r="AC24" s="772">
        <v>1</v>
      </c>
    </row>
    <row r="25" spans="1:29" s="117" customFormat="1" ht="28.5">
      <c r="A25" s="648"/>
      <c r="B25" s="632" t="s">
        <v>2660</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229"/>
      <c r="Q25" s="1795" t="str">
        <f t="shared" ref="Q25" si="9">B25</f>
        <v>基础设施水平</v>
      </c>
      <c r="R25" s="769" t="s">
        <v>17</v>
      </c>
      <c r="S25" s="770">
        <f>F25</f>
        <v>100</v>
      </c>
      <c r="T25" s="769" t="s">
        <v>17</v>
      </c>
      <c r="U25" s="770">
        <f>H25</f>
        <v>100</v>
      </c>
      <c r="V25" s="769" t="s">
        <v>17</v>
      </c>
      <c r="W25" s="770">
        <f>J25</f>
        <v>100</v>
      </c>
      <c r="X25" s="771"/>
      <c r="Y25" s="3229"/>
      <c r="Z25" s="55" t="str">
        <f>Q25</f>
        <v>基础设施水平</v>
      </c>
      <c r="AA25" s="1811">
        <f>D25/F25</f>
        <v>1</v>
      </c>
      <c r="AB25" s="1811">
        <f>D25/H25</f>
        <v>1</v>
      </c>
      <c r="AC25" s="1811">
        <f>D25/J25</f>
        <v>1</v>
      </c>
    </row>
    <row r="26" spans="1:29" s="117" customFormat="1" ht="15">
      <c r="A26" s="648"/>
      <c r="B26" s="631"/>
      <c r="C26" s="2702"/>
      <c r="D26" s="448"/>
      <c r="E26" s="2703"/>
      <c r="F26" s="448"/>
      <c r="G26" s="2703"/>
      <c r="H26" s="448"/>
      <c r="I26" s="2703"/>
      <c r="J26" s="448"/>
      <c r="K26" s="671"/>
      <c r="L26" s="1134"/>
      <c r="M26" s="1135"/>
      <c r="N26" s="1135"/>
      <c r="O26" s="1136"/>
      <c r="P26" s="3229"/>
      <c r="Q26" s="1795"/>
      <c r="R26" s="769"/>
      <c r="S26" s="770"/>
      <c r="T26" s="769"/>
      <c r="U26" s="770"/>
      <c r="V26" s="769"/>
      <c r="W26" s="770"/>
      <c r="X26" s="771"/>
      <c r="Y26" s="3229"/>
      <c r="Z26" s="55"/>
      <c r="AA26" s="772">
        <v>1</v>
      </c>
      <c r="AB26" s="772">
        <v>1</v>
      </c>
      <c r="AC26" s="772">
        <v>1</v>
      </c>
    </row>
    <row r="27" spans="1:29" ht="15">
      <c r="A27" s="428"/>
      <c r="B27" s="631" t="s">
        <v>2661</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229"/>
      <c r="Q27" s="1810" t="str">
        <f t="shared" si="8"/>
        <v>临街状况</v>
      </c>
      <c r="R27" s="773" t="s">
        <v>17</v>
      </c>
      <c r="S27" s="774">
        <f t="shared" ref="S27:S40" si="10">F27</f>
        <v>100</v>
      </c>
      <c r="T27" s="773" t="s">
        <v>17</v>
      </c>
      <c r="U27" s="774">
        <f t="shared" ref="U27:U40" si="11">H27</f>
        <v>100</v>
      </c>
      <c r="V27" s="773" t="s">
        <v>17</v>
      </c>
      <c r="W27" s="774">
        <f t="shared" ref="W27:W40" si="12">J27</f>
        <v>100</v>
      </c>
      <c r="X27" s="1813"/>
      <c r="Y27" s="3229"/>
      <c r="Z27" s="1814" t="str">
        <f t="shared" ref="Z27:Z40" si="13">Q27</f>
        <v>临街状况</v>
      </c>
      <c r="AA27" s="1811">
        <f t="shared" si="3"/>
        <v>1</v>
      </c>
      <c r="AB27" s="1811">
        <f t="shared" si="4"/>
        <v>1</v>
      </c>
      <c r="AC27" s="1811">
        <f t="shared" si="5"/>
        <v>1</v>
      </c>
    </row>
    <row r="28" spans="1:29" ht="27">
      <c r="A28" s="428"/>
      <c r="B28" s="632" t="s">
        <v>2696</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229"/>
      <c r="Q28" s="1810" t="str">
        <f t="shared" si="8"/>
        <v>毗邻道路的类型与等级</v>
      </c>
      <c r="R28" s="773" t="s">
        <v>17</v>
      </c>
      <c r="S28" s="774">
        <f t="shared" si="10"/>
        <v>100</v>
      </c>
      <c r="T28" s="773" t="s">
        <v>17</v>
      </c>
      <c r="U28" s="774">
        <f t="shared" si="11"/>
        <v>100</v>
      </c>
      <c r="V28" s="773" t="s">
        <v>17</v>
      </c>
      <c r="W28" s="774">
        <f t="shared" si="12"/>
        <v>100</v>
      </c>
      <c r="X28" s="1813"/>
      <c r="Y28" s="3229"/>
      <c r="Z28" s="1814" t="str">
        <f t="shared" si="13"/>
        <v>毗邻道路的类型与等级</v>
      </c>
      <c r="AA28" s="1811">
        <f t="shared" si="3"/>
        <v>1</v>
      </c>
      <c r="AB28" s="1811">
        <f t="shared" si="4"/>
        <v>1</v>
      </c>
      <c r="AC28" s="1811">
        <f t="shared" si="5"/>
        <v>1</v>
      </c>
    </row>
    <row r="29" spans="1:29" ht="15">
      <c r="A29" s="428"/>
      <c r="B29" s="631"/>
      <c r="C29" s="447"/>
      <c r="D29" s="448"/>
      <c r="E29" s="2613"/>
      <c r="F29" s="448"/>
      <c r="G29" s="2613"/>
      <c r="H29" s="448"/>
      <c r="I29" s="2613"/>
      <c r="J29" s="448"/>
      <c r="K29" s="613"/>
      <c r="L29" s="1142"/>
      <c r="M29" s="1133"/>
      <c r="N29" s="1133"/>
      <c r="O29" s="1141"/>
      <c r="P29" s="3229"/>
      <c r="Q29" s="1810"/>
      <c r="R29" s="773"/>
      <c r="S29" s="774"/>
      <c r="T29" s="773"/>
      <c r="U29" s="774"/>
      <c r="V29" s="773"/>
      <c r="W29" s="774"/>
      <c r="X29" s="1813"/>
      <c r="Y29" s="3229"/>
      <c r="Z29" s="1814"/>
      <c r="AA29" s="1811">
        <v>1</v>
      </c>
      <c r="AB29" s="1811">
        <v>1</v>
      </c>
      <c r="AC29" s="1811">
        <v>1</v>
      </c>
    </row>
    <row r="30" spans="1:29" ht="15">
      <c r="A30" s="428"/>
      <c r="B30" s="653" t="s">
        <v>2755</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229"/>
      <c r="Q30" s="1810" t="str">
        <f t="shared" si="8"/>
        <v>土地级别</v>
      </c>
      <c r="R30" s="773" t="s">
        <v>17</v>
      </c>
      <c r="S30" s="774">
        <f t="shared" si="10"/>
        <v>100</v>
      </c>
      <c r="T30" s="773" t="s">
        <v>17</v>
      </c>
      <c r="U30" s="774">
        <f t="shared" si="11"/>
        <v>100</v>
      </c>
      <c r="V30" s="773" t="s">
        <v>17</v>
      </c>
      <c r="W30" s="774">
        <f t="shared" si="12"/>
        <v>100</v>
      </c>
      <c r="X30" s="1813"/>
      <c r="Y30" s="3229"/>
      <c r="Z30" s="1814" t="str">
        <f t="shared" si="13"/>
        <v>土地级别</v>
      </c>
      <c r="AA30" s="1811">
        <f t="shared" si="3"/>
        <v>1</v>
      </c>
      <c r="AB30" s="1811">
        <f t="shared" si="4"/>
        <v>1</v>
      </c>
      <c r="AC30" s="1811">
        <f t="shared" si="5"/>
        <v>1</v>
      </c>
    </row>
    <row r="31" spans="1:29" ht="15">
      <c r="A31" s="404"/>
      <c r="B31" s="2680">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29"/>
      <c r="Q31" s="1810">
        <f t="shared" si="8"/>
        <v>111</v>
      </c>
      <c r="R31" s="773" t="s">
        <v>17</v>
      </c>
      <c r="S31" s="774">
        <f t="shared" si="10"/>
        <v>100</v>
      </c>
      <c r="T31" s="773" t="s">
        <v>17</v>
      </c>
      <c r="U31" s="774">
        <f t="shared" si="11"/>
        <v>100</v>
      </c>
      <c r="V31" s="773" t="s">
        <v>17</v>
      </c>
      <c r="W31" s="774">
        <f t="shared" si="12"/>
        <v>100</v>
      </c>
      <c r="X31" s="1813"/>
      <c r="Y31" s="3229"/>
      <c r="Z31" s="1814">
        <f t="shared" si="13"/>
        <v>111</v>
      </c>
      <c r="AA31" s="1811">
        <f t="shared" si="3"/>
        <v>1</v>
      </c>
      <c r="AB31" s="1811">
        <f t="shared" si="4"/>
        <v>1</v>
      </c>
      <c r="AC31" s="1811">
        <f t="shared" si="5"/>
        <v>1</v>
      </c>
    </row>
    <row r="32" spans="1:29" ht="15">
      <c r="A32" s="674"/>
      <c r="B32" s="2716">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254" t="s">
        <v>2570</v>
      </c>
      <c r="Q32" s="1810">
        <f t="shared" si="8"/>
        <v>111</v>
      </c>
      <c r="R32" s="773" t="s">
        <v>17</v>
      </c>
      <c r="S32" s="774">
        <f t="shared" si="10"/>
        <v>100</v>
      </c>
      <c r="T32" s="773" t="s">
        <v>17</v>
      </c>
      <c r="U32" s="774">
        <f t="shared" si="11"/>
        <v>100</v>
      </c>
      <c r="V32" s="773" t="s">
        <v>17</v>
      </c>
      <c r="W32" s="774">
        <f t="shared" si="12"/>
        <v>100</v>
      </c>
      <c r="X32" s="1813"/>
      <c r="Y32" s="3233" t="s">
        <v>2570</v>
      </c>
      <c r="Z32" s="1814">
        <f t="shared" si="13"/>
        <v>111</v>
      </c>
      <c r="AA32" s="1811">
        <f t="shared" si="3"/>
        <v>1</v>
      </c>
      <c r="AB32" s="1811">
        <f t="shared" si="4"/>
        <v>1</v>
      </c>
      <c r="AC32" s="1811">
        <f t="shared" si="5"/>
        <v>1</v>
      </c>
    </row>
    <row r="33" spans="1:29" s="471" customFormat="1" ht="15.75" thickBot="1">
      <c r="A33" s="675"/>
      <c r="B33" s="2717">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233"/>
      <c r="Q33" s="1810">
        <f t="shared" si="8"/>
        <v>111</v>
      </c>
      <c r="R33" s="776" t="s">
        <v>17</v>
      </c>
      <c r="S33" s="777">
        <f t="shared" si="10"/>
        <v>100</v>
      </c>
      <c r="T33" s="776" t="s">
        <v>17</v>
      </c>
      <c r="U33" s="777">
        <f t="shared" si="11"/>
        <v>100</v>
      </c>
      <c r="V33" s="776" t="s">
        <v>17</v>
      </c>
      <c r="W33" s="777">
        <f t="shared" si="12"/>
        <v>100</v>
      </c>
      <c r="X33" s="778"/>
      <c r="Y33" s="3233"/>
      <c r="Z33" s="779">
        <f t="shared" si="13"/>
        <v>111</v>
      </c>
      <c r="AA33" s="1811">
        <f t="shared" si="3"/>
        <v>1</v>
      </c>
      <c r="AB33" s="1811">
        <f t="shared" si="4"/>
        <v>1</v>
      </c>
      <c r="AC33" s="1811">
        <f t="shared" si="5"/>
        <v>1</v>
      </c>
    </row>
    <row r="34" spans="1:29" ht="15">
      <c r="A34" s="440" t="s">
        <v>2568</v>
      </c>
      <c r="B34" s="456" t="s">
        <v>2756</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233"/>
      <c r="Q34" s="1810" t="str">
        <f>B34</f>
        <v>宗地面积</v>
      </c>
      <c r="R34" s="773" t="s">
        <v>17</v>
      </c>
      <c r="S34" s="774" t="e">
        <f t="shared" si="10"/>
        <v>#N/A</v>
      </c>
      <c r="T34" s="773" t="s">
        <v>17</v>
      </c>
      <c r="U34" s="774" t="e">
        <f t="shared" si="11"/>
        <v>#N/A</v>
      </c>
      <c r="V34" s="773" t="s">
        <v>17</v>
      </c>
      <c r="W34" s="774" t="e">
        <f t="shared" si="12"/>
        <v>#N/A</v>
      </c>
      <c r="X34" s="1813"/>
      <c r="Y34" s="3233"/>
      <c r="Z34" s="1814" t="str">
        <f t="shared" si="13"/>
        <v>宗地面积</v>
      </c>
      <c r="AA34" s="1811" t="e">
        <f t="shared" si="3"/>
        <v>#N/A</v>
      </c>
      <c r="AB34" s="1811" t="e">
        <f t="shared" si="4"/>
        <v>#N/A</v>
      </c>
      <c r="AC34" s="1811" t="e">
        <f t="shared" si="5"/>
        <v>#N/A</v>
      </c>
    </row>
    <row r="35" spans="1:29" ht="15">
      <c r="A35" s="472"/>
      <c r="B35" s="422" t="s">
        <v>2757</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2"/>
      <c r="M35" s="1133"/>
      <c r="N35" s="1133"/>
      <c r="O35" s="1141"/>
      <c r="P35" s="3233"/>
      <c r="Q35" s="1810" t="str">
        <f t="shared" ref="Q35:Q40" si="14">B35</f>
        <v>宗地形状</v>
      </c>
      <c r="R35" s="773" t="s">
        <v>17</v>
      </c>
      <c r="S35" s="774">
        <f t="shared" si="10"/>
        <v>100</v>
      </c>
      <c r="T35" s="773" t="s">
        <v>17</v>
      </c>
      <c r="U35" s="774">
        <f t="shared" si="11"/>
        <v>100</v>
      </c>
      <c r="V35" s="773" t="s">
        <v>17</v>
      </c>
      <c r="W35" s="774">
        <f t="shared" si="12"/>
        <v>100</v>
      </c>
      <c r="X35" s="1813"/>
      <c r="Y35" s="3233"/>
      <c r="Z35" s="1814" t="str">
        <f t="shared" si="13"/>
        <v>宗地形状</v>
      </c>
      <c r="AA35" s="1811">
        <f t="shared" si="3"/>
        <v>1</v>
      </c>
      <c r="AB35" s="1811">
        <f t="shared" si="4"/>
        <v>1</v>
      </c>
      <c r="AC35" s="1811">
        <f t="shared" si="5"/>
        <v>1</v>
      </c>
    </row>
    <row r="36" spans="1:29" s="117" customFormat="1" ht="15">
      <c r="A36" s="473"/>
      <c r="B36" s="422" t="s">
        <v>2759</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4"/>
      <c r="M36" s="1135"/>
      <c r="N36" s="1135"/>
      <c r="O36" s="1136"/>
      <c r="P36" s="3233"/>
      <c r="Q36" s="1810" t="str">
        <f t="shared" si="14"/>
        <v>宗地开发程度</v>
      </c>
      <c r="R36" s="769" t="s">
        <v>17</v>
      </c>
      <c r="S36" s="770">
        <f t="shared" si="10"/>
        <v>100</v>
      </c>
      <c r="T36" s="769" t="s">
        <v>17</v>
      </c>
      <c r="U36" s="770">
        <f t="shared" si="11"/>
        <v>100</v>
      </c>
      <c r="V36" s="769" t="s">
        <v>17</v>
      </c>
      <c r="W36" s="770">
        <f t="shared" si="12"/>
        <v>100</v>
      </c>
      <c r="X36" s="771"/>
      <c r="Y36" s="3233"/>
      <c r="Z36" s="55" t="str">
        <f t="shared" si="13"/>
        <v>宗地开发程度</v>
      </c>
      <c r="AA36" s="772">
        <f t="shared" si="3"/>
        <v>1</v>
      </c>
      <c r="AB36" s="772">
        <f t="shared" si="4"/>
        <v>1</v>
      </c>
      <c r="AC36" s="772">
        <f t="shared" si="5"/>
        <v>1</v>
      </c>
    </row>
    <row r="37" spans="1:29" ht="15">
      <c r="A37" s="472"/>
      <c r="B37" s="422" t="s">
        <v>2760</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2"/>
      <c r="M37" s="1133"/>
      <c r="N37" s="1133"/>
      <c r="O37" s="1141"/>
      <c r="P37" s="3233" t="s">
        <v>2570</v>
      </c>
      <c r="Q37" s="1810" t="str">
        <f t="shared" si="14"/>
        <v>工程地质条件</v>
      </c>
      <c r="R37" s="773" t="s">
        <v>17</v>
      </c>
      <c r="S37" s="774">
        <f t="shared" si="10"/>
        <v>100</v>
      </c>
      <c r="T37" s="773" t="s">
        <v>17</v>
      </c>
      <c r="U37" s="774">
        <f t="shared" si="11"/>
        <v>100</v>
      </c>
      <c r="V37" s="773" t="s">
        <v>17</v>
      </c>
      <c r="W37" s="774">
        <f t="shared" si="12"/>
        <v>100</v>
      </c>
      <c r="X37" s="1813"/>
      <c r="Y37" s="3233" t="s">
        <v>2570</v>
      </c>
      <c r="Z37" s="1814" t="str">
        <f t="shared" si="13"/>
        <v>工程地质条件</v>
      </c>
      <c r="AA37" s="1811">
        <f t="shared" si="3"/>
        <v>1</v>
      </c>
      <c r="AB37" s="1811">
        <f t="shared" si="4"/>
        <v>1</v>
      </c>
      <c r="AC37" s="1811">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233"/>
      <c r="Q38" s="1810">
        <f t="shared" si="14"/>
        <v>111</v>
      </c>
      <c r="R38" s="773" t="s">
        <v>17</v>
      </c>
      <c r="S38" s="774">
        <f t="shared" si="10"/>
        <v>100</v>
      </c>
      <c r="T38" s="773" t="s">
        <v>17</v>
      </c>
      <c r="U38" s="774">
        <f t="shared" si="11"/>
        <v>100</v>
      </c>
      <c r="V38" s="773" t="s">
        <v>17</v>
      </c>
      <c r="W38" s="774">
        <f t="shared" si="12"/>
        <v>100</v>
      </c>
      <c r="X38" s="1813"/>
      <c r="Y38" s="3233"/>
      <c r="Z38" s="1814">
        <f t="shared" si="13"/>
        <v>111</v>
      </c>
      <c r="AA38" s="1811">
        <f t="shared" si="3"/>
        <v>1</v>
      </c>
      <c r="AB38" s="1811">
        <f t="shared" si="4"/>
        <v>1</v>
      </c>
      <c r="AC38" s="1811">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233"/>
      <c r="Q39" s="1810">
        <f t="shared" si="14"/>
        <v>111</v>
      </c>
      <c r="R39" s="773" t="s">
        <v>17</v>
      </c>
      <c r="S39" s="774">
        <f t="shared" si="10"/>
        <v>100</v>
      </c>
      <c r="T39" s="773" t="s">
        <v>17</v>
      </c>
      <c r="U39" s="774">
        <f t="shared" si="11"/>
        <v>100</v>
      </c>
      <c r="V39" s="773" t="s">
        <v>17</v>
      </c>
      <c r="W39" s="774">
        <f t="shared" si="12"/>
        <v>100</v>
      </c>
      <c r="X39" s="1813"/>
      <c r="Y39" s="3233"/>
      <c r="Z39" s="1814">
        <f t="shared" si="13"/>
        <v>111</v>
      </c>
      <c r="AA39" s="1811">
        <f t="shared" si="3"/>
        <v>1</v>
      </c>
      <c r="AB39" s="1811">
        <f t="shared" si="4"/>
        <v>1</v>
      </c>
      <c r="AC39" s="1811">
        <f t="shared" si="5"/>
        <v>1</v>
      </c>
    </row>
    <row r="40" spans="1:29" s="471" customFormat="1" ht="15.75" thickBot="1">
      <c r="A40" s="468"/>
      <c r="B40" s="1389">
        <v>111</v>
      </c>
      <c r="C40" s="2705"/>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233"/>
      <c r="Q40" s="1810">
        <f t="shared" si="14"/>
        <v>111</v>
      </c>
      <c r="R40" s="776" t="s">
        <v>17</v>
      </c>
      <c r="S40" s="777">
        <f t="shared" si="10"/>
        <v>100</v>
      </c>
      <c r="T40" s="776" t="s">
        <v>17</v>
      </c>
      <c r="U40" s="777">
        <f t="shared" si="11"/>
        <v>100</v>
      </c>
      <c r="V40" s="776" t="s">
        <v>17</v>
      </c>
      <c r="W40" s="777">
        <f t="shared" si="12"/>
        <v>100</v>
      </c>
      <c r="X40" s="778"/>
      <c r="Y40" s="3233"/>
      <c r="Z40" s="779">
        <f t="shared" si="13"/>
        <v>111</v>
      </c>
      <c r="AA40" s="1811">
        <f t="shared" si="3"/>
        <v>1</v>
      </c>
      <c r="AB40" s="1811">
        <f t="shared" si="4"/>
        <v>1</v>
      </c>
      <c r="AC40" s="1811">
        <f t="shared" si="5"/>
        <v>1</v>
      </c>
    </row>
    <row r="41" spans="1:29" ht="15">
      <c r="A41" s="479" t="s">
        <v>2725</v>
      </c>
      <c r="B41" s="2706" t="s">
        <v>2803</v>
      </c>
      <c r="C41" s="681" t="s">
        <v>1</v>
      </c>
      <c r="D41" s="481"/>
      <c r="E41" s="482"/>
      <c r="F41" s="483"/>
      <c r="G41" s="484"/>
      <c r="H41" s="485"/>
      <c r="I41" s="482"/>
      <c r="J41" s="485"/>
      <c r="K41" s="782"/>
      <c r="L41" s="1145"/>
      <c r="M41" s="1133"/>
      <c r="N41" s="1133"/>
      <c r="O41" s="1146"/>
      <c r="P41" s="3226" t="str">
        <f>A41</f>
        <v>成交单价</v>
      </c>
      <c r="Q41" s="3226"/>
      <c r="R41" s="3221">
        <f>E41</f>
        <v>0</v>
      </c>
      <c r="S41" s="3221"/>
      <c r="T41" s="3221">
        <f>G41</f>
        <v>0</v>
      </c>
      <c r="U41" s="3221"/>
      <c r="V41" s="3221">
        <f>I41</f>
        <v>0</v>
      </c>
      <c r="W41" s="3221"/>
      <c r="X41" s="758"/>
      <c r="Y41" s="780"/>
      <c r="Z41" s="758"/>
      <c r="AA41" s="758"/>
      <c r="AB41" s="758"/>
      <c r="AC41" s="758"/>
    </row>
    <row r="42" spans="1:29" ht="15.75" thickBot="1">
      <c r="A42" s="486" t="s">
        <v>2674</v>
      </c>
      <c r="B42" s="682"/>
      <c r="C42" s="490" t="e">
        <f>R43</f>
        <v>#DIV/0!</v>
      </c>
      <c r="D42" s="489"/>
      <c r="E42" s="490" t="e">
        <f>R42</f>
        <v>#DIV/0!</v>
      </c>
      <c r="F42" s="491"/>
      <c r="G42" s="488" t="e">
        <f>T42</f>
        <v>#DIV/0!</v>
      </c>
      <c r="H42" s="489"/>
      <c r="I42" s="490" t="e">
        <f>V42</f>
        <v>#DIV/0!</v>
      </c>
      <c r="J42" s="489"/>
      <c r="K42" s="783"/>
      <c r="L42" s="1145"/>
      <c r="M42" s="1133"/>
      <c r="N42" s="1133"/>
      <c r="O42" s="1146"/>
      <c r="P42" s="3226" t="str">
        <f>A42</f>
        <v>比较价值（元/平方米）</v>
      </c>
      <c r="Q42" s="3226"/>
      <c r="R42" s="3256" t="e">
        <f>ROUND(PRODUCT(R41,AA7:AA40),0)</f>
        <v>#DIV/0!</v>
      </c>
      <c r="S42" s="3256"/>
      <c r="T42" s="3256" t="e">
        <f>ROUND(PRODUCT(T41,AB7:AB40),0)</f>
        <v>#DIV/0!</v>
      </c>
      <c r="U42" s="3256"/>
      <c r="V42" s="3256" t="e">
        <f>ROUND(PRODUCT(V41,AC7:AC40),0)</f>
        <v>#DIV/0!</v>
      </c>
      <c r="W42" s="3256"/>
      <c r="X42" s="758"/>
      <c r="Y42" s="758"/>
      <c r="Z42" s="758"/>
      <c r="AA42" s="758"/>
      <c r="AB42" s="758"/>
      <c r="AC42" s="758"/>
    </row>
    <row r="43" spans="1:29" ht="15.75" thickBot="1">
      <c r="A43" s="492" t="s">
        <v>2675</v>
      </c>
      <c r="B43" s="493"/>
      <c r="C43" s="494" t="e">
        <f>R43</f>
        <v>#DIV/0!</v>
      </c>
      <c r="D43" s="494"/>
      <c r="E43" s="494"/>
      <c r="F43" s="494"/>
      <c r="G43" s="494"/>
      <c r="H43" s="494"/>
      <c r="I43" s="494"/>
      <c r="J43" s="494"/>
      <c r="K43" s="784"/>
      <c r="L43" s="1145"/>
      <c r="M43" s="1133"/>
      <c r="N43" s="1133"/>
      <c r="O43" s="1146"/>
      <c r="P43" s="3223" t="str">
        <f>A43</f>
        <v>估价对象XX用房的比较价值（楼面单价，元/平方米）</v>
      </c>
      <c r="Q43" s="3224"/>
      <c r="R43" s="3257" t="e">
        <f>ROUND(AVERAGE(R42:V42),0)</f>
        <v>#DIV/0!</v>
      </c>
      <c r="S43" s="3257"/>
      <c r="T43" s="3257"/>
      <c r="U43" s="3257"/>
      <c r="V43" s="3257"/>
      <c r="W43" s="3257"/>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2762</v>
      </c>
      <c r="B50" s="684" t="s">
        <v>2763</v>
      </c>
      <c r="C50" s="2707" t="s">
        <v>2764</v>
      </c>
      <c r="D50" s="2708" t="s">
        <v>2765</v>
      </c>
      <c r="E50" s="685" t="s">
        <v>2766</v>
      </c>
      <c r="F50" s="686" t="s">
        <v>2767</v>
      </c>
      <c r="G50" s="3209" t="s">
        <v>2768</v>
      </c>
      <c r="H50" s="3258"/>
      <c r="I50" s="1814" t="s">
        <v>2804</v>
      </c>
      <c r="J50" s="1814">
        <f>项目基本情况!F35</f>
        <v>0</v>
      </c>
      <c r="K50" s="2710" t="s">
        <v>2770</v>
      </c>
      <c r="L50" s="1108"/>
      <c r="M50" s="1146"/>
      <c r="N50" s="1146"/>
      <c r="O50" s="1146"/>
    </row>
    <row r="51" spans="1:17" s="691" customFormat="1">
      <c r="A51" s="687" t="s">
        <v>2771</v>
      </c>
      <c r="B51" s="688" t="e">
        <f>C43</f>
        <v>#DIV/0!</v>
      </c>
      <c r="C51" s="689">
        <v>1</v>
      </c>
      <c r="D51" s="1165">
        <v>1</v>
      </c>
      <c r="E51" s="689">
        <f>'数据-汇总表'!E8+'数据-汇总表'!E9</f>
        <v>249.95</v>
      </c>
      <c r="F51" s="690" t="e">
        <f t="shared" ref="F51:F60" si="15">ROUND(B51*E51/10000,0)</f>
        <v>#DIV/0!</v>
      </c>
      <c r="G51" s="3208"/>
      <c r="H51" s="3226"/>
      <c r="I51" s="944">
        <v>1</v>
      </c>
      <c r="J51" s="944">
        <v>1</v>
      </c>
      <c r="K51" s="1147"/>
      <c r="L51" s="943"/>
      <c r="M51" s="943"/>
      <c r="N51" s="943"/>
      <c r="O51" s="943"/>
    </row>
    <row r="52" spans="1:17" s="691" customFormat="1">
      <c r="A52" s="692" t="s">
        <v>2772</v>
      </c>
      <c r="B52" s="262" t="e">
        <f>ROUND($C$43*C52*D52,0)</f>
        <v>#DIV/0!</v>
      </c>
      <c r="C52" s="200">
        <f t="shared" ref="C52:C60" si="16">IF($C$50="北京市系数",I52,J52)</f>
        <v>0</v>
      </c>
      <c r="D52" s="1166">
        <v>0.25</v>
      </c>
      <c r="E52" s="693"/>
      <c r="F52" s="690" t="e">
        <f t="shared" si="15"/>
        <v>#DIV/0!</v>
      </c>
      <c r="G52" s="3259" t="s">
        <v>2773</v>
      </c>
      <c r="H52" s="1106">
        <f>项目基本情况!B37</f>
        <v>0</v>
      </c>
      <c r="I52" s="944">
        <f>SUMIF(修正!A45:A56,H52,修正!B45:B56)</f>
        <v>0</v>
      </c>
      <c r="J52" s="945"/>
      <c r="K52" s="1146"/>
      <c r="L52" s="943"/>
      <c r="M52" s="943"/>
      <c r="N52" s="943"/>
      <c r="O52" s="943"/>
    </row>
    <row r="53" spans="1:17" s="691" customFormat="1">
      <c r="A53" s="692" t="s">
        <v>2774</v>
      </c>
      <c r="B53" s="262" t="e">
        <f t="shared" ref="B53:B60" si="17">ROUND($C$43*C53*D53,0)</f>
        <v>#DIV/0!</v>
      </c>
      <c r="C53" s="200">
        <f t="shared" si="16"/>
        <v>0</v>
      </c>
      <c r="D53" s="1166">
        <v>0.25</v>
      </c>
      <c r="E53" s="693"/>
      <c r="F53" s="690" t="e">
        <f t="shared" si="15"/>
        <v>#DIV/0!</v>
      </c>
      <c r="G53" s="3259"/>
      <c r="H53" s="1106">
        <f>项目基本情况!B37</f>
        <v>0</v>
      </c>
      <c r="I53" s="944">
        <f>SUMIF(修正!A45:A56,H53,修正!C45:C56)</f>
        <v>0</v>
      </c>
      <c r="J53" s="945"/>
      <c r="K53" s="1147"/>
      <c r="L53" s="943"/>
      <c r="M53" s="943"/>
      <c r="N53" s="943"/>
      <c r="O53" s="943"/>
    </row>
    <row r="54" spans="1:17" s="691" customFormat="1">
      <c r="A54" s="692" t="s">
        <v>2775</v>
      </c>
      <c r="B54" s="262" t="e">
        <f t="shared" si="17"/>
        <v>#DIV/0!</v>
      </c>
      <c r="C54" s="200">
        <f t="shared" si="16"/>
        <v>0</v>
      </c>
      <c r="D54" s="1166">
        <v>0.25</v>
      </c>
      <c r="E54" s="693"/>
      <c r="F54" s="690" t="e">
        <f t="shared" si="15"/>
        <v>#DIV/0!</v>
      </c>
      <c r="G54" s="3259"/>
      <c r="H54" s="1106">
        <f>项目基本情况!B37</f>
        <v>0</v>
      </c>
      <c r="I54" s="944">
        <f>SUMIF(修正!A45:A56,H54,修正!D45:D56)</f>
        <v>0</v>
      </c>
      <c r="J54" s="945"/>
      <c r="K54" s="1146"/>
      <c r="L54" s="943"/>
      <c r="M54" s="943"/>
      <c r="N54" s="943"/>
      <c r="O54" s="943"/>
    </row>
    <row r="55" spans="1:17" s="691" customFormat="1">
      <c r="A55" s="692" t="s">
        <v>2776</v>
      </c>
      <c r="B55" s="262" t="e">
        <f t="shared" si="17"/>
        <v>#DIV/0!</v>
      </c>
      <c r="C55" s="200">
        <f t="shared" si="16"/>
        <v>0</v>
      </c>
      <c r="D55" s="1166">
        <v>0.25</v>
      </c>
      <c r="E55" s="693"/>
      <c r="F55" s="690" t="e">
        <f t="shared" si="15"/>
        <v>#DIV/0!</v>
      </c>
      <c r="G55" s="3259"/>
      <c r="H55" s="1106">
        <f>项目基本情况!B37</f>
        <v>0</v>
      </c>
      <c r="I55" s="944">
        <f>SUMIF(修正!A45:A56,H55,修正!E45:E56)</f>
        <v>0</v>
      </c>
      <c r="J55" s="945"/>
      <c r="K55" s="1147"/>
      <c r="L55" s="943"/>
      <c r="M55" s="943"/>
      <c r="N55" s="943"/>
      <c r="O55" s="943"/>
    </row>
    <row r="56" spans="1:17" s="691" customFormat="1">
      <c r="A56" s="692" t="s">
        <v>2777</v>
      </c>
      <c r="B56" s="262" t="e">
        <f t="shared" si="17"/>
        <v>#DIV/0!</v>
      </c>
      <c r="C56" s="200">
        <f t="shared" si="16"/>
        <v>0</v>
      </c>
      <c r="D56" s="1166">
        <v>0.25</v>
      </c>
      <c r="E56" s="261">
        <f>'数据-汇总表'!E11</f>
        <v>0</v>
      </c>
      <c r="F56" s="690" t="e">
        <f t="shared" si="15"/>
        <v>#DIV/0!</v>
      </c>
      <c r="G56" s="2711" t="s">
        <v>2778</v>
      </c>
      <c r="H56" s="1106">
        <f>项目基本情况!C37</f>
        <v>0</v>
      </c>
      <c r="I56" s="944">
        <f>SUMIF(修正!A45:A56,H56,修正!F45:F56)</f>
        <v>0</v>
      </c>
      <c r="J56" s="945"/>
      <c r="K56" s="1146"/>
      <c r="L56" s="943"/>
      <c r="M56" s="943"/>
      <c r="N56" s="943"/>
      <c r="O56" s="943"/>
    </row>
    <row r="57" spans="1:17" s="691" customFormat="1">
      <c r="A57" s="692" t="s">
        <v>2779</v>
      </c>
      <c r="B57" s="262" t="e">
        <f t="shared" si="17"/>
        <v>#DIV/0!</v>
      </c>
      <c r="C57" s="200">
        <f t="shared" si="16"/>
        <v>0</v>
      </c>
      <c r="D57" s="1166">
        <v>0.25</v>
      </c>
      <c r="E57" s="261">
        <f>'数据-汇总表'!E12</f>
        <v>0</v>
      </c>
      <c r="F57" s="690" t="e">
        <f t="shared" si="15"/>
        <v>#DIV/0!</v>
      </c>
      <c r="G57" s="1111" t="s">
        <v>2780</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2781</v>
      </c>
      <c r="B58" s="262" t="e">
        <f t="shared" si="17"/>
        <v>#DIV/0!</v>
      </c>
      <c r="C58" s="200">
        <f t="shared" si="16"/>
        <v>0</v>
      </c>
      <c r="D58" s="1166">
        <v>0.25</v>
      </c>
      <c r="E58" s="261">
        <f>'数据-汇总表'!E13</f>
        <v>0</v>
      </c>
      <c r="F58" s="690" t="e">
        <f t="shared" si="15"/>
        <v>#DIV/0!</v>
      </c>
      <c r="G58" s="1111" t="s">
        <v>2782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2783</v>
      </c>
      <c r="B59" s="262" t="e">
        <f t="shared" si="17"/>
        <v>#DIV/0!</v>
      </c>
      <c r="C59" s="200">
        <f t="shared" si="16"/>
        <v>0</v>
      </c>
      <c r="D59" s="1166">
        <v>0.25</v>
      </c>
      <c r="E59" s="261">
        <f>'数据-汇总表'!E14</f>
        <v>0</v>
      </c>
      <c r="F59" s="690" t="e">
        <f t="shared" si="15"/>
        <v>#DIV/0!</v>
      </c>
      <c r="G59" s="2711" t="s">
        <v>2773</v>
      </c>
      <c r="H59" s="1106">
        <f>项目基本情况!B37</f>
        <v>0</v>
      </c>
      <c r="I59" s="944">
        <f>SUMIF(修正!A45:A56,H59,修正!H45:H56)</f>
        <v>0</v>
      </c>
      <c r="J59" s="945"/>
      <c r="K59" s="1147"/>
      <c r="L59" s="943"/>
      <c r="M59" s="943"/>
      <c r="N59" s="943"/>
      <c r="O59" s="943"/>
    </row>
    <row r="60" spans="1:17" s="691" customFormat="1" ht="15" thickBot="1">
      <c r="A60" s="692" t="s">
        <v>2784</v>
      </c>
      <c r="B60" s="262" t="e">
        <f t="shared" si="17"/>
        <v>#DIV/0!</v>
      </c>
      <c r="C60" s="200">
        <f t="shared" si="16"/>
        <v>0</v>
      </c>
      <c r="D60" s="1166">
        <v>0.25</v>
      </c>
      <c r="E60" s="261">
        <f>'数据-汇总表'!E15</f>
        <v>0</v>
      </c>
      <c r="F60" s="690" t="e">
        <f t="shared" si="15"/>
        <v>#DIV/0!</v>
      </c>
      <c r="G60" s="2712" t="s">
        <v>2778</v>
      </c>
      <c r="H60" s="1116">
        <f>项目基本情况!C37</f>
        <v>0</v>
      </c>
      <c r="I60" s="944">
        <f>SUMIF(修正!A45:A56,H60,修正!H45:H56)</f>
        <v>0</v>
      </c>
      <c r="J60" s="945"/>
      <c r="K60" s="1146"/>
      <c r="L60" s="943"/>
      <c r="M60" s="943"/>
      <c r="N60" s="943"/>
      <c r="O60" s="943"/>
    </row>
    <row r="61" spans="1:17" s="691" customFormat="1" ht="15" thickBot="1">
      <c r="A61" s="694" t="s">
        <v>2785</v>
      </c>
      <c r="B61" s="695" t="s">
        <v>28</v>
      </c>
      <c r="C61" s="695" t="s">
        <v>29</v>
      </c>
      <c r="D61" s="695" t="s">
        <v>1029</v>
      </c>
      <c r="E61" s="695">
        <f>IF(B41="楼面地价",SUM(E51:E60),'数据-汇总表'!D3)</f>
        <v>114.7</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1.75" thickBot="1">
      <c r="A64" s="762" t="s">
        <v>2679</v>
      </c>
      <c r="B64" s="758"/>
      <c r="C64" s="763"/>
      <c r="D64" s="763"/>
      <c r="E64" s="763"/>
      <c r="F64" s="764"/>
      <c r="G64" s="764"/>
      <c r="H64" s="763"/>
      <c r="I64" s="763"/>
      <c r="J64" s="763"/>
      <c r="K64" s="765"/>
      <c r="L64" s="766"/>
      <c r="M64" s="763"/>
      <c r="N64" s="763"/>
      <c r="O64" s="1161"/>
      <c r="P64" s="503"/>
      <c r="Q64" s="504"/>
    </row>
    <row r="65" spans="1:17" s="508" customFormat="1" ht="15">
      <c r="A65" s="2713" t="s">
        <v>2786</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8" t="s">
        <v>2805</v>
      </c>
      <c r="B66" s="332" t="str">
        <f>"北京市平均增长率"&amp;TEXT(基准地价修正!P24,"0.00%")</f>
        <v>北京市平均增长率1.28%</v>
      </c>
      <c r="C66" s="603">
        <v>100</v>
      </c>
      <c r="D66" s="595"/>
      <c r="E66" s="595"/>
      <c r="F66" s="595"/>
      <c r="G66" s="595"/>
      <c r="H66" s="595"/>
      <c r="I66" s="595"/>
      <c r="J66" s="595"/>
      <c r="K66" s="595"/>
      <c r="L66" s="595"/>
      <c r="M66" s="1569"/>
      <c r="N66" s="1569"/>
      <c r="O66" s="1571"/>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2593</v>
      </c>
      <c r="B70" s="528" t="s">
        <v>2559</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2562</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2788</v>
      </c>
      <c r="C87" s="573" t="s">
        <v>2602</v>
      </c>
      <c r="D87" s="573" t="s">
        <v>2603</v>
      </c>
      <c r="E87" s="573" t="s">
        <v>2604</v>
      </c>
      <c r="F87" s="573" t="s">
        <v>2605</v>
      </c>
      <c r="G87" s="573" t="s">
        <v>2606</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2789</v>
      </c>
      <c r="C89" s="573" t="s">
        <v>2602</v>
      </c>
      <c r="D89" s="573" t="s">
        <v>2603</v>
      </c>
      <c r="E89" s="573" t="s">
        <v>2604</v>
      </c>
      <c r="F89" s="573" t="s">
        <v>2605</v>
      </c>
      <c r="G89" s="573" t="s">
        <v>2606</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2806</v>
      </c>
      <c r="C93" s="659" t="s">
        <v>2680</v>
      </c>
      <c r="D93" s="659" t="s">
        <v>2681</v>
      </c>
      <c r="E93" s="659" t="s">
        <v>2682</v>
      </c>
      <c r="F93" s="659" t="s">
        <v>2683</v>
      </c>
      <c r="G93" s="659" t="s">
        <v>2684</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2696</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2755</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2568</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2795</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2797</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2798</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2807</v>
      </c>
      <c r="B1" s="241"/>
      <c r="C1" s="245" t="s">
        <v>2808</v>
      </c>
      <c r="D1" s="388">
        <f>SUM(D29:D30,D33:D39)</f>
        <v>0</v>
      </c>
      <c r="E1" s="2719"/>
      <c r="F1" s="2719"/>
      <c r="G1" s="2719"/>
      <c r="H1" s="2719"/>
      <c r="I1" s="2719"/>
      <c r="J1" s="2719"/>
      <c r="K1" s="1372"/>
      <c r="L1" s="2720" t="s">
        <v>2809</v>
      </c>
      <c r="M1" s="1082">
        <f>SUMPRODUCT((区片价!B5:B9=I2)*(区片价!C3:F3=E2)*(区片价!C5:F9))</f>
        <v>0</v>
      </c>
      <c r="N1" s="1085">
        <f>SUMPRODUCT((因素修正幅度!B5:B9=I2)*(因素修正幅度!C3:F3=E2)*(因素修正幅度!C5:F9))</f>
        <v>0</v>
      </c>
      <c r="O1" s="2721"/>
      <c r="P1" s="2721"/>
      <c r="Q1" s="1372"/>
      <c r="R1" s="1604" t="s">
        <v>2810</v>
      </c>
      <c r="S1" s="1604" t="s">
        <v>2811</v>
      </c>
      <c r="T1" s="1604" t="s">
        <v>2812</v>
      </c>
      <c r="U1" s="1604" t="s">
        <v>2813</v>
      </c>
      <c r="V1" s="1604" t="s">
        <v>2814</v>
      </c>
      <c r="W1" s="1608"/>
      <c r="X1" s="1608"/>
      <c r="Y1" s="1608"/>
      <c r="Z1" s="1608"/>
      <c r="AA1" s="1608"/>
      <c r="AB1" s="1608"/>
      <c r="AC1" s="1609"/>
      <c r="AD1" s="1610"/>
      <c r="AE1" s="1610"/>
      <c r="AF1" s="1610"/>
      <c r="AG1" s="1610"/>
      <c r="AH1" s="1610"/>
      <c r="AI1" s="1610"/>
      <c r="AJ1" s="1611"/>
    </row>
    <row r="2" spans="1:36" ht="15.75">
      <c r="A2" s="245" t="s">
        <v>2815</v>
      </c>
      <c r="B2" s="248" t="e">
        <f>C26</f>
        <v>#DIV/0!</v>
      </c>
      <c r="C2" s="2723" t="s">
        <v>2816</v>
      </c>
      <c r="D2" s="2724" t="s">
        <v>2817</v>
      </c>
      <c r="E2" s="2725"/>
      <c r="F2" s="2724" t="s">
        <v>2818</v>
      </c>
      <c r="G2" s="2726">
        <f>IF(E2="商业",项目基本情况!B37,IF(E2="办公",项目基本情况!C37,IF(E2="住宅",项目基本情况!D37,项目基本情况!E37)))</f>
        <v>0</v>
      </c>
      <c r="H2" s="2724" t="s">
        <v>2819</v>
      </c>
      <c r="I2" s="2726">
        <f>IF(E2="商业",项目基本情况!B38,IF(E2="办公",项目基本情况!C38,IF(E2="住宅",项目基本情况!D38,项目基本情况!E38)))</f>
        <v>0</v>
      </c>
      <c r="J2" s="2727"/>
      <c r="K2" s="1372"/>
      <c r="L2" s="2728" t="s">
        <v>2820</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2821</v>
      </c>
      <c r="B3" s="248" t="e">
        <f>ROUND(B2*10000/D1,0)</f>
        <v>#DIV/0!</v>
      </c>
      <c r="C3" s="2723" t="s">
        <v>2822</v>
      </c>
      <c r="D3" s="2724" t="s">
        <v>2823</v>
      </c>
      <c r="E3" s="2729"/>
      <c r="F3" s="2730" t="s">
        <v>2824</v>
      </c>
      <c r="G3" s="915">
        <f>IF(F3="宗地容积率",'数据-汇总表'!I4,IF(F3="估价对象容积率",'数据-汇总表'!I6,'数据-汇总表'!I7))</f>
        <v>2.1800000000000002</v>
      </c>
      <c r="H3" s="198" t="s">
        <v>2825</v>
      </c>
      <c r="I3" s="946"/>
      <c r="J3" s="2727" t="s">
        <v>2826</v>
      </c>
      <c r="K3" s="1372"/>
      <c r="L3" s="2728" t="s">
        <v>2827</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83"/>
      <c r="B4" s="3284"/>
      <c r="C4" s="3284"/>
      <c r="D4" s="3285"/>
      <c r="E4" s="3285"/>
      <c r="F4" s="3285"/>
      <c r="G4" s="3285"/>
      <c r="H4" s="3285"/>
      <c r="I4" s="3285"/>
      <c r="J4" s="3286"/>
      <c r="K4" s="1372"/>
      <c r="L4" s="2728" t="s">
        <v>2828</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2829</v>
      </c>
      <c r="C5" s="916" t="e">
        <f>ROUND(IF(E2="商业",IF(F16="增加",C6*C7+C16,C6*C7-C16),IF(E2="住宅",IF(F16="增加",C6*C12+C16,C6*C12-C16),IF(F16="增加",C6+C16,C6-C16))),0)</f>
        <v>#DIV/0!</v>
      </c>
      <c r="D5" s="1787">
        <f>ROUND(IF(E2="商业",IF(F16="增加",C6+C16,C6-C16)),0)</f>
        <v>0</v>
      </c>
      <c r="E5" s="2733"/>
      <c r="F5" s="2733"/>
      <c r="G5" s="2734"/>
      <c r="H5" s="2734"/>
      <c r="I5" s="2734"/>
      <c r="J5" s="2735"/>
      <c r="K5" s="2736"/>
      <c r="L5" s="2728" t="s">
        <v>2830</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2831</v>
      </c>
      <c r="B6" s="2742" t="s">
        <v>2832</v>
      </c>
      <c r="C6" s="917">
        <f>SUMIF(L1:L12,G2,M1:M12)</f>
        <v>0</v>
      </c>
      <c r="D6" s="2743" t="s">
        <v>2833</v>
      </c>
      <c r="E6" s="2744"/>
      <c r="F6" s="2744"/>
      <c r="G6" s="2745"/>
      <c r="H6" s="2745"/>
      <c r="I6" s="2745"/>
      <c r="J6" s="2746"/>
      <c r="K6" s="1842"/>
      <c r="L6" s="2728" t="s">
        <v>2834</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69" t="str">
        <f>IF(E2="商业",IF(C8="不临58条商业街","",2),"")</f>
        <v/>
      </c>
      <c r="B7" s="2747" t="s">
        <v>2835</v>
      </c>
      <c r="C7" s="918" t="e">
        <f>IF(C8="不临58条商业街",1,ROUND(1+(1.6*E8+1.2*E9+0.8*E10+0.4*E11)*C9,4))</f>
        <v>#DIV/0!</v>
      </c>
      <c r="D7" s="2748" t="s">
        <v>2836</v>
      </c>
      <c r="E7" s="947"/>
      <c r="F7" s="2749"/>
      <c r="G7" s="2750"/>
      <c r="H7" s="2750"/>
      <c r="I7" s="2750"/>
      <c r="J7" s="2751"/>
      <c r="K7" s="1842"/>
      <c r="L7" s="2728" t="s">
        <v>2837</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6" t="s">
        <v>2838</v>
      </c>
      <c r="X7" s="1606">
        <f>G2</f>
        <v>0</v>
      </c>
      <c r="Y7" s="1606" t="s">
        <v>2839</v>
      </c>
      <c r="Z7" s="1607">
        <f>G3</f>
        <v>2.1800000000000002</v>
      </c>
      <c r="AA7" s="1608"/>
      <c r="AB7" s="1608"/>
      <c r="AC7" s="1609"/>
      <c r="AD7" s="1610"/>
      <c r="AE7" s="1610"/>
      <c r="AF7" s="1610"/>
      <c r="AG7" s="1610"/>
      <c r="AH7" s="1610"/>
      <c r="AI7" s="1610"/>
      <c r="AJ7" s="1611"/>
    </row>
    <row r="8" spans="1:36" ht="15">
      <c r="A8" s="3270"/>
      <c r="B8" s="198" t="s">
        <v>2840</v>
      </c>
      <c r="C8" s="2752"/>
      <c r="D8" s="919" t="s">
        <v>139</v>
      </c>
      <c r="E8" s="920" t="e">
        <f>ROUND(C11/E7,4)</f>
        <v>#DIV/0!</v>
      </c>
      <c r="F8" s="2753" t="s">
        <v>2841</v>
      </c>
      <c r="G8" s="2754"/>
      <c r="H8" s="2754"/>
      <c r="I8" s="2754"/>
      <c r="J8" s="2755"/>
      <c r="K8" s="1372"/>
      <c r="L8" s="2728" t="s">
        <v>2842</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80" t="s">
        <v>2843</v>
      </c>
      <c r="X8" s="3281"/>
      <c r="Y8" s="1612" t="s">
        <v>2844</v>
      </c>
      <c r="Z8" s="1612" t="s">
        <v>2845</v>
      </c>
      <c r="AA8" s="1612" t="s">
        <v>2846</v>
      </c>
      <c r="AB8" s="1612" t="s">
        <v>2847</v>
      </c>
      <c r="AC8" s="1612" t="s">
        <v>2848</v>
      </c>
      <c r="AD8" s="1612" t="s">
        <v>2849</v>
      </c>
      <c r="AE8" s="1612" t="s">
        <v>2850</v>
      </c>
      <c r="AF8" s="1612" t="s">
        <v>2851</v>
      </c>
      <c r="AG8" s="1612" t="s">
        <v>2852</v>
      </c>
      <c r="AH8" s="1612" t="s">
        <v>2853</v>
      </c>
      <c r="AI8" s="1612" t="s">
        <v>2854</v>
      </c>
      <c r="AJ8" s="1612" t="s">
        <v>2855</v>
      </c>
    </row>
    <row r="9" spans="1:36" ht="15">
      <c r="A9" s="3270"/>
      <c r="B9" s="198" t="s">
        <v>2856</v>
      </c>
      <c r="C9" s="921">
        <f>SUMIF(修正!C59:C119,C8,修正!E59:E119)</f>
        <v>0</v>
      </c>
      <c r="D9" s="200" t="s">
        <v>140</v>
      </c>
      <c r="E9" s="200" t="e">
        <f>ROUND(C11/E7,4)</f>
        <v>#DIV/0!</v>
      </c>
      <c r="F9" s="2753" t="s">
        <v>2857</v>
      </c>
      <c r="G9" s="2754"/>
      <c r="H9" s="2754"/>
      <c r="I9" s="2754"/>
      <c r="J9" s="2755"/>
      <c r="K9" s="1372"/>
      <c r="L9" s="2728" t="s">
        <v>2858</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82" t="s">
        <v>2859</v>
      </c>
      <c r="X9" s="1613" t="s">
        <v>2860</v>
      </c>
      <c r="Y9" s="1772"/>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0"/>
      <c r="B10" s="198" t="s">
        <v>2861</v>
      </c>
      <c r="C10" s="200">
        <f>SUMIF(修正!C59:C119,C8,修正!F59:F119)</f>
        <v>0</v>
      </c>
      <c r="D10" s="200" t="s">
        <v>141</v>
      </c>
      <c r="E10" s="200" t="e">
        <f>ROUND(C11/E7,4)</f>
        <v>#DIV/0!</v>
      </c>
      <c r="F10" s="2753" t="s">
        <v>2862</v>
      </c>
      <c r="G10" s="2754"/>
      <c r="H10" s="2754"/>
      <c r="I10" s="2754"/>
      <c r="J10" s="2755"/>
      <c r="K10" s="1372"/>
      <c r="L10" s="2728" t="s">
        <v>2863</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8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0"/>
      <c r="B11" s="2756" t="s">
        <v>2864</v>
      </c>
      <c r="C11" s="922">
        <f>C10/4</f>
        <v>0</v>
      </c>
      <c r="D11" s="922" t="s">
        <v>142</v>
      </c>
      <c r="E11" s="922" t="e">
        <f>ROUND(C11/E7,4)</f>
        <v>#DIV/0!</v>
      </c>
      <c r="F11" s="2757" t="s">
        <v>2865</v>
      </c>
      <c r="G11" s="2758"/>
      <c r="H11" s="2758"/>
      <c r="I11" s="2758"/>
      <c r="J11" s="2759"/>
      <c r="K11" s="1372"/>
      <c r="L11" s="2728" t="s">
        <v>2866</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82" t="s">
        <v>2867</v>
      </c>
      <c r="X11" s="1616" t="s">
        <v>2868</v>
      </c>
      <c r="Y11" s="1617">
        <f>$G$3</f>
        <v>2.1800000000000002</v>
      </c>
      <c r="Z11" s="1617">
        <f t="shared" ref="Z11:AJ11" si="3">$G$3</f>
        <v>2.1800000000000002</v>
      </c>
      <c r="AA11" s="1617">
        <f t="shared" si="3"/>
        <v>2.1800000000000002</v>
      </c>
      <c r="AB11" s="1617">
        <f t="shared" si="3"/>
        <v>2.1800000000000002</v>
      </c>
      <c r="AC11" s="1617">
        <f t="shared" si="3"/>
        <v>2.1800000000000002</v>
      </c>
      <c r="AD11" s="1617">
        <f t="shared" si="3"/>
        <v>2.1800000000000002</v>
      </c>
      <c r="AE11" s="1617">
        <f t="shared" si="3"/>
        <v>2.1800000000000002</v>
      </c>
      <c r="AF11" s="1617">
        <f t="shared" si="3"/>
        <v>2.1800000000000002</v>
      </c>
      <c r="AG11" s="1617">
        <f t="shared" si="3"/>
        <v>2.1800000000000002</v>
      </c>
      <c r="AH11" s="1617">
        <f t="shared" si="3"/>
        <v>2.1800000000000002</v>
      </c>
      <c r="AI11" s="1617">
        <f t="shared" si="3"/>
        <v>2.1800000000000002</v>
      </c>
      <c r="AJ11" s="1617">
        <f t="shared" si="3"/>
        <v>2.1800000000000002</v>
      </c>
    </row>
    <row r="12" spans="1:36" ht="25.5" thickBot="1">
      <c r="A12" s="3269" t="s">
        <v>2869</v>
      </c>
      <c r="B12" s="2760" t="s">
        <v>2870</v>
      </c>
      <c r="C12" s="918">
        <f>ROUND(C15*D15*E15*F15*G15*H15*I15*J15,4)</f>
        <v>1</v>
      </c>
      <c r="D12" s="2761" t="s">
        <v>2871</v>
      </c>
      <c r="E12" s="2762"/>
      <c r="F12" s="2762"/>
      <c r="G12" s="2763"/>
      <c r="H12" s="2763"/>
      <c r="I12" s="2763"/>
      <c r="J12" s="2764"/>
      <c r="K12" s="1372"/>
      <c r="L12" s="2765" t="s">
        <v>2872</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82"/>
      <c r="X12" s="1618" t="s">
        <v>2873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7"/>
      <c r="B13" s="2766" t="s">
        <v>2874</v>
      </c>
      <c r="C13" s="2767" t="s">
        <v>2875</v>
      </c>
      <c r="D13" s="1808" t="s">
        <v>2876</v>
      </c>
      <c r="E13" s="1808" t="s">
        <v>2877</v>
      </c>
      <c r="F13" s="30" t="s">
        <v>2878</v>
      </c>
      <c r="G13" s="2768" t="s">
        <v>2879</v>
      </c>
      <c r="H13" s="2768" t="s">
        <v>2879</v>
      </c>
      <c r="I13" s="2768" t="s">
        <v>2879</v>
      </c>
      <c r="J13" s="2769" t="s">
        <v>2879</v>
      </c>
      <c r="K13" s="1372"/>
      <c r="L13" s="1372"/>
      <c r="M13" s="1372"/>
      <c r="N13" s="1372"/>
      <c r="O13" s="1372"/>
      <c r="P13" s="1372"/>
      <c r="Q13" s="1372"/>
      <c r="R13" s="1604">
        <v>12</v>
      </c>
      <c r="S13" s="1605"/>
      <c r="T13" s="1604" t="e">
        <f t="shared" si="0"/>
        <v>#DIV/0!</v>
      </c>
      <c r="U13" s="1605"/>
      <c r="V13" s="1604" t="e">
        <f t="shared" si="1"/>
        <v>#DIV/0!</v>
      </c>
      <c r="W13" s="3282"/>
      <c r="X13" s="1618"/>
      <c r="Y13" s="1615">
        <f>(-0.163*(Y12^2)-0.59*Y12+7617)*(10^(-4))/Y11</f>
        <v>0.34940366972477066</v>
      </c>
      <c r="Z13" s="1615">
        <f t="shared" ref="Z13:AJ13" si="5">(-0.163*(Z12^2)-0.59*Z12+7617)*(10^(-4))/Z11</f>
        <v>0.34940366972477066</v>
      </c>
      <c r="AA13" s="1615">
        <f t="shared" si="5"/>
        <v>0.34940366972477066</v>
      </c>
      <c r="AB13" s="1615">
        <f t="shared" si="5"/>
        <v>0.34940366972477066</v>
      </c>
      <c r="AC13" s="1615">
        <f t="shared" si="5"/>
        <v>0.34940366972477066</v>
      </c>
      <c r="AD13" s="1615">
        <f t="shared" si="5"/>
        <v>0.34940366972477066</v>
      </c>
      <c r="AE13" s="1615">
        <f t="shared" si="5"/>
        <v>0.34940366972477066</v>
      </c>
      <c r="AF13" s="1615">
        <f t="shared" si="5"/>
        <v>0.34940366972477066</v>
      </c>
      <c r="AG13" s="1615">
        <f t="shared" si="5"/>
        <v>0.34940366972477066</v>
      </c>
      <c r="AH13" s="1615">
        <f t="shared" si="5"/>
        <v>0.34940366972477066</v>
      </c>
      <c r="AI13" s="1615">
        <f t="shared" si="5"/>
        <v>0.34940366972477066</v>
      </c>
      <c r="AJ13" s="1615">
        <f t="shared" si="5"/>
        <v>0.34940366972477066</v>
      </c>
    </row>
    <row r="14" spans="1:36" ht="15">
      <c r="A14" s="3287"/>
      <c r="B14" s="2770"/>
      <c r="C14" s="2771"/>
      <c r="D14" s="2772"/>
      <c r="E14" s="2772"/>
      <c r="F14" s="2773"/>
      <c r="G14" s="2774" t="s">
        <v>2880</v>
      </c>
      <c r="H14" s="2775"/>
      <c r="I14" s="2776"/>
      <c r="J14" s="2777"/>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8"/>
      <c r="B15" s="2778" t="s">
        <v>2881</v>
      </c>
      <c r="C15" s="229">
        <f>IF(C14="有",1.1,1)</f>
        <v>1</v>
      </c>
      <c r="D15" s="229">
        <f>IF(D14="有",1.1,1)</f>
        <v>1</v>
      </c>
      <c r="E15" s="229">
        <f>IF(E14="有",1.1,1)</f>
        <v>1</v>
      </c>
      <c r="F15" s="229">
        <f>IF(F14="500米范围内",1.2,IF(F14="500-1000米",1.1,1))</f>
        <v>1</v>
      </c>
      <c r="G15" s="948">
        <v>1</v>
      </c>
      <c r="H15" s="948">
        <v>1</v>
      </c>
      <c r="I15" s="948">
        <v>1</v>
      </c>
      <c r="J15" s="949">
        <v>1</v>
      </c>
      <c r="K15" s="1372"/>
      <c r="L15" s="2779" t="s">
        <v>2817</v>
      </c>
      <c r="M15" s="919" t="s">
        <v>2882</v>
      </c>
      <c r="N15" s="919" t="s">
        <v>2883</v>
      </c>
      <c r="O15" s="919" t="s">
        <v>2884</v>
      </c>
      <c r="P15" s="2780" t="s">
        <v>2885</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9" t="s">
        <v>2886</v>
      </c>
      <c r="B16" s="2747" t="s">
        <v>2887</v>
      </c>
      <c r="C16" s="1801" t="e">
        <f>ROUND(SUM(G17:J17)/C17,0)</f>
        <v>#DIV/0!</v>
      </c>
      <c r="D16" s="2781" t="s">
        <v>2888</v>
      </c>
      <c r="E16" s="2782"/>
      <c r="F16" s="2783"/>
      <c r="G16" s="2784"/>
      <c r="H16" s="2784"/>
      <c r="I16" s="2784"/>
      <c r="J16" s="2785"/>
      <c r="K16" s="1372"/>
      <c r="L16" s="2786" t="s">
        <v>2889</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0"/>
      <c r="B17" s="2787" t="s">
        <v>2890</v>
      </c>
      <c r="C17" s="923">
        <f>SUMPRODUCT((修正!A2:A5=E2)*(修正!B1:M1=G2)*(修正!B2:M5))</f>
        <v>0</v>
      </c>
      <c r="D17" s="2788" t="s">
        <v>2891</v>
      </c>
      <c r="E17" s="922" t="str">
        <f>IF(OR(G2="八级",G2="九级",G2="十级",G2="十一级",G2="十二级"),"五通一平","七通一平")</f>
        <v>七通一平</v>
      </c>
      <c r="F17" s="923" t="s">
        <v>2892</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9" t="s">
        <v>2893</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2894</v>
      </c>
      <c r="C18" s="925">
        <f>SUMIF(修正!C18:C39,E3,修正!E18:E39)</f>
        <v>0</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809</v>
      </c>
      <c r="B19" s="2792" t="s">
        <v>2895</v>
      </c>
      <c r="C19" s="926" t="e">
        <f>ROUND(IF(H19="按公示增长率计算",SUMPRODUCT((地价!A3:A23=YEAR(G19)&amp;"-"&amp;ROUNDUP(MONTH(G19)/3,0))*(地价!X2:AB2=E2)*(地价!X3:AB23)),IF(H19="地价指数",M20/M19,(1+I19)^O19)),4)</f>
        <v>#DIV/0!</v>
      </c>
      <c r="D19" s="2799" t="s">
        <v>2896</v>
      </c>
      <c r="E19" s="927">
        <v>41640</v>
      </c>
      <c r="F19" s="2799" t="s">
        <v>2897</v>
      </c>
      <c r="G19" s="928">
        <f>'数据-取费表'!B2</f>
        <v>43296</v>
      </c>
      <c r="H19" s="2800" t="s">
        <v>2898</v>
      </c>
      <c r="I19" s="929" t="str">
        <f>IF(H19="季度增幅（自定义）",SUMIF(N21:N24,E2,O21:O24),"")</f>
        <v/>
      </c>
      <c r="J19" s="2797"/>
      <c r="K19" s="1379"/>
      <c r="L19" s="2801" t="s">
        <v>2899</v>
      </c>
      <c r="M19" s="1736">
        <f>ROUND(SUMIF(地价!B2:F2,E2,地价!B23:F23),0)</f>
        <v>0</v>
      </c>
      <c r="N19" s="2802" t="s">
        <v>2900</v>
      </c>
      <c r="O19" s="930">
        <f>ROUNDDOWN(DATEDIF(E19,G19,"M")/3,0)</f>
        <v>18</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2901</v>
      </c>
      <c r="C20" s="931" t="e">
        <f>ROUND(POWER(1+G20,J20-I20)*(POWER(1+G20,I20)-1)/(POWER(1+G20,J20)-1),4)</f>
        <v>#DIV/0!</v>
      </c>
      <c r="D20" s="2808" t="s">
        <v>2902</v>
      </c>
      <c r="E20" s="1770">
        <f ca="1">存贷款利率!D4/100</f>
        <v>4.3499999999999997E-2</v>
      </c>
      <c r="F20" s="2808" t="s">
        <v>2893</v>
      </c>
      <c r="G20" s="936">
        <f>SUMIF(M15:P15,E2,M17:P17)</f>
        <v>0</v>
      </c>
      <c r="H20" s="2808" t="s">
        <v>2903</v>
      </c>
      <c r="I20" s="937" t="e">
        <f>SUMIF('数据-取费表'!C6:C15,E2,'数据-取费表'!F6:F15)/COUNTIF('数据-取费表'!C6:C15,E2)</f>
        <v>#DIV/0!</v>
      </c>
      <c r="J20" s="938">
        <f>IF(E2="住宅",70,IF(E2="商业",40,50))</f>
        <v>50</v>
      </c>
      <c r="K20" s="1379"/>
      <c r="L20" s="2809" t="s">
        <v>2904</v>
      </c>
      <c r="M20" s="1737">
        <f>ROUND(SUMPRODUCT((地价!A4:A23=YEAR(G19)&amp;"-"&amp;ROUNDUP(MONTH(G19)/3,0))*(地价!B2:F2=E2)*(地价!B4:F23)),0)</f>
        <v>0</v>
      </c>
      <c r="N20" s="2810" t="s">
        <v>2905</v>
      </c>
      <c r="O20" s="2811" t="s">
        <v>2906</v>
      </c>
      <c r="P20" s="2812" t="s">
        <v>2907</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2908</v>
      </c>
      <c r="C21" s="939">
        <f>IF(B21="容积率修正",IF(G3&lt;=10,D22,J22),C23)</f>
        <v>0</v>
      </c>
      <c r="D21" s="2815"/>
      <c r="E21" s="2815"/>
      <c r="F21" s="2815"/>
      <c r="G21" s="2815"/>
      <c r="H21" s="2815"/>
      <c r="I21" s="2815"/>
      <c r="J21" s="2816"/>
      <c r="K21" s="1379"/>
      <c r="N21" s="2817" t="s">
        <v>2909</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40" customFormat="1" ht="14.25">
      <c r="A22" s="2666" t="s">
        <v>2910</v>
      </c>
      <c r="B22" s="2818" t="s">
        <v>2911</v>
      </c>
      <c r="C22" s="1810" t="s">
        <v>2912</v>
      </c>
      <c r="D22" s="1810">
        <f>IF(E22=G22,F22,IF(G3&lt;=10,ROUND(F22+(H22-F22)*(G3-E22)/(G22-E22),4),"——"))</f>
        <v>0</v>
      </c>
      <c r="E22" s="915">
        <f>ROUNDDOWN(G3,1)</f>
        <v>2.1</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2.2000000000000002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40" t="str">
        <f>IF(G3&gt;10,D113,"——")</f>
        <v>——</v>
      </c>
      <c r="K22" s="1379"/>
      <c r="N22" s="2817" t="s">
        <v>2913</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6" t="s">
        <v>2914</v>
      </c>
      <c r="B23" s="2819" t="s">
        <v>2915</v>
      </c>
      <c r="C23" s="1015">
        <f>ROUND(IF(G3&gt;1,IF(I3&lt;7,SUMPRODUCT((B93:B98=I3)*(C92:N92=G2)*(C93:N98)),SUMIF(C92:N92,G2,C100:N100)),IF(I3&lt;7,SUMPRODUCT((B102:B107=I3)*(C92:N92=G2)*(C102:N107)),SUMIF(C92:N92,G2,C109:N109))),4)</f>
        <v>0</v>
      </c>
      <c r="D23" s="2775"/>
      <c r="E23" s="2775"/>
      <c r="F23" s="2820"/>
      <c r="G23" s="2821"/>
      <c r="H23" s="2822"/>
      <c r="I23" s="2823"/>
      <c r="J23" s="2824"/>
      <c r="K23" s="1372"/>
      <c r="N23" s="2817" t="s">
        <v>2916</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2917</v>
      </c>
      <c r="C24" s="926">
        <f>SUMIF(A45:A88,E2,B45:B88)</f>
        <v>0</v>
      </c>
      <c r="D24" s="2795"/>
      <c r="E24" s="2825"/>
      <c r="F24" s="2825"/>
      <c r="G24" s="2825"/>
      <c r="H24" s="2825"/>
      <c r="I24" s="2825"/>
      <c r="J24" s="2826"/>
      <c r="K24" s="1379"/>
      <c r="N24" s="2827" t="s">
        <v>2918</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2919</v>
      </c>
      <c r="C25" s="932"/>
      <c r="D25" s="2750"/>
      <c r="E25" s="2750"/>
      <c r="F25" s="2829"/>
      <c r="G25" s="2750"/>
      <c r="H25" s="2750"/>
      <c r="I25" s="2750"/>
      <c r="J25" s="2751"/>
      <c r="K25" s="1372"/>
      <c r="N25" s="2830" t="s">
        <v>2920</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31"/>
      <c r="B26" s="2818" t="s">
        <v>2921</v>
      </c>
      <c r="C26" s="206" t="e">
        <f>E29+SUM(E33:E39)</f>
        <v>#DIV/0!</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2922</v>
      </c>
      <c r="C27" s="933" t="e">
        <f>E30+SUM(I33:I39)</f>
        <v>#DIV/0!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2923</v>
      </c>
      <c r="C28" s="2842" t="s">
        <v>2924</v>
      </c>
      <c r="D28" s="2842" t="s">
        <v>2925</v>
      </c>
      <c r="E28" s="2843" t="s">
        <v>2926</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2927</v>
      </c>
      <c r="C29" s="206" t="e">
        <f>ROUND(C5*C18*C19*C20*C21*C24,0)</f>
        <v>#DIV/0!</v>
      </c>
      <c r="D29" s="2847"/>
      <c r="E29" s="944" t="e">
        <f>ROUND(C29*D29/10000,0)</f>
        <v>#DIV/0!</v>
      </c>
      <c r="F29" s="2848" t="s">
        <v>2928</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2929</v>
      </c>
      <c r="C30" s="229" t="e">
        <f>ROUND(IF(E2="工业",C29*M39,C29*M38),0)</f>
        <v>#DIV/0!</v>
      </c>
      <c r="D30" s="2853"/>
      <c r="E30" s="944" t="e">
        <f>ROUND(C30*D30/10000,0)</f>
        <v>#DIV/0!</v>
      </c>
      <c r="F30" s="2854" t="s">
        <v>2930</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2931</v>
      </c>
      <c r="C31" s="2859" t="s">
        <v>2932</v>
      </c>
      <c r="D31" s="2763"/>
      <c r="E31" s="2859"/>
      <c r="F31" s="2859"/>
      <c r="G31" s="2761" t="s">
        <v>2933</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2924</v>
      </c>
      <c r="D32" s="498" t="s">
        <v>2925</v>
      </c>
      <c r="E32" s="498" t="s">
        <v>2926</v>
      </c>
      <c r="F32" s="388" t="s">
        <v>2934</v>
      </c>
      <c r="G32" s="2862" t="s">
        <v>2924</v>
      </c>
      <c r="H32" s="2862" t="s">
        <v>2925</v>
      </c>
      <c r="I32" s="2862" t="s">
        <v>2926</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77" t="s">
        <v>2935</v>
      </c>
      <c r="B33" s="2863" t="s">
        <v>2936</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8"/>
      <c r="B34" s="2767" t="s">
        <v>2937</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8"/>
      <c r="B35" s="2767" t="s">
        <v>2938</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2"/>
      <c r="L35" s="1372"/>
      <c r="M35" s="1372"/>
      <c r="N35" s="1372"/>
      <c r="O35" s="1372"/>
      <c r="P35" s="1372"/>
      <c r="Q35" s="1372"/>
      <c r="R35" s="1372"/>
      <c r="S35" s="1372"/>
      <c r="T35" s="1372"/>
      <c r="U35" s="1372"/>
      <c r="V35" s="1372"/>
      <c r="W35" s="1372"/>
      <c r="X35" s="1372"/>
      <c r="Y35" s="1372"/>
      <c r="Z35" s="1373"/>
    </row>
    <row r="36" spans="1:37" ht="13.5" thickBot="1">
      <c r="A36" s="3279"/>
      <c r="B36" s="2767" t="s">
        <v>2939</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2940</v>
      </c>
      <c r="C37" s="200" t="e">
        <f>ROUND(C5*C19*C20*C24*F37,0)</f>
        <v>#DIV/0!</v>
      </c>
      <c r="D37" s="2847"/>
      <c r="E37" s="200" t="e">
        <f t="shared" si="7"/>
        <v>#DIV/0!</v>
      </c>
      <c r="F37" s="206">
        <f>SUMIF(修正!A45:A56,G2,修正!F45:F56)</f>
        <v>0</v>
      </c>
      <c r="G37" s="200" t="e">
        <f>ROUND(IF(E2="工业",C37*$M$39,C37*$M$38),0)</f>
        <v>#DIV/0!</v>
      </c>
      <c r="H37" s="200">
        <f t="shared" si="8"/>
        <v>0</v>
      </c>
      <c r="I37" s="200" t="e">
        <f t="shared" si="9"/>
        <v>#DIV/0!</v>
      </c>
      <c r="J37" s="2864"/>
      <c r="K37" s="1372"/>
      <c r="L37" s="2866" t="s">
        <v>2941</v>
      </c>
      <c r="M37" s="2867"/>
      <c r="N37" s="1372"/>
      <c r="O37" s="1372"/>
      <c r="P37" s="1372"/>
      <c r="Q37" s="1372"/>
      <c r="R37" s="1372"/>
      <c r="S37" s="1372"/>
      <c r="T37" s="1372"/>
      <c r="U37" s="1372"/>
      <c r="V37" s="1372"/>
      <c r="W37" s="1372"/>
      <c r="X37" s="1372"/>
      <c r="Y37" s="1372"/>
      <c r="Z37" s="1373"/>
    </row>
    <row r="38" spans="1:37">
      <c r="A38" s="2865"/>
      <c r="B38" s="2767" t="s">
        <v>2942</v>
      </c>
      <c r="C38" s="200" t="e">
        <f>ROUND(C5*C19*C20*C24*F38,0)</f>
        <v>#DIV/0!</v>
      </c>
      <c r="D38" s="2847"/>
      <c r="E38" s="200" t="e">
        <f t="shared" si="7"/>
        <v>#DIV/0!</v>
      </c>
      <c r="F38" s="206">
        <f>SUMIF(修正!A45:A56,G2,修正!G45:G56)</f>
        <v>0</v>
      </c>
      <c r="G38" s="200" t="e">
        <f>ROUND(IF(E2="工业",C38*$M$39,C38*$M$38),0)</f>
        <v>#DIV/0!</v>
      </c>
      <c r="H38" s="200">
        <f t="shared" si="8"/>
        <v>0</v>
      </c>
      <c r="I38" s="200" t="e">
        <f t="shared" si="9"/>
        <v>#DIV/0!</v>
      </c>
      <c r="J38" s="2864"/>
      <c r="K38" s="1372"/>
      <c r="L38" s="1887" t="s">
        <v>2943</v>
      </c>
      <c r="M38" s="2868">
        <v>0.25</v>
      </c>
      <c r="N38" s="1372"/>
      <c r="O38" s="1372"/>
      <c r="P38" s="1372"/>
      <c r="Q38" s="1372"/>
      <c r="R38" s="1372"/>
      <c r="S38" s="1372"/>
      <c r="T38" s="1372"/>
      <c r="U38" s="1372"/>
      <c r="V38" s="1372"/>
      <c r="W38" s="1372"/>
      <c r="X38" s="1372"/>
      <c r="Y38" s="1372"/>
      <c r="Z38" s="1373"/>
    </row>
    <row r="39" spans="1:37" ht="13.5" thickBot="1">
      <c r="A39" s="2851"/>
      <c r="B39" s="2869" t="s">
        <v>2944</v>
      </c>
      <c r="C39" s="229" t="e">
        <f>ROUND(C5*C19*C20*C24*F39,0)</f>
        <v>#DIV/0!</v>
      </c>
      <c r="D39" s="2853"/>
      <c r="E39" s="229" t="e">
        <f t="shared" si="7"/>
        <v>#DIV/0!</v>
      </c>
      <c r="F39" s="934">
        <f>SUMIF(修正!A45:A56,G2,修正!H45:H56)</f>
        <v>0</v>
      </c>
      <c r="G39" s="229" t="e">
        <f>ROUND(IF(E2="工业",C39*$M$39,C39*$M$38),0)</f>
        <v>#DIV/0!</v>
      </c>
      <c r="H39" s="229">
        <f t="shared" si="8"/>
        <v>0</v>
      </c>
      <c r="I39" s="229" t="e">
        <f t="shared" si="9"/>
        <v>#DIV/0!</v>
      </c>
      <c r="J39" s="2870"/>
      <c r="K39" s="1372"/>
      <c r="L39" s="2871" t="s">
        <v>2885</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2945</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2946</v>
      </c>
      <c r="B46" s="2877">
        <f>1+E48</f>
        <v>1</v>
      </c>
      <c r="C46" s="2878"/>
      <c r="D46" s="813"/>
      <c r="E46" s="814"/>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2947</v>
      </c>
      <c r="B47" s="1809" t="s">
        <v>2948</v>
      </c>
      <c r="C47" s="1809" t="s">
        <v>2949</v>
      </c>
      <c r="D47" s="1809" t="s">
        <v>2950</v>
      </c>
      <c r="E47" s="818" t="s">
        <v>2951</v>
      </c>
      <c r="F47" s="2881" t="s">
        <v>2952</v>
      </c>
      <c r="G47" s="1809" t="s">
        <v>754</v>
      </c>
      <c r="H47" s="2882" t="s">
        <v>2953</v>
      </c>
      <c r="I47" s="1809" t="s">
        <v>2954</v>
      </c>
      <c r="J47" s="603" t="s">
        <v>2602</v>
      </c>
      <c r="K47" s="603" t="s">
        <v>2603</v>
      </c>
      <c r="L47" s="603" t="s">
        <v>2604</v>
      </c>
      <c r="M47" s="603" t="s">
        <v>2605</v>
      </c>
      <c r="N47" s="603" t="s">
        <v>2606</v>
      </c>
      <c r="AA47" s="1373"/>
      <c r="AB47" s="1373"/>
      <c r="AC47" s="1373"/>
      <c r="AD47" s="1373"/>
      <c r="AE47" s="1373"/>
      <c r="AF47" s="1373"/>
      <c r="AG47" s="1373"/>
      <c r="AH47" s="1373"/>
      <c r="AI47" s="1373"/>
      <c r="AJ47" s="1373"/>
      <c r="AK47" s="1373"/>
    </row>
    <row r="48" spans="1:37" s="1372" customFormat="1" ht="38.25">
      <c r="A48" s="2880" t="s">
        <v>2955</v>
      </c>
      <c r="B48" s="2883" t="str">
        <f>估价对象房地状况!C4</f>
        <v>估价对象位于XX商圈，周边商业氛围成熟，人流量大，商业繁华度好</v>
      </c>
      <c r="C48" s="2772"/>
      <c r="D48" s="1288">
        <f t="shared" ref="D48:D56" si="10">SUMIF($J$47:$N$47,C48,J48:N48)</f>
        <v>0</v>
      </c>
      <c r="E48" s="820">
        <f>ROUND(SUM(D48:D56),4)</f>
        <v>0</v>
      </c>
      <c r="F48" s="2503"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0" t="s">
        <v>2956</v>
      </c>
      <c r="B49" s="2884" t="str">
        <f>估价对象房地状况!C18</f>
        <v>估价对象周边道路状况、公共交通通达情况、停车便捷程度，综合评价交通便捷度较好</v>
      </c>
      <c r="C49" s="2772"/>
      <c r="D49" s="1288">
        <f t="shared" si="10"/>
        <v>0</v>
      </c>
      <c r="E49" s="821"/>
      <c r="F49" s="2503"/>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2957</v>
      </c>
      <c r="B50" s="2884">
        <f>估价对象房地状况!C19</f>
        <v>0</v>
      </c>
      <c r="C50" s="2772"/>
      <c r="D50" s="1288">
        <f t="shared" si="10"/>
        <v>0</v>
      </c>
      <c r="E50" s="821"/>
      <c r="F50" s="2503"/>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2958</v>
      </c>
      <c r="B51" s="2885" t="s">
        <v>2959</v>
      </c>
      <c r="C51" s="2772"/>
      <c r="D51" s="1288">
        <f t="shared" si="10"/>
        <v>0</v>
      </c>
      <c r="E51" s="821"/>
      <c r="F51" s="2503"/>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2960</v>
      </c>
      <c r="B52" s="2884">
        <f>估价对象房地状况!C24</f>
        <v>0</v>
      </c>
      <c r="C52" s="2772"/>
      <c r="D52" s="1288">
        <f t="shared" si="10"/>
        <v>0</v>
      </c>
      <c r="E52" s="821"/>
      <c r="F52" s="2503"/>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2961</v>
      </c>
      <c r="B53" s="2886" t="s">
        <v>2962</v>
      </c>
      <c r="C53" s="2772"/>
      <c r="D53" s="1288">
        <f t="shared" si="10"/>
        <v>0</v>
      </c>
      <c r="E53" s="821"/>
      <c r="F53" s="2503"/>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7" t="s">
        <v>2963</v>
      </c>
      <c r="B54" s="1727" t="str">
        <f>估价对象房地状况!C21</f>
        <v>估价对象所在区域公共配套设施齐备情况</v>
      </c>
      <c r="C54" s="2772"/>
      <c r="D54" s="1288">
        <f t="shared" si="10"/>
        <v>0</v>
      </c>
      <c r="E54" s="821"/>
      <c r="F54" s="2503"/>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7" t="s">
        <v>2964</v>
      </c>
      <c r="B55" s="2884" t="str">
        <f>估价对象房地状况!C22</f>
        <v>估价对象所在区域基础设施水平</v>
      </c>
      <c r="C55" s="2772"/>
      <c r="D55" s="1288">
        <f t="shared" si="10"/>
        <v>0</v>
      </c>
      <c r="E55" s="821"/>
      <c r="F55" s="2503"/>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8" t="s">
        <v>2965</v>
      </c>
      <c r="B56" s="2889" t="str">
        <f>估价对象房地状况!C20</f>
        <v>区域自然环境：；人文环境；综合评价环境状况一般</v>
      </c>
      <c r="C56" s="2772"/>
      <c r="D56" s="1288">
        <f t="shared" si="10"/>
        <v>0</v>
      </c>
      <c r="E56" s="824"/>
      <c r="F56" s="2503"/>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2966</v>
      </c>
      <c r="B57" s="2877">
        <f>1+E59</f>
        <v>1</v>
      </c>
      <c r="C57" s="813"/>
      <c r="D57" s="813"/>
      <c r="E57" s="814"/>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2947</v>
      </c>
      <c r="B58" s="1809"/>
      <c r="C58" s="1809" t="s">
        <v>2949</v>
      </c>
      <c r="D58" s="1809" t="s">
        <v>2950</v>
      </c>
      <c r="E58" s="818" t="s">
        <v>2951</v>
      </c>
      <c r="F58" s="2881" t="s">
        <v>2967</v>
      </c>
      <c r="G58" s="1809" t="s">
        <v>754</v>
      </c>
      <c r="H58" s="2882" t="s">
        <v>2953</v>
      </c>
      <c r="I58" s="1809" t="s">
        <v>2954</v>
      </c>
      <c r="J58" s="603" t="s">
        <v>2602</v>
      </c>
      <c r="K58" s="603" t="s">
        <v>2603</v>
      </c>
      <c r="L58" s="603" t="s">
        <v>2604</v>
      </c>
      <c r="M58" s="603" t="s">
        <v>2605</v>
      </c>
      <c r="N58" s="603" t="s">
        <v>2606</v>
      </c>
      <c r="AA58" s="1373"/>
      <c r="AB58" s="1373"/>
      <c r="AC58" s="1373"/>
      <c r="AD58" s="1373"/>
      <c r="AE58" s="1373"/>
      <c r="AF58" s="1373"/>
      <c r="AG58" s="1373"/>
      <c r="AH58" s="1373"/>
      <c r="AI58" s="1373"/>
      <c r="AJ58" s="1373"/>
      <c r="AK58" s="1373"/>
    </row>
    <row r="59" spans="1:37" s="1372" customFormat="1" ht="38.25">
      <c r="A59" s="2880" t="s">
        <v>2968</v>
      </c>
      <c r="B59" s="2883" t="str">
        <f>估价对象房地状况!C17</f>
        <v>估价对象位于XX商圈，周边办公楼项目较多，入驻率高，办公集聚程度较好</v>
      </c>
      <c r="C59" s="2772"/>
      <c r="D59" s="1288">
        <f t="shared" ref="D59:D67" si="15">SUMIF($J$58:$N$58,C59,J59:N59)</f>
        <v>0</v>
      </c>
      <c r="E59" s="820">
        <f>ROUND(SUM(D59:D67),4)</f>
        <v>0</v>
      </c>
      <c r="F59" s="2503"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0" t="s">
        <v>2956</v>
      </c>
      <c r="B60" s="2884" t="str">
        <f>估价对象房地状况!C18</f>
        <v>估价对象周边道路状况、公共交通通达情况、停车便捷程度，综合评价交通便捷度较好</v>
      </c>
      <c r="C60" s="2772"/>
      <c r="D60" s="1288">
        <f t="shared" si="15"/>
        <v>0</v>
      </c>
      <c r="E60" s="821"/>
      <c r="F60" s="2503"/>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2957</v>
      </c>
      <c r="B61" s="2884">
        <f>估价对象房地状况!C19</f>
        <v>0</v>
      </c>
      <c r="C61" s="2772"/>
      <c r="D61" s="1288">
        <f t="shared" si="15"/>
        <v>0</v>
      </c>
      <c r="E61" s="821"/>
      <c r="F61" s="2503"/>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2958</v>
      </c>
      <c r="B62" s="2885" t="s">
        <v>2959</v>
      </c>
      <c r="C62" s="2772"/>
      <c r="D62" s="1288">
        <f t="shared" si="15"/>
        <v>0</v>
      </c>
      <c r="E62" s="821"/>
      <c r="F62" s="2503"/>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2960</v>
      </c>
      <c r="B63" s="2884">
        <f>估价对象房地状况!C24</f>
        <v>0</v>
      </c>
      <c r="C63" s="2772"/>
      <c r="D63" s="1288">
        <f t="shared" si="15"/>
        <v>0</v>
      </c>
      <c r="E63" s="821"/>
      <c r="F63" s="2503"/>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2961</v>
      </c>
      <c r="B64" s="2886" t="s">
        <v>2962</v>
      </c>
      <c r="C64" s="2772"/>
      <c r="D64" s="1288">
        <f t="shared" si="15"/>
        <v>0</v>
      </c>
      <c r="E64" s="821"/>
      <c r="F64" s="2503"/>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0" t="s">
        <v>2963</v>
      </c>
      <c r="B65" s="1727" t="str">
        <f>估价对象房地状况!C21</f>
        <v>估价对象所在区域公共配套设施齐备情况</v>
      </c>
      <c r="C65" s="2772"/>
      <c r="D65" s="1288">
        <f t="shared" si="15"/>
        <v>0</v>
      </c>
      <c r="E65" s="821"/>
      <c r="F65" s="2503"/>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0" t="s">
        <v>2964</v>
      </c>
      <c r="B66" s="1727" t="str">
        <f>估价对象房地状况!C22</f>
        <v>估价对象所在区域基础设施水平</v>
      </c>
      <c r="C66" s="2772"/>
      <c r="D66" s="1288">
        <f t="shared" si="15"/>
        <v>0</v>
      </c>
      <c r="E66" s="821"/>
      <c r="F66" s="2503"/>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8" t="s">
        <v>2965</v>
      </c>
      <c r="B67" s="2890" t="str">
        <f>估价对象房地状况!C20</f>
        <v>区域自然环境：；人文环境；综合评价环境状况一般</v>
      </c>
      <c r="C67" s="2772"/>
      <c r="D67" s="1288">
        <f t="shared" si="15"/>
        <v>0</v>
      </c>
      <c r="E67" s="824"/>
      <c r="F67" s="2503"/>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2969</v>
      </c>
      <c r="B68" s="2877">
        <f>1+E70</f>
        <v>1</v>
      </c>
      <c r="C68" s="813"/>
      <c r="D68" s="813"/>
      <c r="E68" s="814"/>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2947</v>
      </c>
      <c r="B69" s="1809"/>
      <c r="C69" s="1809" t="s">
        <v>2949</v>
      </c>
      <c r="D69" s="1809" t="s">
        <v>2950</v>
      </c>
      <c r="E69" s="818" t="s">
        <v>2951</v>
      </c>
      <c r="F69" s="2881" t="s">
        <v>2967</v>
      </c>
      <c r="G69" s="1809" t="s">
        <v>754</v>
      </c>
      <c r="H69" s="2882" t="s">
        <v>2953</v>
      </c>
      <c r="I69" s="1809" t="s">
        <v>2954</v>
      </c>
      <c r="J69" s="603" t="s">
        <v>2602</v>
      </c>
      <c r="K69" s="603" t="s">
        <v>2603</v>
      </c>
      <c r="L69" s="603" t="s">
        <v>2604</v>
      </c>
      <c r="M69" s="603" t="s">
        <v>2605</v>
      </c>
      <c r="N69" s="603" t="s">
        <v>2606</v>
      </c>
      <c r="AA69" s="1373"/>
      <c r="AB69" s="1373"/>
      <c r="AC69" s="1373"/>
      <c r="AD69" s="1373"/>
      <c r="AE69" s="1373"/>
      <c r="AF69" s="1373"/>
      <c r="AG69" s="1373"/>
      <c r="AH69" s="1373"/>
      <c r="AI69" s="1373"/>
      <c r="AJ69" s="1373"/>
      <c r="AK69" s="1373"/>
    </row>
    <row r="70" spans="1:37" s="1372" customFormat="1" ht="51">
      <c r="A70" s="2880" t="s">
        <v>2970</v>
      </c>
      <c r="B70" s="2883" t="str">
        <f>估价对象房地状况!C15</f>
        <v>估价对象周边居住用地比例、居住小区规模和社区发展完善程度，综合评价居住社区成熟度一般</v>
      </c>
      <c r="C70" s="2772"/>
      <c r="D70" s="1288">
        <f t="shared" ref="D70:D78" si="20">SUMIF($J$69:$N$69,C70,J70:N70)</f>
        <v>0</v>
      </c>
      <c r="E70" s="820">
        <f>ROUND(SUM(D70:D78),4)</f>
        <v>0</v>
      </c>
      <c r="F70" s="2503"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0" t="s">
        <v>2956</v>
      </c>
      <c r="B71" s="2884" t="str">
        <f>估价对象房地状况!C18</f>
        <v>估价对象周边道路状况、公共交通通达情况、停车便捷程度，综合评价交通便捷度较好</v>
      </c>
      <c r="C71" s="2772"/>
      <c r="D71" s="1288">
        <f t="shared" si="20"/>
        <v>0</v>
      </c>
      <c r="E71" s="825"/>
      <c r="F71" s="2503"/>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2957</v>
      </c>
      <c r="B72" s="2884">
        <f>估价对象房地状况!C19</f>
        <v>0</v>
      </c>
      <c r="C72" s="2772"/>
      <c r="D72" s="1288">
        <f t="shared" si="20"/>
        <v>0</v>
      </c>
      <c r="E72" s="825"/>
      <c r="F72" s="2503"/>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2971</v>
      </c>
      <c r="B73" s="2884">
        <f>估价对象房地状况!C24</f>
        <v>0</v>
      </c>
      <c r="C73" s="2772"/>
      <c r="D73" s="1288">
        <f t="shared" si="20"/>
        <v>0</v>
      </c>
      <c r="E73" s="825"/>
      <c r="F73" s="2503"/>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0" t="s">
        <v>2963</v>
      </c>
      <c r="B74" s="1727" t="str">
        <f>估价对象房地状况!C21</f>
        <v>估价对象所在区域公共配套设施齐备情况</v>
      </c>
      <c r="C74" s="2772"/>
      <c r="D74" s="1288">
        <f t="shared" si="20"/>
        <v>0</v>
      </c>
      <c r="E74" s="825"/>
      <c r="F74" s="2503"/>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0" t="s">
        <v>2964</v>
      </c>
      <c r="B75" s="1727" t="str">
        <f>估价对象房地状况!C22</f>
        <v>估价对象所在区域基础设施水平</v>
      </c>
      <c r="C75" s="2772"/>
      <c r="D75" s="1288">
        <f t="shared" si="20"/>
        <v>0</v>
      </c>
      <c r="E75" s="825"/>
      <c r="F75" s="2503"/>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2961</v>
      </c>
      <c r="B76" s="2886" t="s">
        <v>2962</v>
      </c>
      <c r="C76" s="2772"/>
      <c r="D76" s="1288">
        <f t="shared" si="20"/>
        <v>0</v>
      </c>
      <c r="E76" s="825"/>
      <c r="F76" s="2503"/>
      <c r="G76" s="1286"/>
      <c r="H76" s="1290" t="str">
        <f t="shared" si="21"/>
        <v>——</v>
      </c>
      <c r="I76" s="819">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38.25">
      <c r="A77" s="2880" t="s">
        <v>2965</v>
      </c>
      <c r="B77" s="2883" t="str">
        <f>估价对象房地状况!C20</f>
        <v>区域自然环境：；人文环境；综合评价环境状况一般</v>
      </c>
      <c r="C77" s="2772"/>
      <c r="D77" s="1288">
        <f t="shared" si="20"/>
        <v>0</v>
      </c>
      <c r="E77" s="825"/>
      <c r="F77" s="2503"/>
      <c r="G77" s="1286"/>
      <c r="H77" s="1290" t="str">
        <f t="shared" si="21"/>
        <v>——</v>
      </c>
      <c r="I77" s="819">
        <v>0.15</v>
      </c>
      <c r="J77" s="1287">
        <f t="shared" si="22"/>
        <v>0</v>
      </c>
      <c r="K77" s="1287">
        <f t="shared" si="23"/>
        <v>0</v>
      </c>
      <c r="L77" s="1287">
        <v>0</v>
      </c>
      <c r="M77" s="1287">
        <f t="shared" si="24"/>
        <v>0</v>
      </c>
      <c r="N77" s="1287">
        <f t="shared" si="24"/>
        <v>0</v>
      </c>
      <c r="Z77" s="2722"/>
      <c r="AA77" s="2798"/>
      <c r="AG77" s="1374"/>
      <c r="AK77" s="2798"/>
    </row>
    <row r="78" spans="1:37" ht="24.75" thickBot="1">
      <c r="A78" s="2888" t="s">
        <v>2972</v>
      </c>
      <c r="B78" s="2892"/>
      <c r="C78" s="2772"/>
      <c r="D78" s="1288">
        <f t="shared" si="20"/>
        <v>0</v>
      </c>
      <c r="E78" s="826"/>
      <c r="F78" s="2503"/>
      <c r="G78" s="1286"/>
      <c r="H78" s="1290" t="str">
        <f t="shared" si="21"/>
        <v>——</v>
      </c>
      <c r="I78" s="823">
        <v>0.04</v>
      </c>
      <c r="J78" s="1287">
        <f t="shared" si="22"/>
        <v>0</v>
      </c>
      <c r="K78" s="1287">
        <f t="shared" si="23"/>
        <v>0</v>
      </c>
      <c r="L78" s="1287">
        <v>0</v>
      </c>
      <c r="M78" s="1287">
        <f t="shared" si="24"/>
        <v>0</v>
      </c>
      <c r="N78" s="1287">
        <f t="shared" si="24"/>
        <v>0</v>
      </c>
      <c r="Z78" s="2722"/>
      <c r="AA78" s="2798"/>
      <c r="AG78" s="1374"/>
      <c r="AK78" s="2798"/>
    </row>
    <row r="79" spans="1:37" ht="15">
      <c r="A79" s="2876" t="s">
        <v>2973</v>
      </c>
      <c r="B79" s="2877">
        <f>1+E81</f>
        <v>1</v>
      </c>
      <c r="C79" s="813"/>
      <c r="D79" s="813"/>
      <c r="E79" s="814"/>
      <c r="F79" s="2879"/>
      <c r="G79" s="6"/>
      <c r="H79" s="6"/>
      <c r="I79" s="6"/>
      <c r="J79" s="7"/>
      <c r="K79" s="7"/>
      <c r="L79" s="7"/>
      <c r="M79" s="7"/>
      <c r="N79" s="7"/>
      <c r="Z79" s="2722"/>
      <c r="AA79" s="2798"/>
      <c r="AG79" s="1374"/>
      <c r="AK79" s="2798"/>
    </row>
    <row r="80" spans="1:37" ht="24.75">
      <c r="A80" s="2880" t="s">
        <v>2947</v>
      </c>
      <c r="B80" s="1809"/>
      <c r="C80" s="1809" t="s">
        <v>2949</v>
      </c>
      <c r="D80" s="1809" t="s">
        <v>2950</v>
      </c>
      <c r="E80" s="818" t="s">
        <v>2951</v>
      </c>
      <c r="F80" s="2881" t="s">
        <v>2967</v>
      </c>
      <c r="G80" s="1809" t="s">
        <v>754</v>
      </c>
      <c r="H80" s="2882" t="s">
        <v>2953</v>
      </c>
      <c r="I80" s="1809" t="s">
        <v>2954</v>
      </c>
      <c r="J80" s="603" t="s">
        <v>2602</v>
      </c>
      <c r="K80" s="603" t="s">
        <v>2603</v>
      </c>
      <c r="L80" s="603" t="s">
        <v>2604</v>
      </c>
      <c r="M80" s="603" t="s">
        <v>2605</v>
      </c>
      <c r="N80" s="603" t="s">
        <v>2606</v>
      </c>
      <c r="Z80" s="2722"/>
      <c r="AA80" s="2798"/>
      <c r="AG80" s="1374"/>
      <c r="AK80" s="2798"/>
    </row>
    <row r="81" spans="1:37" ht="38.25">
      <c r="A81" s="2880" t="s">
        <v>2974</v>
      </c>
      <c r="B81" s="2884" t="str">
        <f>估价对象房地状况!G15</f>
        <v>估价对象位于XX开发区，园区建设成熟度XX，产业集聚程度XX</v>
      </c>
      <c r="C81" s="2772"/>
      <c r="D81" s="1288">
        <f t="shared" ref="D81:D88" si="25">SUMIF($J$80:$N$80,C81,J81:N81)</f>
        <v>0</v>
      </c>
      <c r="E81" s="820">
        <f>ROUND(SUM(D81:D88),4)</f>
        <v>0</v>
      </c>
      <c r="F81" s="2503"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51">
      <c r="A82" s="2880" t="s">
        <v>2956</v>
      </c>
      <c r="B82" s="2884" t="str">
        <f>估价对象房地状况!G16</f>
        <v>估价对象周边道路状况、公共交通通达情况、停车便捷程度，综合评价交通便捷度较好</v>
      </c>
      <c r="C82" s="2772"/>
      <c r="D82" s="1288">
        <f t="shared" si="25"/>
        <v>0</v>
      </c>
      <c r="E82" s="825"/>
      <c r="F82" s="2503"/>
      <c r="G82" s="1286"/>
      <c r="H82" s="1290" t="str">
        <f t="shared" si="26"/>
        <v>——</v>
      </c>
      <c r="I82" s="819">
        <v>0.33</v>
      </c>
      <c r="J82" s="1287">
        <f t="shared" si="27"/>
        <v>0</v>
      </c>
      <c r="K82" s="1287">
        <f t="shared" si="28"/>
        <v>0</v>
      </c>
      <c r="L82" s="1287">
        <v>0</v>
      </c>
      <c r="M82" s="1287">
        <f t="shared" si="29"/>
        <v>0</v>
      </c>
      <c r="N82" s="1287">
        <f t="shared" si="29"/>
        <v>0</v>
      </c>
      <c r="Z82" s="2722"/>
      <c r="AA82" s="2798"/>
      <c r="AG82" s="1374"/>
      <c r="AK82" s="2798"/>
    </row>
    <row r="83" spans="1:37" ht="24">
      <c r="A83" s="2880" t="s">
        <v>2957</v>
      </c>
      <c r="B83" s="2884">
        <f>估价对象房地状况!G17</f>
        <v>0</v>
      </c>
      <c r="C83" s="2772"/>
      <c r="D83" s="1288">
        <f t="shared" si="25"/>
        <v>0</v>
      </c>
      <c r="E83" s="825"/>
      <c r="F83" s="2503"/>
      <c r="G83" s="1286"/>
      <c r="H83" s="1290" t="str">
        <f t="shared" si="26"/>
        <v>——</v>
      </c>
      <c r="I83" s="819">
        <v>0.05</v>
      </c>
      <c r="J83" s="1287">
        <f t="shared" si="27"/>
        <v>0</v>
      </c>
      <c r="K83" s="1287">
        <f t="shared" si="28"/>
        <v>0</v>
      </c>
      <c r="L83" s="1287">
        <v>0</v>
      </c>
      <c r="M83" s="1287">
        <f t="shared" si="29"/>
        <v>0</v>
      </c>
      <c r="N83" s="1287">
        <f t="shared" si="29"/>
        <v>0</v>
      </c>
      <c r="Z83" s="2722"/>
      <c r="AA83" s="2798"/>
      <c r="AG83" s="1374"/>
      <c r="AK83" s="2798"/>
    </row>
    <row r="84" spans="1:37" ht="14.25">
      <c r="A84" s="2880" t="s">
        <v>2971</v>
      </c>
      <c r="B84" s="2884">
        <f>估价对象房地状况!G22</f>
        <v>0</v>
      </c>
      <c r="C84" s="2772"/>
      <c r="D84" s="1288">
        <f t="shared" si="25"/>
        <v>0</v>
      </c>
      <c r="E84" s="825"/>
      <c r="F84" s="2503"/>
      <c r="G84" s="1286"/>
      <c r="H84" s="1290" t="str">
        <f t="shared" si="26"/>
        <v>——</v>
      </c>
      <c r="I84" s="819">
        <v>0.04</v>
      </c>
      <c r="J84" s="1287">
        <f t="shared" si="27"/>
        <v>0</v>
      </c>
      <c r="K84" s="1287">
        <f t="shared" si="28"/>
        <v>0</v>
      </c>
      <c r="L84" s="1287">
        <v>0</v>
      </c>
      <c r="M84" s="1287">
        <f t="shared" si="29"/>
        <v>0</v>
      </c>
      <c r="N84" s="1287">
        <f t="shared" si="29"/>
        <v>0</v>
      </c>
      <c r="Z84" s="2722"/>
      <c r="AA84" s="2798"/>
      <c r="AG84" s="1374"/>
      <c r="AK84" s="2798"/>
    </row>
    <row r="85" spans="1:37" ht="25.5">
      <c r="A85" s="2880" t="s">
        <v>2963</v>
      </c>
      <c r="B85" s="1727" t="str">
        <f>估价对象房地状况!G19</f>
        <v>估价对象所在区域公共配套设施齐备情况</v>
      </c>
      <c r="C85" s="2772"/>
      <c r="D85" s="1288">
        <f t="shared" si="25"/>
        <v>0</v>
      </c>
      <c r="E85" s="825"/>
      <c r="F85" s="2503"/>
      <c r="G85" s="1286"/>
      <c r="H85" s="1290" t="str">
        <f t="shared" si="26"/>
        <v>——</v>
      </c>
      <c r="I85" s="819">
        <v>0.06</v>
      </c>
      <c r="J85" s="1287">
        <f t="shared" si="27"/>
        <v>0</v>
      </c>
      <c r="K85" s="1287">
        <f t="shared" si="28"/>
        <v>0</v>
      </c>
      <c r="L85" s="1287">
        <v>0</v>
      </c>
      <c r="M85" s="1287">
        <f t="shared" si="29"/>
        <v>0</v>
      </c>
      <c r="N85" s="1287">
        <f t="shared" si="29"/>
        <v>0</v>
      </c>
      <c r="Z85" s="2722"/>
      <c r="AA85" s="2798"/>
      <c r="AG85" s="1374"/>
      <c r="AK85" s="2798"/>
    </row>
    <row r="86" spans="1:37" ht="25.5">
      <c r="A86" s="2880" t="s">
        <v>2964</v>
      </c>
      <c r="B86" s="1727" t="str">
        <f>估价对象房地状况!G20</f>
        <v>估价对象所在区域基础设施水平</v>
      </c>
      <c r="C86" s="2772"/>
      <c r="D86" s="1288">
        <f t="shared" si="25"/>
        <v>0</v>
      </c>
      <c r="E86" s="825"/>
      <c r="F86" s="2503"/>
      <c r="G86" s="1286"/>
      <c r="H86" s="1290" t="str">
        <f t="shared" si="26"/>
        <v>——</v>
      </c>
      <c r="I86" s="819">
        <v>0.15</v>
      </c>
      <c r="J86" s="1287">
        <f t="shared" si="27"/>
        <v>0</v>
      </c>
      <c r="K86" s="1287">
        <f t="shared" si="28"/>
        <v>0</v>
      </c>
      <c r="L86" s="1287">
        <v>0</v>
      </c>
      <c r="M86" s="1287">
        <f t="shared" si="29"/>
        <v>0</v>
      </c>
      <c r="N86" s="1287">
        <f t="shared" si="29"/>
        <v>0</v>
      </c>
      <c r="Z86" s="2722"/>
      <c r="AA86" s="2798"/>
      <c r="AG86" s="1374"/>
      <c r="AK86" s="2798"/>
    </row>
    <row r="87" spans="1:37" ht="24">
      <c r="A87" s="2880" t="s">
        <v>2961</v>
      </c>
      <c r="B87" s="2886" t="s">
        <v>2975</v>
      </c>
      <c r="C87" s="2772"/>
      <c r="D87" s="1288">
        <f t="shared" si="25"/>
        <v>0</v>
      </c>
      <c r="E87" s="825"/>
      <c r="F87" s="2503"/>
      <c r="G87" s="1286"/>
      <c r="H87" s="1290" t="str">
        <f t="shared" si="26"/>
        <v>——</v>
      </c>
      <c r="I87" s="819">
        <v>0.05</v>
      </c>
      <c r="J87" s="1287">
        <f t="shared" si="27"/>
        <v>0</v>
      </c>
      <c r="K87" s="1287">
        <f t="shared" si="28"/>
        <v>0</v>
      </c>
      <c r="L87" s="1287">
        <v>0</v>
      </c>
      <c r="M87" s="1287">
        <f t="shared" si="29"/>
        <v>0</v>
      </c>
      <c r="N87" s="1287">
        <f t="shared" si="29"/>
        <v>0</v>
      </c>
      <c r="Z87" s="2722"/>
      <c r="AA87" s="2798"/>
      <c r="AG87" s="1374"/>
      <c r="AK87" s="2798"/>
    </row>
    <row r="88" spans="1:37" ht="39" thickBot="1">
      <c r="A88" s="2888" t="s">
        <v>2976</v>
      </c>
      <c r="B88" s="2893" t="str">
        <f>估价对象房地状况!G18</f>
        <v>该园区内是否有污染型企业，绿化情况，卫生条件，整体环境状况判断</v>
      </c>
      <c r="C88" s="2772"/>
      <c r="D88" s="1288">
        <f t="shared" si="25"/>
        <v>0</v>
      </c>
      <c r="E88" s="826"/>
      <c r="F88" s="2503"/>
      <c r="G88" s="1286"/>
      <c r="H88" s="1290" t="str">
        <f t="shared" si="26"/>
        <v>——</v>
      </c>
      <c r="I88" s="823">
        <v>0.06</v>
      </c>
      <c r="J88" s="1287">
        <f t="shared" si="27"/>
        <v>0</v>
      </c>
      <c r="K88" s="1287">
        <f t="shared" si="28"/>
        <v>0</v>
      </c>
      <c r="L88" s="1287">
        <v>0</v>
      </c>
      <c r="M88" s="1287">
        <f t="shared" si="29"/>
        <v>0</v>
      </c>
      <c r="N88" s="1287">
        <f t="shared" si="29"/>
        <v>0</v>
      </c>
      <c r="Z88" s="2722"/>
      <c r="AA88" s="2798"/>
      <c r="AG88" s="1374"/>
      <c r="AK88" s="2798"/>
    </row>
    <row r="90" spans="1:37">
      <c r="A90" s="3271" t="s">
        <v>2977</v>
      </c>
      <c r="B90" s="3271"/>
      <c r="C90" s="3271"/>
      <c r="D90" s="3271"/>
      <c r="E90" s="3271"/>
      <c r="F90" s="3271"/>
      <c r="G90" s="3271"/>
      <c r="H90" s="3271"/>
      <c r="I90" s="3271"/>
      <c r="J90" s="3271"/>
      <c r="K90" s="2894"/>
      <c r="L90" s="2894"/>
      <c r="M90" s="2894"/>
      <c r="N90" s="2894"/>
    </row>
    <row r="91" spans="1:37">
      <c r="A91" s="3273" t="s">
        <v>2978</v>
      </c>
      <c r="B91" s="3273" t="s">
        <v>2979</v>
      </c>
      <c r="C91" s="2848" t="s">
        <v>2980</v>
      </c>
      <c r="D91" s="2849"/>
      <c r="E91" s="2849"/>
      <c r="F91" s="2849"/>
      <c r="G91" s="2849"/>
      <c r="H91" s="2849"/>
      <c r="I91" s="2849"/>
      <c r="J91" s="2895"/>
      <c r="K91" s="2896"/>
      <c r="L91" s="2896"/>
      <c r="M91" s="2896"/>
      <c r="N91" s="2896"/>
    </row>
    <row r="92" spans="1:37">
      <c r="A92" s="3273"/>
      <c r="B92" s="3273"/>
      <c r="C92" s="944" t="s">
        <v>2844</v>
      </c>
      <c r="D92" s="944" t="s">
        <v>2845</v>
      </c>
      <c r="E92" s="944" t="s">
        <v>2846</v>
      </c>
      <c r="F92" s="944" t="s">
        <v>2847</v>
      </c>
      <c r="G92" s="944" t="s">
        <v>2848</v>
      </c>
      <c r="H92" s="944" t="s">
        <v>2849</v>
      </c>
      <c r="I92" s="944" t="s">
        <v>2850</v>
      </c>
      <c r="J92" s="944" t="s">
        <v>2851</v>
      </c>
      <c r="K92" s="944" t="s">
        <v>2852</v>
      </c>
      <c r="L92" s="944" t="s">
        <v>2853</v>
      </c>
      <c r="M92" s="944" t="s">
        <v>2854</v>
      </c>
      <c r="N92" s="944" t="s">
        <v>2855</v>
      </c>
    </row>
    <row r="93" spans="1:37">
      <c r="A93" s="3274" t="s">
        <v>2981</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75"/>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75"/>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75"/>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75"/>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75"/>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75"/>
      <c r="B99" s="2897" t="s">
        <v>2860</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76"/>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74" t="s">
        <v>2982</v>
      </c>
      <c r="B101" s="2901" t="s">
        <v>2983</v>
      </c>
      <c r="C101" s="2902">
        <f>$G$3</f>
        <v>2.1800000000000002</v>
      </c>
      <c r="D101" s="2902">
        <f t="shared" ref="D101:N101" si="31">$G$3</f>
        <v>2.1800000000000002</v>
      </c>
      <c r="E101" s="2902">
        <f t="shared" si="31"/>
        <v>2.1800000000000002</v>
      </c>
      <c r="F101" s="2902">
        <f t="shared" si="31"/>
        <v>2.1800000000000002</v>
      </c>
      <c r="G101" s="2902">
        <f t="shared" si="31"/>
        <v>2.1800000000000002</v>
      </c>
      <c r="H101" s="2902">
        <f t="shared" si="31"/>
        <v>2.1800000000000002</v>
      </c>
      <c r="I101" s="2902">
        <f t="shared" si="31"/>
        <v>2.1800000000000002</v>
      </c>
      <c r="J101" s="2902">
        <f t="shared" si="31"/>
        <v>2.1800000000000002</v>
      </c>
      <c r="K101" s="2902">
        <f t="shared" si="31"/>
        <v>2.1800000000000002</v>
      </c>
      <c r="L101" s="2902">
        <f t="shared" si="31"/>
        <v>2.1800000000000002</v>
      </c>
      <c r="M101" s="2902">
        <f t="shared" si="31"/>
        <v>2.1800000000000002</v>
      </c>
      <c r="N101" s="2902">
        <f t="shared" si="31"/>
        <v>2.1800000000000002</v>
      </c>
    </row>
    <row r="102" spans="1:14">
      <c r="A102" s="3275"/>
      <c r="B102" s="2897">
        <v>1</v>
      </c>
      <c r="C102" s="2898">
        <f>1.9362/C101</f>
        <v>0.88816513761467875</v>
      </c>
      <c r="D102" s="2898">
        <f>1.9362/D101</f>
        <v>0.88816513761467875</v>
      </c>
      <c r="E102" s="2898">
        <f>1.8629/E101</f>
        <v>0.85454128440366961</v>
      </c>
      <c r="F102" s="2898">
        <f>1.8629/F101</f>
        <v>0.85454128440366961</v>
      </c>
      <c r="G102" s="2898">
        <f>1.8629/G101</f>
        <v>0.85454128440366961</v>
      </c>
      <c r="H102" s="2898">
        <f>1.8629/H101</f>
        <v>0.85454128440366961</v>
      </c>
      <c r="I102" s="2898">
        <f>1.8629/I101</f>
        <v>0.85454128440366961</v>
      </c>
      <c r="J102" s="2898">
        <f>1.942/J101</f>
        <v>0.89082568807339446</v>
      </c>
      <c r="K102" s="2898">
        <f>1.942/K101</f>
        <v>0.89082568807339446</v>
      </c>
      <c r="L102" s="2898">
        <f>1.942/L101</f>
        <v>0.89082568807339446</v>
      </c>
      <c r="M102" s="2898">
        <f>1.942/M101</f>
        <v>0.89082568807339446</v>
      </c>
      <c r="N102" s="2898">
        <f>1.942/N101</f>
        <v>0.89082568807339446</v>
      </c>
    </row>
    <row r="103" spans="1:14">
      <c r="A103" s="3275"/>
      <c r="B103" s="2897">
        <v>2</v>
      </c>
      <c r="C103" s="2898">
        <f>1.4198/C101</f>
        <v>0.65128440366972473</v>
      </c>
      <c r="D103" s="2898">
        <f>1.4198/D101</f>
        <v>0.65128440366972473</v>
      </c>
      <c r="E103" s="2898">
        <f>1.3372/E101</f>
        <v>0.61339449541284397</v>
      </c>
      <c r="F103" s="2898">
        <f>1.3372/F101</f>
        <v>0.61339449541284397</v>
      </c>
      <c r="G103" s="2898">
        <f>1.3372/G101</f>
        <v>0.61339449541284397</v>
      </c>
      <c r="H103" s="2898">
        <f>1.3372/H101</f>
        <v>0.61339449541284397</v>
      </c>
      <c r="I103" s="2898">
        <f>1.3372/I101</f>
        <v>0.61339449541284397</v>
      </c>
      <c r="J103" s="2898">
        <f>1.2799/J101</f>
        <v>0.58711009174311923</v>
      </c>
      <c r="K103" s="2898">
        <f>1.2799/K101</f>
        <v>0.58711009174311923</v>
      </c>
      <c r="L103" s="2898">
        <f>1.2799/L101</f>
        <v>0.58711009174311923</v>
      </c>
      <c r="M103" s="2898">
        <f>1.2799/M101</f>
        <v>0.58711009174311923</v>
      </c>
      <c r="N103" s="2898">
        <f>1.2799/N101</f>
        <v>0.58711009174311923</v>
      </c>
    </row>
    <row r="104" spans="1:14">
      <c r="A104" s="3275"/>
      <c r="B104" s="2897">
        <v>3</v>
      </c>
      <c r="C104" s="2898">
        <f>1.1594/C101</f>
        <v>0.53183486238532107</v>
      </c>
      <c r="D104" s="2898">
        <f>1.1594/D101</f>
        <v>0.53183486238532107</v>
      </c>
      <c r="E104" s="2898">
        <f>1.0788/E101</f>
        <v>0.49486238532110088</v>
      </c>
      <c r="F104" s="2898">
        <f>1.0788/F101</f>
        <v>0.49486238532110088</v>
      </c>
      <c r="G104" s="2898">
        <f>1.0788/G101</f>
        <v>0.49486238532110088</v>
      </c>
      <c r="H104" s="2898">
        <f>1.0788/H101</f>
        <v>0.49486238532110088</v>
      </c>
      <c r="I104" s="2898">
        <f>1.0788/I101</f>
        <v>0.49486238532110088</v>
      </c>
      <c r="J104" s="2898">
        <f>1.0072/J101</f>
        <v>0.46201834862385321</v>
      </c>
      <c r="K104" s="2898">
        <f>1.0072/K101</f>
        <v>0.46201834862385321</v>
      </c>
      <c r="L104" s="2898">
        <f>1.0072/L101</f>
        <v>0.46201834862385321</v>
      </c>
      <c r="M104" s="2898">
        <f>1.0072/M101</f>
        <v>0.46201834862385321</v>
      </c>
      <c r="N104" s="2898">
        <f>1.0072/N101</f>
        <v>0.46201834862385321</v>
      </c>
    </row>
    <row r="105" spans="1:14">
      <c r="A105" s="3275"/>
      <c r="B105" s="2897">
        <v>4</v>
      </c>
      <c r="C105" s="2898">
        <f>0.9622/C101</f>
        <v>0.44137614678899084</v>
      </c>
      <c r="D105" s="2898">
        <f>0.9622/D101</f>
        <v>0.44137614678899084</v>
      </c>
      <c r="E105" s="2898">
        <f>0.8656/E101</f>
        <v>0.39706422018348625</v>
      </c>
      <c r="F105" s="2898">
        <f>0.8656/F101</f>
        <v>0.39706422018348625</v>
      </c>
      <c r="G105" s="2898">
        <f>0.8656/G101</f>
        <v>0.39706422018348625</v>
      </c>
      <c r="H105" s="2898">
        <f>0.8656/H101</f>
        <v>0.39706422018348625</v>
      </c>
      <c r="I105" s="2898">
        <f>0.8656/I101</f>
        <v>0.39706422018348625</v>
      </c>
      <c r="J105" s="2898">
        <f>0.7525/J101</f>
        <v>0.34518348623853207</v>
      </c>
      <c r="K105" s="2898">
        <f>0.7525/K101</f>
        <v>0.34518348623853207</v>
      </c>
      <c r="L105" s="2898">
        <f>0.7525/L101</f>
        <v>0.34518348623853207</v>
      </c>
      <c r="M105" s="2898">
        <f>0.7525/M101</f>
        <v>0.34518348623853207</v>
      </c>
      <c r="N105" s="2898">
        <f>0.7525/N101</f>
        <v>0.34518348623853207</v>
      </c>
    </row>
    <row r="106" spans="1:14">
      <c r="A106" s="3275"/>
      <c r="B106" s="2897">
        <v>5</v>
      </c>
      <c r="C106" s="2898">
        <f>0.8417/C101</f>
        <v>0.38610091743119263</v>
      </c>
      <c r="D106" s="2898">
        <f>0.8417/D101</f>
        <v>0.38610091743119263</v>
      </c>
      <c r="E106" s="2898">
        <f>0.7371/E101</f>
        <v>0.33811926605504583</v>
      </c>
      <c r="F106" s="2898">
        <f>0.7371/F101</f>
        <v>0.33811926605504583</v>
      </c>
      <c r="G106" s="2898">
        <f>0.7371/G101</f>
        <v>0.33811926605504583</v>
      </c>
      <c r="H106" s="2898">
        <f>0.7371/H101</f>
        <v>0.33811926605504583</v>
      </c>
      <c r="I106" s="2898">
        <f>0.7371/I101</f>
        <v>0.33811926605504583</v>
      </c>
      <c r="J106" s="2898">
        <f>0.5659/J101</f>
        <v>0.25958715596330273</v>
      </c>
      <c r="K106" s="2898">
        <f>0.5659/K101</f>
        <v>0.25958715596330273</v>
      </c>
      <c r="L106" s="2898">
        <f>0.5659/L101</f>
        <v>0.25958715596330273</v>
      </c>
      <c r="M106" s="2898">
        <f>0.5659/M101</f>
        <v>0.25958715596330273</v>
      </c>
      <c r="N106" s="2898">
        <f>0.5659/N101</f>
        <v>0.25958715596330273</v>
      </c>
    </row>
    <row r="107" spans="1:14">
      <c r="A107" s="3275"/>
      <c r="B107" s="2897">
        <v>6</v>
      </c>
      <c r="C107" s="2898">
        <f>0.7608/C101</f>
        <v>0.34899082568807338</v>
      </c>
      <c r="D107" s="2898">
        <f>0.7608/D101</f>
        <v>0.34899082568807338</v>
      </c>
      <c r="E107" s="2898">
        <f>0.6482/E101</f>
        <v>0.29733944954128438</v>
      </c>
      <c r="F107" s="2898">
        <f>0.6482/F101</f>
        <v>0.29733944954128438</v>
      </c>
      <c r="G107" s="2898">
        <f>0.6482/G101</f>
        <v>0.29733944954128438</v>
      </c>
      <c r="H107" s="2898">
        <f>0.6482/H101</f>
        <v>0.29733944954128438</v>
      </c>
      <c r="I107" s="2898">
        <f>0.6482/I101</f>
        <v>0.29733944954128438</v>
      </c>
      <c r="J107" s="2898">
        <f>0.4525/J101</f>
        <v>0.20756880733944955</v>
      </c>
      <c r="K107" s="2898">
        <f>0.4525/K101</f>
        <v>0.20756880733944955</v>
      </c>
      <c r="L107" s="2898">
        <f>0.4525/L101</f>
        <v>0.20756880733944955</v>
      </c>
      <c r="M107" s="2898">
        <f>0.4525/M101</f>
        <v>0.20756880733944955</v>
      </c>
      <c r="N107" s="2898">
        <f>0.4525/N101</f>
        <v>0.20756880733944955</v>
      </c>
    </row>
    <row r="108" spans="1:14">
      <c r="A108" s="3275"/>
      <c r="B108" s="3101" t="s">
        <v>2984</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76"/>
      <c r="B109" s="3102"/>
      <c r="C109" s="2900">
        <f>(-0.163*(C108^2)-0.59*C108+7617)*(10^(-4))/C101</f>
        <v>0.34940366972477066</v>
      </c>
      <c r="D109" s="2900">
        <f>(-0.163*(D108^2)-0.59*D108+7617)*(10^(-4))/D101</f>
        <v>0.34940366972477066</v>
      </c>
      <c r="E109" s="2900">
        <f>(-0.161*(E108^2)-7.509*E108+6533)*(10^(-4))/E101</f>
        <v>0.29967889908256878</v>
      </c>
      <c r="F109" s="2900">
        <f>(-0.161*(F108^2)-7.509*F108+6533)*(10^(-4))/F101</f>
        <v>0.29967889908256878</v>
      </c>
      <c r="G109" s="2900">
        <f>(-0.161*(G108^2)-7.509*G108+6533)*(10^(-4))/G101</f>
        <v>0.29967889908256878</v>
      </c>
      <c r="H109" s="2900">
        <f>(-0.161*(H108^2)-7.509*H108+6533)*(10^(-4))/H101</f>
        <v>0.29967889908256878</v>
      </c>
      <c r="I109" s="2900">
        <f>(-0.161*(I108^2)-7.509*I108+6533)*(10^(-4))/I101</f>
        <v>0.29967889908256878</v>
      </c>
      <c r="J109" s="2900">
        <f>(-0.214*(J108^2)-21.991*J108+4665)*(10^(-4))/J101</f>
        <v>0.2139908256880734</v>
      </c>
      <c r="K109" s="2900">
        <f>(-0.214*(K108^2)-21.991*K108+4665)*(10^(-4))/K101</f>
        <v>0.2139908256880734</v>
      </c>
      <c r="L109" s="2900">
        <f>(-0.214*(L108^2)-21.991*L108+4665)*(10^(-4))/L101</f>
        <v>0.2139908256880734</v>
      </c>
      <c r="M109" s="2900">
        <f>(-0.214*(M108^2)-21.991*M108+4665)*(10^(-4))/M101</f>
        <v>0.2139908256880734</v>
      </c>
      <c r="N109" s="2900">
        <f>(-0.214*(N108^2)-21.991*N108+4665)*(10^(-4))/N101</f>
        <v>0.2139908256880734</v>
      </c>
    </row>
    <row r="110" spans="1:14">
      <c r="A110" s="3272" t="s">
        <v>2985</v>
      </c>
      <c r="B110" s="3272"/>
      <c r="C110" s="3272"/>
      <c r="D110" s="3272"/>
      <c r="E110" s="3272"/>
      <c r="F110" s="3272"/>
      <c r="G110" s="3272"/>
      <c r="H110" s="3272"/>
      <c r="I110" s="3272"/>
      <c r="J110" s="3272"/>
      <c r="K110" s="2903"/>
      <c r="L110" s="2903"/>
      <c r="M110" s="2903"/>
      <c r="N110" s="2903"/>
    </row>
    <row r="112" spans="1:14" ht="13.5" thickBot="1"/>
    <row r="113" spans="1:13" ht="25.5" thickBot="1">
      <c r="A113" s="902" t="s">
        <v>2986</v>
      </c>
      <c r="B113" s="1289">
        <f>G3</f>
        <v>2.1800000000000002</v>
      </c>
      <c r="C113" s="903" t="s">
        <v>2987</v>
      </c>
      <c r="D113" s="904">
        <f>SUMPRODUCT((A115:A118=F113)*(B114:M114=H113)*B115:M118)</f>
        <v>0</v>
      </c>
      <c r="E113" s="2726" t="s">
        <v>2817</v>
      </c>
      <c r="F113" s="2905">
        <f>E2</f>
        <v>0</v>
      </c>
      <c r="G113" s="2726" t="s">
        <v>2818</v>
      </c>
      <c r="H113" s="2905">
        <f>G2</f>
        <v>0</v>
      </c>
      <c r="I113" s="2726"/>
      <c r="J113" s="2906"/>
      <c r="K113" s="2906"/>
      <c r="L113" s="2906"/>
      <c r="M113" s="2906"/>
    </row>
    <row r="114" spans="1:13">
      <c r="A114" s="907"/>
      <c r="B114" s="2907" t="s">
        <v>2988</v>
      </c>
      <c r="C114" s="2907" t="s">
        <v>2989</v>
      </c>
      <c r="D114" s="2907" t="s">
        <v>2990</v>
      </c>
      <c r="E114" s="2908" t="s">
        <v>2991</v>
      </c>
      <c r="F114" s="2908" t="s">
        <v>2992</v>
      </c>
      <c r="G114" s="2908" t="s">
        <v>2993</v>
      </c>
      <c r="H114" s="2909" t="s">
        <v>2994</v>
      </c>
      <c r="I114" s="2909" t="s">
        <v>2995</v>
      </c>
      <c r="J114" s="2910" t="s">
        <v>2996</v>
      </c>
      <c r="K114" s="2910" t="s">
        <v>2997</v>
      </c>
      <c r="L114" s="2910" t="s">
        <v>2998</v>
      </c>
      <c r="M114" s="2911" t="s">
        <v>2999</v>
      </c>
    </row>
    <row r="115" spans="1:13">
      <c r="A115" s="908" t="s">
        <v>2882</v>
      </c>
      <c r="B115" s="909">
        <f>ROUND(0.9335-0.0094*B113,4)</f>
        <v>0.91300000000000003</v>
      </c>
      <c r="C115" s="909">
        <f>B115</f>
        <v>0.91300000000000003</v>
      </c>
      <c r="D115" s="909">
        <f>ROUND(0.8331-0.0109*B113,4)</f>
        <v>0.80930000000000002</v>
      </c>
      <c r="E115" s="909">
        <f>D115</f>
        <v>0.80930000000000002</v>
      </c>
      <c r="F115" s="909">
        <f>E115</f>
        <v>0.80930000000000002</v>
      </c>
      <c r="G115" s="909">
        <f>F115</f>
        <v>0.80930000000000002</v>
      </c>
      <c r="H115" s="909">
        <f>G115</f>
        <v>0.80930000000000002</v>
      </c>
      <c r="I115" s="909">
        <f>ROUND(0.689-0.0155*B113,4)</f>
        <v>0.6552</v>
      </c>
      <c r="J115" s="909">
        <f t="shared" ref="J115:M118" si="33">I115</f>
        <v>0.6552</v>
      </c>
      <c r="K115" s="909">
        <f t="shared" si="33"/>
        <v>0.6552</v>
      </c>
      <c r="L115" s="909">
        <f t="shared" si="33"/>
        <v>0.6552</v>
      </c>
      <c r="M115" s="910">
        <f t="shared" si="33"/>
        <v>0.6552</v>
      </c>
    </row>
    <row r="116" spans="1:13">
      <c r="A116" s="908" t="s">
        <v>2883</v>
      </c>
      <c r="B116" s="909">
        <f>ROUND(0.949-0.012*B113,4)</f>
        <v>0.92279999999999995</v>
      </c>
      <c r="C116" s="909">
        <f>B116</f>
        <v>0.92279999999999995</v>
      </c>
      <c r="D116" s="909">
        <f>ROUND(0.8567-0.013*B113,4)</f>
        <v>0.82840000000000003</v>
      </c>
      <c r="E116" s="909">
        <f t="shared" ref="E116:H117" si="34">D116</f>
        <v>0.82840000000000003</v>
      </c>
      <c r="F116" s="909">
        <f t="shared" si="34"/>
        <v>0.82840000000000003</v>
      </c>
      <c r="G116" s="909">
        <f t="shared" si="34"/>
        <v>0.82840000000000003</v>
      </c>
      <c r="H116" s="909">
        <f t="shared" si="34"/>
        <v>0.82840000000000003</v>
      </c>
      <c r="I116" s="909">
        <f>ROUND(0.7694-0.014*B113,4)</f>
        <v>0.7389</v>
      </c>
      <c r="J116" s="909">
        <f t="shared" si="33"/>
        <v>0.7389</v>
      </c>
      <c r="K116" s="909">
        <f t="shared" si="33"/>
        <v>0.7389</v>
      </c>
      <c r="L116" s="909">
        <f t="shared" si="33"/>
        <v>0.7389</v>
      </c>
      <c r="M116" s="910">
        <f t="shared" si="33"/>
        <v>0.7389</v>
      </c>
    </row>
    <row r="117" spans="1:13">
      <c r="A117" s="908" t="s">
        <v>2884</v>
      </c>
      <c r="B117" s="909">
        <f>ROUND(0.8808-0.006*B113,4)</f>
        <v>0.86770000000000003</v>
      </c>
      <c r="C117" s="909">
        <f>B117</f>
        <v>0.86770000000000003</v>
      </c>
      <c r="D117" s="909">
        <f>ROUND(0.8748-0.008*B113,4)</f>
        <v>0.85740000000000005</v>
      </c>
      <c r="E117" s="909">
        <f t="shared" si="34"/>
        <v>0.85740000000000005</v>
      </c>
      <c r="F117" s="909">
        <f t="shared" si="34"/>
        <v>0.85740000000000005</v>
      </c>
      <c r="G117" s="909">
        <f t="shared" si="34"/>
        <v>0.85740000000000005</v>
      </c>
      <c r="H117" s="909">
        <f t="shared" si="34"/>
        <v>0.85740000000000005</v>
      </c>
      <c r="I117" s="909">
        <f>ROUND(0.7412-0.0095*B113,4)</f>
        <v>0.72050000000000003</v>
      </c>
      <c r="J117" s="909">
        <f t="shared" si="33"/>
        <v>0.72050000000000003</v>
      </c>
      <c r="K117" s="909">
        <f t="shared" si="33"/>
        <v>0.72050000000000003</v>
      </c>
      <c r="L117" s="909">
        <f t="shared" si="33"/>
        <v>0.72050000000000003</v>
      </c>
      <c r="M117" s="910">
        <f t="shared" si="33"/>
        <v>0.72050000000000003</v>
      </c>
    </row>
    <row r="118" spans="1:13" ht="13.5" thickBot="1">
      <c r="A118" s="713" t="s">
        <v>2885</v>
      </c>
      <c r="B118" s="911">
        <f>ROUND(0.7275-0.01*B113,4)</f>
        <v>0.70569999999999999</v>
      </c>
      <c r="C118" s="911">
        <f>B118</f>
        <v>0.70569999999999999</v>
      </c>
      <c r="D118" s="911">
        <f>ROUND(0.7043-0.012*B113,4)</f>
        <v>0.67810000000000004</v>
      </c>
      <c r="E118" s="911">
        <f>D118</f>
        <v>0.67810000000000004</v>
      </c>
      <c r="F118" s="911">
        <f>E118</f>
        <v>0.67810000000000004</v>
      </c>
      <c r="G118" s="911">
        <f>ROUND(0.6299-0.0122*B113,4)</f>
        <v>0.60329999999999995</v>
      </c>
      <c r="H118" s="911">
        <f>G118</f>
        <v>0.60329999999999995</v>
      </c>
      <c r="I118" s="911">
        <f>ROUND(0.5667-0.0136*B113,4)</f>
        <v>0.53710000000000002</v>
      </c>
      <c r="J118" s="911">
        <f t="shared" si="33"/>
        <v>0.53710000000000002</v>
      </c>
      <c r="K118" s="911">
        <f t="shared" si="33"/>
        <v>0.53710000000000002</v>
      </c>
      <c r="L118" s="911">
        <f t="shared" si="33"/>
        <v>0.53710000000000002</v>
      </c>
      <c r="M118" s="912">
        <f t="shared" si="33"/>
        <v>0.53710000000000002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9" t="s">
        <v>183</v>
      </c>
      <c r="B18" s="881" t="s">
        <v>560</v>
      </c>
      <c r="C18" s="882" t="s">
        <v>561</v>
      </c>
      <c r="D18" s="883"/>
      <c r="E18" s="881">
        <v>1</v>
      </c>
      <c r="F18" s="884" t="s">
        <v>562</v>
      </c>
      <c r="G18" s="885"/>
      <c r="H18" s="877"/>
      <c r="I18" s="877"/>
    </row>
    <row r="19" spans="1:9" s="886" customFormat="1" ht="19.5" customHeight="1">
      <c r="A19" s="3289"/>
      <c r="B19" s="3289" t="s">
        <v>563</v>
      </c>
      <c r="C19" s="882" t="s">
        <v>564</v>
      </c>
      <c r="D19" s="883"/>
      <c r="E19" s="881">
        <v>0.9</v>
      </c>
      <c r="F19" s="884" t="s">
        <v>565</v>
      </c>
      <c r="G19" s="885"/>
      <c r="H19" s="877"/>
      <c r="I19" s="877"/>
    </row>
    <row r="20" spans="1:9" s="886" customFormat="1" ht="19.5" customHeight="1">
      <c r="A20" s="3289"/>
      <c r="B20" s="3289"/>
      <c r="C20" s="882" t="s">
        <v>566</v>
      </c>
      <c r="D20" s="883"/>
      <c r="E20" s="881">
        <v>1.1000000000000001</v>
      </c>
      <c r="F20" s="884" t="s">
        <v>567</v>
      </c>
      <c r="G20" s="885"/>
      <c r="H20" s="877"/>
      <c r="I20" s="877"/>
    </row>
    <row r="21" spans="1:9" s="886" customFormat="1" ht="19.5" customHeight="1">
      <c r="A21" s="3289"/>
      <c r="B21" s="3289"/>
      <c r="C21" s="882" t="s">
        <v>568</v>
      </c>
      <c r="D21" s="883"/>
      <c r="E21" s="881">
        <v>0.8</v>
      </c>
      <c r="F21" s="884" t="s">
        <v>569</v>
      </c>
      <c r="G21" s="885"/>
      <c r="H21" s="877"/>
      <c r="I21" s="877"/>
    </row>
    <row r="22" spans="1:9" s="886" customFormat="1" ht="19.5" customHeight="1">
      <c r="A22" s="3289"/>
      <c r="B22" s="3289"/>
      <c r="C22" s="882" t="s">
        <v>570</v>
      </c>
      <c r="D22" s="883"/>
      <c r="E22" s="881">
        <v>0.5</v>
      </c>
      <c r="F22" s="884"/>
      <c r="G22" s="885"/>
      <c r="H22" s="877"/>
      <c r="I22" s="877"/>
    </row>
    <row r="23" spans="1:9" s="886" customFormat="1" ht="19.5" customHeight="1">
      <c r="A23" s="3289" t="s">
        <v>184</v>
      </c>
      <c r="B23" s="881" t="s">
        <v>560</v>
      </c>
      <c r="C23" s="882" t="s">
        <v>571</v>
      </c>
      <c r="D23" s="883"/>
      <c r="E23" s="881">
        <v>1</v>
      </c>
      <c r="F23" s="884" t="s">
        <v>572</v>
      </c>
      <c r="G23" s="885"/>
      <c r="H23" s="877"/>
      <c r="I23" s="877"/>
    </row>
    <row r="24" spans="1:9" s="886" customFormat="1" ht="19.5" customHeight="1">
      <c r="A24" s="3289"/>
      <c r="B24" s="3289" t="s">
        <v>563</v>
      </c>
      <c r="C24" s="882" t="s">
        <v>573</v>
      </c>
      <c r="D24" s="883"/>
      <c r="E24" s="881">
        <v>0.5</v>
      </c>
      <c r="F24" s="884"/>
      <c r="G24" s="885"/>
      <c r="H24" s="877"/>
      <c r="I24" s="877"/>
    </row>
    <row r="25" spans="1:9" s="886" customFormat="1" ht="19.5" customHeight="1">
      <c r="A25" s="3289"/>
      <c r="B25" s="3289"/>
      <c r="C25" s="882" t="s">
        <v>574</v>
      </c>
      <c r="D25" s="883"/>
      <c r="E25" s="881">
        <v>1.1000000000000001</v>
      </c>
      <c r="F25" s="884"/>
      <c r="G25" s="885"/>
      <c r="H25" s="877"/>
      <c r="I25" s="877"/>
    </row>
    <row r="26" spans="1:9" s="886" customFormat="1" ht="19.5" customHeight="1">
      <c r="A26" s="3289"/>
      <c r="B26" s="3289"/>
      <c r="C26" s="882" t="s">
        <v>575</v>
      </c>
      <c r="D26" s="883"/>
      <c r="E26" s="881">
        <v>1.1000000000000001</v>
      </c>
      <c r="F26" s="884"/>
      <c r="G26" s="885"/>
      <c r="H26" s="877"/>
      <c r="I26" s="877"/>
    </row>
    <row r="27" spans="1:9" s="886" customFormat="1" ht="19.5" customHeight="1">
      <c r="A27" s="3289"/>
      <c r="B27" s="3289"/>
      <c r="C27" s="882" t="s">
        <v>576</v>
      </c>
      <c r="D27" s="883"/>
      <c r="E27" s="881">
        <v>0.9</v>
      </c>
      <c r="F27" s="884" t="s">
        <v>577</v>
      </c>
      <c r="G27" s="885"/>
      <c r="H27" s="877"/>
      <c r="I27" s="877"/>
    </row>
    <row r="28" spans="1:9" s="886" customFormat="1" ht="19.5" customHeight="1">
      <c r="A28" s="3289"/>
      <c r="B28" s="3289"/>
      <c r="C28" s="882" t="s">
        <v>578</v>
      </c>
      <c r="D28" s="883"/>
      <c r="E28" s="881">
        <v>0.9</v>
      </c>
      <c r="F28" s="884" t="s">
        <v>579</v>
      </c>
      <c r="G28" s="885"/>
      <c r="H28" s="877"/>
      <c r="I28" s="877"/>
    </row>
    <row r="29" spans="1:9" s="886" customFormat="1" ht="19.5" customHeight="1">
      <c r="A29" s="3289"/>
      <c r="B29" s="3289"/>
      <c r="C29" s="882" t="s">
        <v>580</v>
      </c>
      <c r="D29" s="883"/>
      <c r="E29" s="881">
        <v>0.9</v>
      </c>
      <c r="F29" s="884" t="s">
        <v>581</v>
      </c>
      <c r="G29" s="885"/>
      <c r="H29" s="877"/>
      <c r="I29" s="877"/>
    </row>
    <row r="30" spans="1:9" s="886" customFormat="1" ht="19.5" customHeight="1">
      <c r="A30" s="3289"/>
      <c r="B30" s="3289"/>
      <c r="C30" s="882" t="s">
        <v>582</v>
      </c>
      <c r="D30" s="883"/>
      <c r="E30" s="881">
        <v>0.9</v>
      </c>
      <c r="F30" s="884" t="s">
        <v>583</v>
      </c>
      <c r="G30" s="885"/>
      <c r="H30" s="877"/>
      <c r="I30" s="877"/>
    </row>
    <row r="31" spans="1:9" s="886" customFormat="1" ht="19.5" customHeight="1">
      <c r="A31" s="3289"/>
      <c r="B31" s="3289"/>
      <c r="C31" s="882" t="s">
        <v>584</v>
      </c>
      <c r="D31" s="883"/>
      <c r="E31" s="881">
        <v>0.8</v>
      </c>
      <c r="F31" s="884" t="s">
        <v>585</v>
      </c>
      <c r="G31" s="885"/>
      <c r="H31" s="877"/>
      <c r="I31" s="877"/>
    </row>
    <row r="32" spans="1:9" s="886" customFormat="1" ht="19.5" customHeight="1">
      <c r="A32" s="3289"/>
      <c r="B32" s="3289"/>
      <c r="C32" s="882" t="s">
        <v>586</v>
      </c>
      <c r="D32" s="883"/>
      <c r="E32" s="881">
        <v>0.8</v>
      </c>
      <c r="F32" s="884" t="s">
        <v>587</v>
      </c>
      <c r="G32" s="885"/>
      <c r="H32" s="877"/>
      <c r="I32" s="877"/>
    </row>
    <row r="33" spans="1:9" s="886" customFormat="1" ht="19.5" customHeight="1">
      <c r="A33" s="3289" t="s">
        <v>185</v>
      </c>
      <c r="B33" s="881" t="s">
        <v>560</v>
      </c>
      <c r="C33" s="882" t="s">
        <v>588</v>
      </c>
      <c r="D33" s="883"/>
      <c r="E33" s="881">
        <v>1</v>
      </c>
      <c r="F33" s="884" t="s">
        <v>589</v>
      </c>
      <c r="G33" s="885"/>
      <c r="H33" s="877"/>
      <c r="I33" s="877"/>
    </row>
    <row r="34" spans="1:9" s="886" customFormat="1" ht="19.5" customHeight="1">
      <c r="A34" s="3289"/>
      <c r="B34" s="881" t="s">
        <v>563</v>
      </c>
      <c r="C34" s="882" t="s">
        <v>590</v>
      </c>
      <c r="D34" s="883"/>
      <c r="E34" s="881">
        <v>1.5</v>
      </c>
      <c r="F34" s="884" t="s">
        <v>591</v>
      </c>
      <c r="G34" s="885"/>
      <c r="H34" s="877"/>
      <c r="I34" s="877"/>
    </row>
    <row r="35" spans="1:9" s="886" customFormat="1" ht="19.5" customHeight="1">
      <c r="A35" s="3289" t="s">
        <v>186</v>
      </c>
      <c r="B35" s="881" t="s">
        <v>560</v>
      </c>
      <c r="C35" s="882" t="s">
        <v>592</v>
      </c>
      <c r="D35" s="883"/>
      <c r="E35" s="881">
        <v>1</v>
      </c>
      <c r="F35" s="884" t="s">
        <v>593</v>
      </c>
      <c r="G35" s="885"/>
      <c r="H35" s="877"/>
      <c r="I35" s="877"/>
    </row>
    <row r="36" spans="1:9" s="886" customFormat="1" ht="19.5" customHeight="1">
      <c r="A36" s="3289"/>
      <c r="B36" s="3289" t="s">
        <v>563</v>
      </c>
      <c r="C36" s="882" t="s">
        <v>594</v>
      </c>
      <c r="D36" s="883"/>
      <c r="E36" s="881">
        <v>1</v>
      </c>
      <c r="F36" s="884" t="s">
        <v>595</v>
      </c>
      <c r="G36" s="885"/>
      <c r="H36" s="877"/>
      <c r="I36" s="877"/>
    </row>
    <row r="37" spans="1:9" s="886" customFormat="1" ht="19.5" customHeight="1">
      <c r="A37" s="3289"/>
      <c r="B37" s="3289"/>
      <c r="C37" s="882" t="s">
        <v>596</v>
      </c>
      <c r="D37" s="883"/>
      <c r="E37" s="881">
        <v>1.5</v>
      </c>
      <c r="F37" s="884" t="s">
        <v>597</v>
      </c>
      <c r="G37" s="885"/>
      <c r="H37" s="877"/>
      <c r="I37" s="877"/>
    </row>
    <row r="38" spans="1:9" s="886" customFormat="1" ht="19.5" customHeight="1">
      <c r="A38" s="3289"/>
      <c r="B38" s="3289"/>
      <c r="C38" s="882" t="s">
        <v>598</v>
      </c>
      <c r="D38" s="883"/>
      <c r="E38" s="881">
        <v>1</v>
      </c>
      <c r="F38" s="884" t="s">
        <v>599</v>
      </c>
      <c r="G38" s="885"/>
      <c r="H38" s="877"/>
      <c r="I38" s="877"/>
    </row>
    <row r="39" spans="1:9" s="886" customFormat="1" ht="19.5" customHeight="1">
      <c r="A39" s="3289"/>
      <c r="B39" s="328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9" t="s">
        <v>614</v>
      </c>
      <c r="C61" s="817" t="s">
        <v>615</v>
      </c>
      <c r="D61" s="817" t="s">
        <v>616</v>
      </c>
      <c r="E61" s="894">
        <v>0.5</v>
      </c>
      <c r="F61" s="881">
        <v>80</v>
      </c>
    </row>
    <row r="62" spans="1:8" s="877" customFormat="1" ht="24">
      <c r="A62" s="881">
        <v>2</v>
      </c>
      <c r="B62" s="3289"/>
      <c r="C62" s="817" t="s">
        <v>617</v>
      </c>
      <c r="D62" s="817" t="s">
        <v>618</v>
      </c>
      <c r="E62" s="894">
        <v>0.5</v>
      </c>
      <c r="F62" s="881">
        <v>80</v>
      </c>
    </row>
    <row r="63" spans="1:8" s="877" customFormat="1" ht="36">
      <c r="A63" s="881">
        <v>3</v>
      </c>
      <c r="B63" s="3289"/>
      <c r="C63" s="817" t="s">
        <v>619</v>
      </c>
      <c r="D63" s="817" t="s">
        <v>620</v>
      </c>
      <c r="E63" s="894">
        <v>0.5</v>
      </c>
      <c r="F63" s="881">
        <v>80</v>
      </c>
    </row>
    <row r="64" spans="1:8" s="877" customFormat="1" ht="36">
      <c r="A64" s="881">
        <v>4</v>
      </c>
      <c r="B64" s="3289"/>
      <c r="C64" s="817" t="s">
        <v>621</v>
      </c>
      <c r="D64" s="817" t="s">
        <v>622</v>
      </c>
      <c r="E64" s="894">
        <v>0.4</v>
      </c>
      <c r="F64" s="881">
        <v>60</v>
      </c>
    </row>
    <row r="65" spans="1:6" s="877" customFormat="1" ht="36">
      <c r="A65" s="881">
        <v>5</v>
      </c>
      <c r="B65" s="3289"/>
      <c r="C65" s="817" t="s">
        <v>623</v>
      </c>
      <c r="D65" s="817" t="s">
        <v>624</v>
      </c>
      <c r="E65" s="894">
        <v>0.2</v>
      </c>
      <c r="F65" s="881">
        <v>30</v>
      </c>
    </row>
    <row r="66" spans="1:6" s="877" customFormat="1" ht="36">
      <c r="A66" s="881">
        <v>6</v>
      </c>
      <c r="B66" s="3289"/>
      <c r="C66" s="817" t="s">
        <v>625</v>
      </c>
      <c r="D66" s="817" t="s">
        <v>626</v>
      </c>
      <c r="E66" s="894">
        <v>0.3</v>
      </c>
      <c r="F66" s="881">
        <v>50</v>
      </c>
    </row>
    <row r="67" spans="1:6" s="877" customFormat="1" ht="36">
      <c r="A67" s="881">
        <v>7</v>
      </c>
      <c r="B67" s="3289"/>
      <c r="C67" s="817" t="s">
        <v>627</v>
      </c>
      <c r="D67" s="817" t="s">
        <v>628</v>
      </c>
      <c r="E67" s="894">
        <v>0.2</v>
      </c>
      <c r="F67" s="881">
        <v>30</v>
      </c>
    </row>
    <row r="68" spans="1:6" s="877" customFormat="1" ht="36">
      <c r="A68" s="881">
        <v>8</v>
      </c>
      <c r="B68" s="3289"/>
      <c r="C68" s="817" t="s">
        <v>629</v>
      </c>
      <c r="D68" s="817" t="s">
        <v>630</v>
      </c>
      <c r="E68" s="894">
        <v>0.2</v>
      </c>
      <c r="F68" s="881">
        <v>30</v>
      </c>
    </row>
    <row r="69" spans="1:6" s="877" customFormat="1" ht="36">
      <c r="A69" s="881">
        <v>9</v>
      </c>
      <c r="B69" s="3289"/>
      <c r="C69" s="817" t="s">
        <v>631</v>
      </c>
      <c r="D69" s="817" t="s">
        <v>632</v>
      </c>
      <c r="E69" s="894">
        <v>0.2</v>
      </c>
      <c r="F69" s="881">
        <v>30</v>
      </c>
    </row>
    <row r="70" spans="1:6" s="877" customFormat="1" ht="48">
      <c r="A70" s="881">
        <v>10</v>
      </c>
      <c r="B70" s="3289"/>
      <c r="C70" s="817" t="s">
        <v>633</v>
      </c>
      <c r="D70" s="817" t="s">
        <v>634</v>
      </c>
      <c r="E70" s="894">
        <v>0.2</v>
      </c>
      <c r="F70" s="881">
        <v>30</v>
      </c>
    </row>
    <row r="71" spans="1:6" s="877" customFormat="1" ht="48">
      <c r="A71" s="881">
        <v>11</v>
      </c>
      <c r="B71" s="3289"/>
      <c r="C71" s="817" t="s">
        <v>635</v>
      </c>
      <c r="D71" s="817" t="s">
        <v>636</v>
      </c>
      <c r="E71" s="894">
        <v>0.2</v>
      </c>
      <c r="F71" s="881">
        <v>30</v>
      </c>
    </row>
    <row r="72" spans="1:6" s="877" customFormat="1" ht="36">
      <c r="A72" s="881">
        <v>12</v>
      </c>
      <c r="B72" s="3289"/>
      <c r="C72" s="817" t="s">
        <v>637</v>
      </c>
      <c r="D72" s="817" t="s">
        <v>638</v>
      </c>
      <c r="E72" s="894">
        <v>0.5</v>
      </c>
      <c r="F72" s="881">
        <v>80</v>
      </c>
    </row>
    <row r="73" spans="1:6" s="877" customFormat="1" ht="24">
      <c r="A73" s="881">
        <v>13</v>
      </c>
      <c r="B73" s="3289"/>
      <c r="C73" s="817" t="s">
        <v>639</v>
      </c>
      <c r="D73" s="817" t="s">
        <v>640</v>
      </c>
      <c r="E73" s="894">
        <v>0.4</v>
      </c>
      <c r="F73" s="881">
        <v>60</v>
      </c>
    </row>
    <row r="74" spans="1:6" s="877" customFormat="1" ht="24">
      <c r="A74" s="881">
        <v>14</v>
      </c>
      <c r="B74" s="3289"/>
      <c r="C74" s="817" t="s">
        <v>641</v>
      </c>
      <c r="D74" s="817" t="s">
        <v>642</v>
      </c>
      <c r="E74" s="894">
        <v>0.2</v>
      </c>
      <c r="F74" s="881">
        <v>30</v>
      </c>
    </row>
    <row r="75" spans="1:6" s="877" customFormat="1" ht="24">
      <c r="A75" s="881">
        <v>15</v>
      </c>
      <c r="B75" s="3289"/>
      <c r="C75" s="817" t="s">
        <v>643</v>
      </c>
      <c r="D75" s="817" t="s">
        <v>644</v>
      </c>
      <c r="E75" s="894">
        <v>0.2</v>
      </c>
      <c r="F75" s="881">
        <v>30</v>
      </c>
    </row>
    <row r="76" spans="1:6" s="877" customFormat="1" ht="24">
      <c r="A76" s="881">
        <v>16</v>
      </c>
      <c r="B76" s="3289" t="s">
        <v>645</v>
      </c>
      <c r="C76" s="817" t="s">
        <v>646</v>
      </c>
      <c r="D76" s="817" t="s">
        <v>647</v>
      </c>
      <c r="E76" s="894">
        <v>0.5</v>
      </c>
      <c r="F76" s="881">
        <v>80</v>
      </c>
    </row>
    <row r="77" spans="1:6" s="877" customFormat="1" ht="24">
      <c r="A77" s="881">
        <v>17</v>
      </c>
      <c r="B77" s="3289"/>
      <c r="C77" s="817" t="s">
        <v>648</v>
      </c>
      <c r="D77" s="817" t="s">
        <v>649</v>
      </c>
      <c r="E77" s="894">
        <v>0.5</v>
      </c>
      <c r="F77" s="881">
        <v>80</v>
      </c>
    </row>
    <row r="78" spans="1:6" s="877" customFormat="1" ht="24">
      <c r="A78" s="881">
        <v>18</v>
      </c>
      <c r="B78" s="3289"/>
      <c r="C78" s="817" t="s">
        <v>650</v>
      </c>
      <c r="D78" s="817" t="s">
        <v>651</v>
      </c>
      <c r="E78" s="894">
        <v>0.2</v>
      </c>
      <c r="F78" s="881">
        <v>30</v>
      </c>
    </row>
    <row r="79" spans="1:6" s="877" customFormat="1" ht="24">
      <c r="A79" s="881">
        <v>19</v>
      </c>
      <c r="B79" s="3289"/>
      <c r="C79" s="817" t="s">
        <v>652</v>
      </c>
      <c r="D79" s="817" t="s">
        <v>653</v>
      </c>
      <c r="E79" s="894">
        <v>0.5</v>
      </c>
      <c r="F79" s="881">
        <v>80</v>
      </c>
    </row>
    <row r="80" spans="1:6" s="877" customFormat="1" ht="36">
      <c r="A80" s="881">
        <v>20</v>
      </c>
      <c r="B80" s="3289"/>
      <c r="C80" s="817" t="s">
        <v>654</v>
      </c>
      <c r="D80" s="817" t="s">
        <v>655</v>
      </c>
      <c r="E80" s="894">
        <v>0.2</v>
      </c>
      <c r="F80" s="881">
        <v>30</v>
      </c>
    </row>
    <row r="81" spans="1:6" s="877" customFormat="1" ht="36">
      <c r="A81" s="881">
        <v>21</v>
      </c>
      <c r="B81" s="3289"/>
      <c r="C81" s="817" t="s">
        <v>656</v>
      </c>
      <c r="D81" s="817" t="s">
        <v>657</v>
      </c>
      <c r="E81" s="894">
        <v>0.2</v>
      </c>
      <c r="F81" s="881">
        <v>30</v>
      </c>
    </row>
    <row r="82" spans="1:6" s="877" customFormat="1" ht="48">
      <c r="A82" s="881">
        <v>22</v>
      </c>
      <c r="B82" s="3289"/>
      <c r="C82" s="817" t="s">
        <v>658</v>
      </c>
      <c r="D82" s="817" t="s">
        <v>659</v>
      </c>
      <c r="E82" s="894">
        <v>0.2</v>
      </c>
      <c r="F82" s="881">
        <v>30</v>
      </c>
    </row>
    <row r="83" spans="1:6" s="877" customFormat="1" ht="48">
      <c r="A83" s="881">
        <v>23</v>
      </c>
      <c r="B83" s="3289"/>
      <c r="C83" s="817" t="s">
        <v>660</v>
      </c>
      <c r="D83" s="817" t="s">
        <v>661</v>
      </c>
      <c r="E83" s="894">
        <v>0.2</v>
      </c>
      <c r="F83" s="881">
        <v>30</v>
      </c>
    </row>
    <row r="84" spans="1:6" s="877" customFormat="1" ht="36">
      <c r="A84" s="881">
        <v>24</v>
      </c>
      <c r="B84" s="3289"/>
      <c r="C84" s="817" t="s">
        <v>662</v>
      </c>
      <c r="D84" s="817" t="s">
        <v>663</v>
      </c>
      <c r="E84" s="894">
        <v>0.2</v>
      </c>
      <c r="F84" s="881">
        <v>30</v>
      </c>
    </row>
    <row r="85" spans="1:6" s="877" customFormat="1" ht="36">
      <c r="A85" s="881">
        <v>25</v>
      </c>
      <c r="B85" s="3289"/>
      <c r="C85" s="817" t="s">
        <v>664</v>
      </c>
      <c r="D85" s="817" t="s">
        <v>665</v>
      </c>
      <c r="E85" s="894">
        <v>0.5</v>
      </c>
      <c r="F85" s="881">
        <v>80</v>
      </c>
    </row>
    <row r="86" spans="1:6" s="877" customFormat="1" ht="36">
      <c r="A86" s="881">
        <v>26</v>
      </c>
      <c r="B86" s="3289"/>
      <c r="C86" s="817" t="s">
        <v>666</v>
      </c>
      <c r="D86" s="817" t="s">
        <v>667</v>
      </c>
      <c r="E86" s="894">
        <v>0.2</v>
      </c>
      <c r="F86" s="881">
        <v>30</v>
      </c>
    </row>
    <row r="87" spans="1:6" s="877" customFormat="1" ht="36">
      <c r="A87" s="881">
        <v>27</v>
      </c>
      <c r="B87" s="3289"/>
      <c r="C87" s="817" t="s">
        <v>668</v>
      </c>
      <c r="D87" s="817" t="s">
        <v>669</v>
      </c>
      <c r="E87" s="894">
        <v>0.2</v>
      </c>
      <c r="F87" s="881">
        <v>30</v>
      </c>
    </row>
    <row r="88" spans="1:6" s="877" customFormat="1" ht="36">
      <c r="A88" s="881">
        <v>28</v>
      </c>
      <c r="B88" s="3289"/>
      <c r="C88" s="817" t="s">
        <v>670</v>
      </c>
      <c r="D88" s="817" t="s">
        <v>671</v>
      </c>
      <c r="E88" s="894">
        <v>0.2</v>
      </c>
      <c r="F88" s="881">
        <v>30</v>
      </c>
    </row>
    <row r="89" spans="1:6" s="877" customFormat="1" ht="24">
      <c r="A89" s="881">
        <v>29</v>
      </c>
      <c r="B89" s="3289"/>
      <c r="C89" s="817" t="s">
        <v>672</v>
      </c>
      <c r="D89" s="817" t="s">
        <v>673</v>
      </c>
      <c r="E89" s="894">
        <v>0.2</v>
      </c>
      <c r="F89" s="881">
        <v>30</v>
      </c>
    </row>
    <row r="90" spans="1:6" s="877" customFormat="1" ht="24">
      <c r="A90" s="881">
        <v>30</v>
      </c>
      <c r="B90" s="3289"/>
      <c r="C90" s="817" t="s">
        <v>674</v>
      </c>
      <c r="D90" s="817" t="s">
        <v>675</v>
      </c>
      <c r="E90" s="894">
        <v>0.2</v>
      </c>
      <c r="F90" s="881">
        <v>30</v>
      </c>
    </row>
    <row r="91" spans="1:6" s="877" customFormat="1" ht="36">
      <c r="A91" s="881">
        <v>31</v>
      </c>
      <c r="B91" s="3289"/>
      <c r="C91" s="817" t="s">
        <v>676</v>
      </c>
      <c r="D91" s="817" t="s">
        <v>677</v>
      </c>
      <c r="E91" s="894">
        <v>0.2</v>
      </c>
      <c r="F91" s="881">
        <v>30</v>
      </c>
    </row>
    <row r="92" spans="1:6" s="877" customFormat="1" ht="24">
      <c r="A92" s="881">
        <v>32</v>
      </c>
      <c r="B92" s="3289" t="s">
        <v>678</v>
      </c>
      <c r="C92" s="881" t="s">
        <v>679</v>
      </c>
      <c r="D92" s="817" t="s">
        <v>680</v>
      </c>
      <c r="E92" s="894">
        <v>0.2</v>
      </c>
      <c r="F92" s="881">
        <v>30</v>
      </c>
    </row>
    <row r="93" spans="1:6" s="877" customFormat="1" ht="36">
      <c r="A93" s="881">
        <v>33</v>
      </c>
      <c r="B93" s="3289"/>
      <c r="C93" s="881" t="s">
        <v>681</v>
      </c>
      <c r="D93" s="817" t="s">
        <v>682</v>
      </c>
      <c r="E93" s="894">
        <v>0.2</v>
      </c>
      <c r="F93" s="881">
        <v>30</v>
      </c>
    </row>
    <row r="94" spans="1:6" s="877" customFormat="1" ht="48">
      <c r="A94" s="881">
        <v>34</v>
      </c>
      <c r="B94" s="3289"/>
      <c r="C94" s="881" t="s">
        <v>683</v>
      </c>
      <c r="D94" s="817" t="s">
        <v>684</v>
      </c>
      <c r="E94" s="894">
        <v>0.2</v>
      </c>
      <c r="F94" s="881">
        <v>30</v>
      </c>
    </row>
    <row r="95" spans="1:6" s="877" customFormat="1" ht="36">
      <c r="A95" s="881">
        <v>35</v>
      </c>
      <c r="B95" s="3289"/>
      <c r="C95" s="881" t="s">
        <v>685</v>
      </c>
      <c r="D95" s="817" t="s">
        <v>686</v>
      </c>
      <c r="E95" s="894">
        <v>0.2</v>
      </c>
      <c r="F95" s="881">
        <v>30</v>
      </c>
    </row>
    <row r="96" spans="1:6" s="877" customFormat="1" ht="48">
      <c r="A96" s="881">
        <v>36</v>
      </c>
      <c r="B96" s="3289"/>
      <c r="C96" s="817" t="s">
        <v>687</v>
      </c>
      <c r="D96" s="817" t="s">
        <v>688</v>
      </c>
      <c r="E96" s="894">
        <v>0.2</v>
      </c>
      <c r="F96" s="881">
        <v>30</v>
      </c>
    </row>
    <row r="97" spans="1:6" s="877" customFormat="1" ht="36">
      <c r="A97" s="881">
        <v>37</v>
      </c>
      <c r="B97" s="3289"/>
      <c r="C97" s="881" t="s">
        <v>689</v>
      </c>
      <c r="D97" s="817" t="s">
        <v>690</v>
      </c>
      <c r="E97" s="894">
        <v>0.2</v>
      </c>
      <c r="F97" s="881">
        <v>30</v>
      </c>
    </row>
    <row r="98" spans="1:6" s="877" customFormat="1" ht="36">
      <c r="A98" s="881">
        <v>38</v>
      </c>
      <c r="B98" s="3289"/>
      <c r="C98" s="881" t="s">
        <v>691</v>
      </c>
      <c r="D98" s="817" t="s">
        <v>692</v>
      </c>
      <c r="E98" s="894">
        <v>0.2</v>
      </c>
      <c r="F98" s="881">
        <v>30</v>
      </c>
    </row>
    <row r="99" spans="1:6" s="877" customFormat="1" ht="36">
      <c r="A99" s="881">
        <v>39</v>
      </c>
      <c r="B99" s="3289" t="s">
        <v>693</v>
      </c>
      <c r="C99" s="881" t="s">
        <v>694</v>
      </c>
      <c r="D99" s="817" t="s">
        <v>695</v>
      </c>
      <c r="E99" s="894">
        <v>0.3</v>
      </c>
      <c r="F99" s="881">
        <v>50</v>
      </c>
    </row>
    <row r="100" spans="1:6" s="877" customFormat="1" ht="24">
      <c r="A100" s="881">
        <v>40</v>
      </c>
      <c r="B100" s="3289"/>
      <c r="C100" s="881" t="s">
        <v>696</v>
      </c>
      <c r="D100" s="817" t="s">
        <v>697</v>
      </c>
      <c r="E100" s="894">
        <v>0.2</v>
      </c>
      <c r="F100" s="881">
        <v>30</v>
      </c>
    </row>
    <row r="101" spans="1:6" s="877" customFormat="1" ht="36">
      <c r="A101" s="881">
        <v>41</v>
      </c>
      <c r="B101" s="328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9" t="s">
        <v>708</v>
      </c>
      <c r="C105" s="881" t="s">
        <v>709</v>
      </c>
      <c r="D105" s="817" t="s">
        <v>710</v>
      </c>
      <c r="E105" s="894">
        <v>0.2</v>
      </c>
      <c r="F105" s="881">
        <v>30</v>
      </c>
    </row>
    <row r="106" spans="1:6" s="877" customFormat="1" ht="36">
      <c r="A106" s="881">
        <v>46</v>
      </c>
      <c r="B106" s="3289"/>
      <c r="C106" s="881" t="s">
        <v>711</v>
      </c>
      <c r="D106" s="817" t="s">
        <v>712</v>
      </c>
      <c r="E106" s="894">
        <v>0.2</v>
      </c>
      <c r="F106" s="881">
        <v>30</v>
      </c>
    </row>
    <row r="107" spans="1:6" s="877" customFormat="1" ht="36">
      <c r="A107" s="881">
        <v>47</v>
      </c>
      <c r="B107" s="3289" t="s">
        <v>713</v>
      </c>
      <c r="C107" s="881" t="s">
        <v>714</v>
      </c>
      <c r="D107" s="817" t="s">
        <v>715</v>
      </c>
      <c r="E107" s="894">
        <v>0.3</v>
      </c>
      <c r="F107" s="881">
        <v>50</v>
      </c>
    </row>
    <row r="108" spans="1:6" s="877" customFormat="1" ht="36">
      <c r="A108" s="881">
        <v>48</v>
      </c>
      <c r="B108" s="328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9" t="s">
        <v>724</v>
      </c>
      <c r="C111" s="881" t="s">
        <v>725</v>
      </c>
      <c r="D111" s="817" t="s">
        <v>726</v>
      </c>
      <c r="E111" s="894">
        <v>0.2</v>
      </c>
      <c r="F111" s="881">
        <v>30</v>
      </c>
    </row>
    <row r="112" spans="1:6" s="877" customFormat="1" ht="24">
      <c r="A112" s="881">
        <v>52</v>
      </c>
      <c r="B112" s="3289"/>
      <c r="C112" s="881" t="s">
        <v>727</v>
      </c>
      <c r="D112" s="817" t="s">
        <v>728</v>
      </c>
      <c r="E112" s="894">
        <v>0.2</v>
      </c>
      <c r="F112" s="881">
        <v>30</v>
      </c>
    </row>
    <row r="113" spans="1:6" s="877" customFormat="1" ht="24">
      <c r="A113" s="881">
        <v>53</v>
      </c>
      <c r="B113" s="328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9" t="s">
        <v>737</v>
      </c>
      <c r="C116" s="881" t="s">
        <v>738</v>
      </c>
      <c r="D116" s="817" t="s">
        <v>739</v>
      </c>
      <c r="E116" s="894">
        <v>0.2</v>
      </c>
      <c r="F116" s="881">
        <v>30</v>
      </c>
    </row>
    <row r="117" spans="1:6" ht="36">
      <c r="A117" s="881">
        <v>57</v>
      </c>
      <c r="B117" s="328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3008</v>
      </c>
    </row>
    <row r="2" spans="1:5" ht="15.75">
      <c r="A2" s="2912" t="s">
        <v>3000</v>
      </c>
      <c r="B2" s="2913" t="e">
        <f ca="1">SUMIF(B6:B13,"&lt;&gt;#ref!",B6:B13)</f>
        <v>#DIV/0!</v>
      </c>
      <c r="C2" s="2912" t="s">
        <v>3001</v>
      </c>
      <c r="D2" s="2912" t="s">
        <v>3002</v>
      </c>
      <c r="E2" s="2913">
        <f ca="1">SUMIF(E6:E13,"&lt;&gt;#ref!",E6:E13)</f>
        <v>0</v>
      </c>
    </row>
    <row r="3" spans="1:5" ht="15.75">
      <c r="A3" s="2912" t="s">
        <v>3003</v>
      </c>
      <c r="B3" s="2913" t="e">
        <f ca="1">ROUND(B2*10000/E2,0)</f>
        <v>#DIV/0!</v>
      </c>
      <c r="C3" s="2912" t="s">
        <v>3009</v>
      </c>
      <c r="D3" s="2914"/>
      <c r="E3" s="2914"/>
    </row>
    <row r="4" spans="1:5" ht="15.75">
      <c r="A4" s="2915"/>
      <c r="B4" s="2914"/>
      <c r="C4" s="2914"/>
      <c r="D4" s="2914"/>
      <c r="E4" s="2914"/>
    </row>
    <row r="5" spans="1:5" ht="28.5">
      <c r="A5" s="2916" t="s">
        <v>3004</v>
      </c>
      <c r="B5" s="2912" t="s">
        <v>3005</v>
      </c>
      <c r="C5" s="2913"/>
      <c r="D5" s="2914"/>
      <c r="E5" s="2912" t="s">
        <v>3006</v>
      </c>
    </row>
    <row r="6" spans="1:5" ht="15.75">
      <c r="A6" s="2917" t="s">
        <v>3007</v>
      </c>
      <c r="B6" s="2913" t="e">
        <f ca="1">SUMIF(INDIRECT("'"&amp;A6&amp;"'"&amp;"!A:A"),"总价",INDIRECT("'"&amp;A6&amp;"'"&amp;"!B:B"))</f>
        <v>#DIV/0!</v>
      </c>
      <c r="C6" s="2912" t="s">
        <v>3001</v>
      </c>
      <c r="D6" s="2914"/>
      <c r="E6" s="2577">
        <f ca="1">SUMIF(INDIRECT("'"&amp;A6&amp;"'"&amp;"!C:C"),"建筑面积",INDIRECT("'"&amp;A6&amp;"'"&amp;"!D:D"))</f>
        <v>0</v>
      </c>
    </row>
    <row r="7" spans="1:5" ht="15.75">
      <c r="A7" s="2917"/>
      <c r="B7" s="2913" t="e">
        <f ca="1">SUMIF(INDIRECT("'"&amp;A7&amp;"'"&amp;"!A:A"),"总价",INDIRECT("'"&amp;A7&amp;"'"&amp;"!B:B"))</f>
        <v>#REF!</v>
      </c>
      <c r="C7" s="2912" t="s">
        <v>3001</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3001</v>
      </c>
      <c r="D8" s="2914"/>
      <c r="E8" s="2577" t="e">
        <f t="shared" ca="1" si="0"/>
        <v>#REF!</v>
      </c>
    </row>
    <row r="9" spans="1:5" ht="15.75">
      <c r="A9" s="2917"/>
      <c r="B9" s="2913" t="e">
        <f t="shared" ca="1" si="1"/>
        <v>#REF!</v>
      </c>
      <c r="C9" s="2912" t="s">
        <v>3001</v>
      </c>
      <c r="D9" s="2914"/>
      <c r="E9" s="2577" t="e">
        <f t="shared" ca="1" si="0"/>
        <v>#REF!</v>
      </c>
    </row>
    <row r="10" spans="1:5" ht="15.75">
      <c r="A10" s="2917"/>
      <c r="B10" s="2913" t="e">
        <f t="shared" ca="1" si="1"/>
        <v>#REF!</v>
      </c>
      <c r="C10" s="2912" t="s">
        <v>3001</v>
      </c>
      <c r="D10" s="2914"/>
      <c r="E10" s="2577" t="e">
        <f t="shared" ca="1" si="0"/>
        <v>#REF!</v>
      </c>
    </row>
    <row r="11" spans="1:5" ht="15.75">
      <c r="A11" s="2917"/>
      <c r="B11" s="2913" t="e">
        <f t="shared" ca="1" si="1"/>
        <v>#REF!</v>
      </c>
      <c r="C11" s="2912" t="s">
        <v>3001</v>
      </c>
      <c r="D11" s="2914"/>
      <c r="E11" s="2577" t="e">
        <f t="shared" ca="1" si="0"/>
        <v>#REF!</v>
      </c>
    </row>
    <row r="12" spans="1:5" ht="15.75">
      <c r="A12" s="2917"/>
      <c r="B12" s="2913" t="e">
        <f t="shared" ca="1" si="1"/>
        <v>#REF!</v>
      </c>
      <c r="C12" s="2912" t="s">
        <v>3001</v>
      </c>
      <c r="D12" s="2914"/>
      <c r="E12" s="2577" t="e">
        <f t="shared" ca="1" si="0"/>
        <v>#REF!</v>
      </c>
    </row>
    <row r="13" spans="1:5" ht="15.75">
      <c r="A13" s="2917"/>
      <c r="B13" s="2913" t="e">
        <f t="shared" ca="1" si="1"/>
        <v>#REF!</v>
      </c>
      <c r="C13" s="2912" t="s">
        <v>3001</v>
      </c>
      <c r="D13" s="2914"/>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9.5" thickBot="1">
      <c r="A4" s="1961"/>
      <c r="B4" s="2985" t="s">
        <v>1630</v>
      </c>
      <c r="C4" s="2985"/>
      <c r="D4" s="2985"/>
      <c r="E4" s="1961"/>
    </row>
    <row r="5" spans="1:5" ht="16.5" thickTop="1">
      <c r="A5" s="1959"/>
      <c r="B5" s="2983" t="s">
        <v>1622</v>
      </c>
      <c r="C5" s="1962" t="s">
        <v>1623</v>
      </c>
      <c r="D5" s="1042">
        <f ca="1">结果表!H101</f>
        <v>418</v>
      </c>
      <c r="E5" s="1959"/>
    </row>
    <row r="6" spans="1:5" ht="15.75">
      <c r="A6" s="1959"/>
      <c r="B6" s="2983"/>
      <c r="C6" s="1962" t="s">
        <v>1624</v>
      </c>
      <c r="D6" s="1042" t="str">
        <f ca="1">NUMBERSTRING(INT(D5*10000),2)&amp;"元整"</f>
        <v>肆佰壹拾捌万元整</v>
      </c>
      <c r="E6" s="1959"/>
    </row>
    <row r="7" spans="1:5" ht="15.75">
      <c r="A7" s="1959"/>
      <c r="B7" s="2988"/>
      <c r="C7" s="1963" t="s">
        <v>1625</v>
      </c>
      <c r="D7" s="1043">
        <f ca="1">结果表!H102</f>
        <v>16723</v>
      </c>
      <c r="E7" s="1959"/>
    </row>
    <row r="8" spans="1:5" ht="15.75">
      <c r="A8" s="1959"/>
      <c r="B8" s="2989" t="str">
        <f>结果表!E103</f>
        <v>2.估价师知悉的法定优先受偿款</v>
      </c>
      <c r="C8" s="1964" t="s">
        <v>1626</v>
      </c>
      <c r="D8" s="1043">
        <f>结果表!H103</f>
        <v>0</v>
      </c>
      <c r="E8" s="1959"/>
    </row>
    <row r="9" spans="1:5" ht="15.75">
      <c r="A9" s="1959"/>
      <c r="B9" s="2991"/>
      <c r="C9" s="1962" t="s">
        <v>1624</v>
      </c>
      <c r="D9" s="1042" t="str">
        <f>NUMBERSTRING(INT(D8*10000),2)&amp;"元整"</f>
        <v>零元整</v>
      </c>
      <c r="E9" s="1959"/>
    </row>
    <row r="10" spans="1:5" ht="15">
      <c r="A10" s="1959"/>
      <c r="B10" s="1965" t="s">
        <v>1629</v>
      </c>
      <c r="C10" s="1966" t="s">
        <v>1627</v>
      </c>
      <c r="D10" s="1044">
        <f>结果表!H104</f>
        <v>0</v>
      </c>
      <c r="E10" s="1959"/>
    </row>
    <row r="11" spans="1:5" ht="15">
      <c r="A11" s="1959"/>
      <c r="B11" s="1965" t="s">
        <v>1631</v>
      </c>
      <c r="C11" s="1966" t="s">
        <v>1632</v>
      </c>
      <c r="D11" s="1044">
        <f>结果表!H105</f>
        <v>0</v>
      </c>
      <c r="E11" s="1959"/>
    </row>
    <row r="12" spans="1:5" ht="15">
      <c r="A12" s="1959"/>
      <c r="B12" s="1965" t="s">
        <v>1633</v>
      </c>
      <c r="C12" s="1966" t="s">
        <v>1632</v>
      </c>
      <c r="D12" s="1044">
        <f>结果表!H106</f>
        <v>0</v>
      </c>
      <c r="E12" s="1959"/>
    </row>
    <row r="13" spans="1:5" ht="15.75">
      <c r="A13" s="1959"/>
      <c r="B13" s="2982" t="str">
        <f>结果表!E107</f>
        <v>3.房地产抵押价值</v>
      </c>
      <c r="C13" s="1967" t="s">
        <v>1623</v>
      </c>
      <c r="D13" s="1045">
        <f ca="1">结果表!H107</f>
        <v>418</v>
      </c>
      <c r="E13" s="1959"/>
    </row>
    <row r="14" spans="1:5" ht="15.75">
      <c r="A14" s="1959"/>
      <c r="B14" s="2983"/>
      <c r="C14" s="1962" t="s">
        <v>1624</v>
      </c>
      <c r="D14" s="1042" t="str">
        <f ca="1">NUMBERSTRING(INT(D13*10000),2)&amp;"元整"</f>
        <v>肆佰壹拾捌万元整</v>
      </c>
      <c r="E14" s="1959"/>
    </row>
    <row r="15" spans="1:5" ht="15">
      <c r="A15" s="1959"/>
      <c r="B15" s="2988"/>
      <c r="C15" s="1963" t="s">
        <v>1634</v>
      </c>
      <c r="D15" s="1054">
        <f ca="1">结果表!H108</f>
        <v>16723</v>
      </c>
      <c r="E15" s="1959"/>
    </row>
    <row r="16" spans="1:5" ht="15">
      <c r="A16" s="1959"/>
      <c r="B16" s="2989" t="str">
        <f>结果表!E109</f>
        <v>——</v>
      </c>
      <c r="C16" s="1967" t="s">
        <v>1635</v>
      </c>
      <c r="D16" s="1968" t="str">
        <f>结果表!H109</f>
        <v>——</v>
      </c>
      <c r="E16" s="1959"/>
    </row>
    <row r="17" spans="1:5" ht="15.75">
      <c r="A17" s="1959"/>
      <c r="B17" s="2990"/>
      <c r="C17" s="1962" t="s">
        <v>1636</v>
      </c>
      <c r="D17" s="1042" t="e">
        <f>NUMBERSTRING(INT(D16*10000),2)&amp;"元整"</f>
        <v>#VALUE!</v>
      </c>
      <c r="E17" s="1959"/>
    </row>
    <row r="18" spans="1:5" ht="15">
      <c r="A18" s="1959"/>
      <c r="B18" s="2991"/>
      <c r="C18" s="1963" t="s">
        <v>1625</v>
      </c>
      <c r="D18" s="1054" t="str">
        <f>结果表!H110</f>
        <v>——</v>
      </c>
      <c r="E18" s="1959"/>
    </row>
    <row r="19" spans="1:5" ht="15.75">
      <c r="A19" s="1959"/>
      <c r="B19" s="2982" t="str">
        <f>结果表!E111</f>
        <v>——</v>
      </c>
      <c r="C19" s="1967" t="s">
        <v>1623</v>
      </c>
      <c r="D19" s="1043" t="str">
        <f>结果表!H111</f>
        <v>——</v>
      </c>
      <c r="E19" s="1959"/>
    </row>
    <row r="20" spans="1:5" ht="15.75">
      <c r="A20" s="1959"/>
      <c r="B20" s="2983"/>
      <c r="C20" s="1962" t="s">
        <v>1636</v>
      </c>
      <c r="D20" s="1042" t="e">
        <f>NUMBERSTRING(INT(D19*10000),2)&amp;"元整"</f>
        <v>#VALUE!</v>
      </c>
      <c r="E20" s="1959"/>
    </row>
    <row r="21" spans="1:5" ht="15.75" thickBot="1">
      <c r="A21" s="1959"/>
      <c r="B21" s="2984"/>
      <c r="C21" s="1969" t="s">
        <v>1634</v>
      </c>
      <c r="D21" s="1055"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5" t="s">
        <v>1150</v>
      </c>
      <c r="C1" s="3295"/>
      <c r="D1" s="3295"/>
      <c r="E1" s="3295"/>
      <c r="F1" s="3295"/>
      <c r="G1" s="3291" t="s">
        <v>1151</v>
      </c>
      <c r="H1" s="3291"/>
      <c r="I1" s="3291"/>
      <c r="J1" s="3291"/>
      <c r="K1" s="3291"/>
      <c r="L1" s="3291"/>
      <c r="N1" s="3291" t="s">
        <v>1152</v>
      </c>
      <c r="O1" s="3291"/>
      <c r="P1" s="3291"/>
      <c r="Q1" s="3291"/>
      <c r="R1" s="1448"/>
      <c r="S1" s="3291" t="s">
        <v>1153</v>
      </c>
      <c r="T1" s="3291"/>
      <c r="U1" s="3291"/>
      <c r="V1" s="3291"/>
      <c r="X1" s="3290" t="s">
        <v>1154</v>
      </c>
      <c r="Y1" s="3291"/>
      <c r="Z1" s="3291"/>
      <c r="AA1" s="3291"/>
      <c r="AB1" s="3291"/>
      <c r="AD1" s="3290" t="s">
        <v>1155</v>
      </c>
      <c r="AE1" s="3291"/>
      <c r="AF1" s="3291"/>
      <c r="AG1" s="3291"/>
      <c r="AH1" s="3291"/>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1" customFormat="1" ht="14.25">
      <c r="A3" s="2940" t="s">
        <v>3036</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1.4517</v>
      </c>
      <c r="Y3" s="2938">
        <f>ROUND(SUMPRODUCT(PRODUCT(1+O3:O$22)),4)</f>
        <v>1.2928999999999999</v>
      </c>
      <c r="Z3" s="2938">
        <f t="shared" ref="Z3:Z20" si="0">Y3</f>
        <v>1.2928999999999999</v>
      </c>
      <c r="AA3" s="2938">
        <f>ROUND(SUMPRODUCT(PRODUCT(1+P3:P$22)),4)</f>
        <v>1.5068999999999999</v>
      </c>
      <c r="AB3" s="2938">
        <f>ROUND(SUMPRODUCT(PRODUCT(1+Q3:Q$22)),4)</f>
        <v>1.2557</v>
      </c>
      <c r="AD3" s="2939">
        <f>ROUND(AVERAGE(I3:I$23)/100,4)</f>
        <v>2.1600000000000001E-2</v>
      </c>
      <c r="AE3" s="2939">
        <f>ROUND(AVERAGE(J3:J$23)/100,4)</f>
        <v>1.4999999999999999E-2</v>
      </c>
      <c r="AF3" s="2939">
        <f t="shared" ref="AF3:AF21" si="1">AE3</f>
        <v>1.4999999999999999E-2</v>
      </c>
      <c r="AG3" s="2939">
        <f>ROUND(AVERAGE(K3:K$23)/100,4)</f>
        <v>2.3900000000000001E-2</v>
      </c>
      <c r="AH3" s="2939">
        <f>ROUND(AVERAGE(L3:L$23)/100,4)</f>
        <v>1.2800000000000001E-2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3043</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43">
        <v>2018</v>
      </c>
      <c r="H5" s="1732">
        <v>3</v>
      </c>
      <c r="I5" s="2926">
        <v>0</v>
      </c>
      <c r="J5" s="2926">
        <v>0</v>
      </c>
      <c r="K5" s="2926">
        <v>0</v>
      </c>
      <c r="L5" s="2926">
        <v>0</v>
      </c>
      <c r="N5" s="1469">
        <f>I5/100</f>
        <v>0</v>
      </c>
      <c r="O5" s="1469">
        <f t="shared" ref="O5" si="7">J5/100</f>
        <v>0</v>
      </c>
      <c r="P5" s="1469">
        <f t="shared" ref="P5" si="8">K5/100</f>
        <v>0</v>
      </c>
      <c r="Q5" s="1469">
        <f t="shared" ref="Q5" si="9">L5/100</f>
        <v>0</v>
      </c>
      <c r="R5" s="1734"/>
      <c r="S5" s="1735"/>
      <c r="T5" s="1734"/>
      <c r="U5" s="1734"/>
      <c r="V5" s="1734"/>
      <c r="W5" s="2930" t="s">
        <v>3037</v>
      </c>
      <c r="X5" s="1728">
        <f>ROUND(SUMPRODUCT(PRODUCT(1+N5:N$22)),4)</f>
        <v>1.4517</v>
      </c>
      <c r="Y5" s="1728">
        <f>ROUND(SUMPRODUCT(PRODUCT(1+O5:O$22)),4)</f>
        <v>1.2928999999999999</v>
      </c>
      <c r="Z5" s="1728">
        <f t="shared" ref="Z5" si="10">Y5</f>
        <v>1.2928999999999999</v>
      </c>
      <c r="AA5" s="1728">
        <f>ROUND(SUMPRODUCT(PRODUCT(1+P5:P$22)),4)</f>
        <v>1.5068999999999999</v>
      </c>
      <c r="AB5" s="1728">
        <f>ROUND(SUMPRODUCT(PRODUCT(1+Q5:Q$22)),4)</f>
        <v>1.2557</v>
      </c>
      <c r="AD5" s="1470">
        <f>ROUND(AVERAGE(I5:I$23)/100,4)</f>
        <v>2.1499999999999998E-2</v>
      </c>
      <c r="AE5" s="1470">
        <f>ROUND(AVERAGE(J5:J$23)/100,4)</f>
        <v>1.49E-2</v>
      </c>
      <c r="AF5" s="1470">
        <f t="shared" ref="AF5" si="11">AE5</f>
        <v>1.49E-2</v>
      </c>
      <c r="AG5" s="1470">
        <f>ROUND(AVERAGE(K5:K$23)/100,4)</f>
        <v>2.3699999999999999E-2</v>
      </c>
      <c r="AH5" s="1470">
        <f>ROUND(AVERAGE(L5:L$23)/100,4)</f>
        <v>1.2800000000000001E-2</v>
      </c>
    </row>
    <row r="6" spans="1:34" s="1468" customFormat="1" ht="13.5" thickBot="1">
      <c r="A6" s="1463" t="s">
        <v>3044</v>
      </c>
      <c r="B6" s="1479">
        <f t="shared" ref="B6" si="12">B7*(1+N6)</f>
        <v>446.46299999999997</v>
      </c>
      <c r="C6" s="1479">
        <f t="shared" ref="C6" si="13">C7*(1+O6)</f>
        <v>333.27840000000003</v>
      </c>
      <c r="D6" s="1479">
        <f t="shared" ref="D6" si="14">C6</f>
        <v>333.27840000000003</v>
      </c>
      <c r="E6" s="1479">
        <f t="shared" ref="E6" si="15">E7*(1+P6)</f>
        <v>637.28279999999995</v>
      </c>
      <c r="F6" s="1479">
        <f t="shared" ref="F6" si="16">F7*(1+Q6)</f>
        <v>288.68830000000003</v>
      </c>
      <c r="G6" s="2941"/>
      <c r="H6" s="1466">
        <v>2</v>
      </c>
      <c r="I6" s="1466">
        <v>0</v>
      </c>
      <c r="J6" s="1466">
        <v>0</v>
      </c>
      <c r="K6" s="1466">
        <v>0</v>
      </c>
      <c r="L6" s="1480">
        <v>0</v>
      </c>
      <c r="M6" s="1473"/>
      <c r="N6" s="1474">
        <f t="shared" ref="N6" si="17">I6/100</f>
        <v>0</v>
      </c>
      <c r="O6" s="1475">
        <f t="shared" ref="O6" si="18">J6/100</f>
        <v>0</v>
      </c>
      <c r="P6" s="1475">
        <f t="shared" ref="P6" si="19">K6/100</f>
        <v>0</v>
      </c>
      <c r="Q6" s="1475">
        <f t="shared" ref="Q6" si="20">L6/100</f>
        <v>0</v>
      </c>
      <c r="R6" s="1476"/>
      <c r="S6" s="1474"/>
      <c r="T6" s="1475"/>
      <c r="U6" s="1475"/>
      <c r="V6" s="1475"/>
      <c r="W6" s="1790"/>
      <c r="X6" s="1788">
        <f>ROUND(SUMPRODUCT(PRODUCT(1+N6:N$22)),4)</f>
        <v>1.4517</v>
      </c>
      <c r="Y6" s="1788">
        <f>ROUND(SUMPRODUCT(PRODUCT(1+O6:O$22)),4)</f>
        <v>1.2928999999999999</v>
      </c>
      <c r="Z6" s="1788">
        <f t="shared" ref="Z6" si="21">Y6</f>
        <v>1.2928999999999999</v>
      </c>
      <c r="AA6" s="1788">
        <f>ROUND(SUMPRODUCT(PRODUCT(1+P6:P$22)),4)</f>
        <v>1.5068999999999999</v>
      </c>
      <c r="AB6" s="1788">
        <f>ROUND(SUMPRODUCT(PRODUCT(1+Q6:Q$22)),4)</f>
        <v>1.2557</v>
      </c>
      <c r="AC6" s="1790"/>
      <c r="AD6" s="1789">
        <f>ROUND(AVERAGE(I6:I$23)/100,4)</f>
        <v>2.2700000000000001E-2</v>
      </c>
      <c r="AE6" s="1789">
        <f>ROUND(AVERAGE(J6:J$23)/100,4)</f>
        <v>1.5699999999999999E-2</v>
      </c>
      <c r="AF6" s="1789">
        <f t="shared" ref="AF6" si="22">AE6</f>
        <v>1.5699999999999999E-2</v>
      </c>
      <c r="AG6" s="1789">
        <f>ROUND(AVERAGE(K6:K$23)/100,4)</f>
        <v>2.5000000000000001E-2</v>
      </c>
      <c r="AH6" s="1789">
        <f>ROUND(AVERAGE(L6:L$23)/100,4)</f>
        <v>1.35E-2</v>
      </c>
    </row>
    <row r="7" spans="1:34" s="1468" customFormat="1" ht="13.5" thickBot="1">
      <c r="A7" s="1463" t="s">
        <v>3035</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1"/>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3" t="s">
        <v>3032</v>
      </c>
      <c r="B8" s="1471">
        <v>439</v>
      </c>
      <c r="C8" s="1471">
        <v>327</v>
      </c>
      <c r="D8" s="1471">
        <f>C8</f>
        <v>327</v>
      </c>
      <c r="E8" s="1471">
        <v>627</v>
      </c>
      <c r="F8" s="1472">
        <v>283</v>
      </c>
      <c r="G8" s="2928">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3033</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4"/>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3"/>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5"/>
      <c r="AD10" s="1789">
        <f>ROUND(AVERAGE(I10:I$23)/100,4)</f>
        <v>2.46E-2</v>
      </c>
      <c r="AE10" s="1789">
        <f>ROUND(AVERAGE(J10:J$23)/100,4)</f>
        <v>1.6E-2</v>
      </c>
      <c r="AF10" s="1789">
        <f t="shared" si="1"/>
        <v>1.6E-2</v>
      </c>
      <c r="AG10" s="1789">
        <f>ROUND(AVERAGE(K10:K$23)/100,4)</f>
        <v>2.75E-2</v>
      </c>
      <c r="AH10" s="1789">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4"/>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3" t="s">
        <v>154</v>
      </c>
      <c r="B12" s="1471">
        <v>392</v>
      </c>
      <c r="C12" s="1471">
        <v>302</v>
      </c>
      <c r="D12" s="1471">
        <f>C12</f>
        <v>302</v>
      </c>
      <c r="E12" s="1471">
        <v>553</v>
      </c>
      <c r="F12" s="1472">
        <v>266</v>
      </c>
      <c r="G12" s="3296">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93"/>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93"/>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94"/>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92">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93"/>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93"/>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94"/>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92">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93"/>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93"/>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94"/>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297">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298"/>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298"/>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299"/>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92">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93"/>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93"/>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94"/>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92">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93">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93">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94">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92">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93">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93">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94">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92">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93">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93">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94">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92">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93">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93">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94">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92">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93">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93">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94">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92">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93">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93">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94">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92">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93">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93">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94">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92">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93">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93">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94">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92">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93">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93">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94">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92">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93">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93">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94">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sqref="A1:XFD1048576"/>
      <selection pane="bottomLeft" activeCell="R72" sqref="R24:R7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3010</v>
      </c>
      <c r="C1" s="3301" t="s">
        <v>3011</v>
      </c>
      <c r="D1" s="3302"/>
      <c r="E1" s="3302"/>
      <c r="F1" s="3302"/>
      <c r="G1" s="3302"/>
      <c r="H1" s="3302"/>
      <c r="I1" s="3302"/>
      <c r="J1" s="3302"/>
      <c r="K1" s="3302"/>
      <c r="L1" s="3302"/>
      <c r="M1" s="3302"/>
      <c r="N1" s="3302"/>
      <c r="O1" s="3302"/>
      <c r="P1" s="3302"/>
      <c r="Q1" s="3302"/>
      <c r="R1" s="3302"/>
      <c r="S1" s="3303"/>
      <c r="T1" s="1206" t="s">
        <v>3012</v>
      </c>
    </row>
    <row r="2" spans="1:45" s="706" customFormat="1" ht="38.25">
      <c r="A2" s="1207"/>
      <c r="B2" s="702" t="s">
        <v>3013</v>
      </c>
      <c r="C2" s="703" t="str">
        <f t="shared" ref="C2:L2" si="0">C3&amp;"(含)"&amp;"-"&amp;D3</f>
        <v>0(含)-100</v>
      </c>
      <c r="D2" s="704" t="str">
        <f t="shared" si="0"/>
        <v>100(含)-200</v>
      </c>
      <c r="E2" s="704" t="str">
        <f t="shared" si="0"/>
        <v>200(含)-400</v>
      </c>
      <c r="F2" s="704" t="str">
        <f t="shared" si="0"/>
        <v>400(含)-600</v>
      </c>
      <c r="G2" s="704" t="str">
        <f t="shared" si="0"/>
        <v>600(含)-800</v>
      </c>
      <c r="H2" s="704" t="str">
        <f t="shared" si="0"/>
        <v>800(含)-1000</v>
      </c>
      <c r="I2" s="704" t="str">
        <f t="shared" si="0"/>
        <v>1000(含)-1500</v>
      </c>
      <c r="J2" s="704" t="str">
        <f t="shared" si="0"/>
        <v>1500(含)-2000</v>
      </c>
      <c r="K2" s="704" t="str">
        <f t="shared" si="0"/>
        <v>2000(含)-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v>
      </c>
      <c r="E3" s="709">
        <v>200</v>
      </c>
      <c r="F3" s="1706">
        <v>400</v>
      </c>
      <c r="G3" s="1706">
        <v>600</v>
      </c>
      <c r="H3" s="1706">
        <v>800</v>
      </c>
      <c r="I3" s="1706">
        <v>1000</v>
      </c>
      <c r="J3" s="1706">
        <v>1500</v>
      </c>
      <c r="K3" s="1706">
        <v>2000</v>
      </c>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98</v>
      </c>
      <c r="E4" s="1213">
        <v>96</v>
      </c>
      <c r="F4" s="1213">
        <v>94</v>
      </c>
      <c r="G4" s="1213">
        <v>92</v>
      </c>
      <c r="H4" s="1213">
        <v>90</v>
      </c>
      <c r="I4" s="1213">
        <v>88</v>
      </c>
      <c r="J4" s="1213">
        <v>86</v>
      </c>
      <c r="K4" s="1213">
        <v>84</v>
      </c>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5.5">
      <c r="A5" s="1217"/>
      <c r="B5" s="2973" t="s">
        <v>3384</v>
      </c>
      <c r="C5" s="1218" t="s">
        <v>3430</v>
      </c>
      <c r="D5" s="1219" t="s">
        <v>3431</v>
      </c>
      <c r="E5" s="1219" t="s">
        <v>3432</v>
      </c>
      <c r="F5" s="1713" t="s">
        <v>3433</v>
      </c>
      <c r="G5" s="1713"/>
      <c r="H5" s="1713"/>
      <c r="I5" s="1713"/>
      <c r="J5" s="1713"/>
      <c r="K5" s="1713"/>
      <c r="L5" s="1714"/>
      <c r="M5" s="1715"/>
      <c r="N5" s="1715"/>
      <c r="O5" s="1713"/>
      <c r="P5" s="1713"/>
      <c r="Q5" s="1713"/>
      <c r="R5" s="1713"/>
      <c r="S5" s="1716"/>
      <c r="T5" s="1221">
        <f>'比较法-商业'!K25</f>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2974" t="s">
        <v>3385</v>
      </c>
      <c r="C7" s="1123" t="s">
        <v>3434</v>
      </c>
      <c r="D7" s="1117" t="s">
        <v>3234</v>
      </c>
      <c r="E7" s="1117" t="s">
        <v>3246</v>
      </c>
      <c r="F7" s="1718" t="s">
        <v>3435</v>
      </c>
      <c r="G7" s="1718" t="s">
        <v>3436</v>
      </c>
      <c r="H7" s="1718"/>
      <c r="I7" s="1718"/>
      <c r="J7" s="1718"/>
      <c r="K7" s="1718"/>
      <c r="L7" s="1718"/>
      <c r="M7" s="1719"/>
      <c r="N7" s="1720"/>
      <c r="O7" s="1721"/>
      <c r="P7" s="1722"/>
      <c r="Q7" s="1723"/>
      <c r="R7" s="1724"/>
      <c r="S7" s="1725"/>
      <c r="T7" s="712">
        <v>2</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98</v>
      </c>
      <c r="E8" s="1121">
        <f t="shared" ref="E8:S8" si="8">D8-$T7</f>
        <v>96</v>
      </c>
      <c r="F8" s="1717">
        <f t="shared" si="8"/>
        <v>94</v>
      </c>
      <c r="G8" s="1717">
        <f t="shared" si="8"/>
        <v>92</v>
      </c>
      <c r="H8" s="1717">
        <f t="shared" si="8"/>
        <v>90</v>
      </c>
      <c r="I8" s="1717">
        <f t="shared" si="8"/>
        <v>88</v>
      </c>
      <c r="J8" s="1717">
        <f t="shared" si="8"/>
        <v>86</v>
      </c>
      <c r="K8" s="1717">
        <f t="shared" si="8"/>
        <v>84</v>
      </c>
      <c r="L8" s="1717">
        <f t="shared" si="8"/>
        <v>82</v>
      </c>
      <c r="M8" s="1717">
        <f t="shared" si="8"/>
        <v>80</v>
      </c>
      <c r="N8" s="1717">
        <f t="shared" si="8"/>
        <v>78</v>
      </c>
      <c r="O8" s="1717">
        <f t="shared" si="8"/>
        <v>76</v>
      </c>
      <c r="P8" s="1717">
        <f t="shared" si="8"/>
        <v>74</v>
      </c>
      <c r="Q8" s="1717">
        <f t="shared" si="8"/>
        <v>72</v>
      </c>
      <c r="R8" s="1717">
        <f t="shared" si="8"/>
        <v>70</v>
      </c>
      <c r="S8" s="1717">
        <f t="shared" si="8"/>
        <v>68</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2974" t="s">
        <v>3386</v>
      </c>
      <c r="C9" s="1123" t="s">
        <v>3437</v>
      </c>
      <c r="D9" s="1117" t="s">
        <v>3438</v>
      </c>
      <c r="E9" s="1117" t="s">
        <v>3439</v>
      </c>
      <c r="F9" s="1718" t="s">
        <v>3440</v>
      </c>
      <c r="G9" s="1718"/>
      <c r="H9" s="1718"/>
      <c r="I9" s="1718"/>
      <c r="J9" s="1718"/>
      <c r="K9" s="1718"/>
      <c r="L9" s="1726"/>
      <c r="M9" s="1719"/>
      <c r="N9" s="1720"/>
      <c r="O9" s="1721"/>
      <c r="P9" s="1722"/>
      <c r="Q9" s="1723"/>
      <c r="R9" s="1724"/>
      <c r="S9" s="1725"/>
      <c r="T9" s="712">
        <v>3</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97</v>
      </c>
      <c r="E10" s="1223">
        <f t="shared" ref="E10:S10" si="9">D10-$T9</f>
        <v>94</v>
      </c>
      <c r="F10" s="1727">
        <f t="shared" si="9"/>
        <v>91</v>
      </c>
      <c r="G10" s="1727">
        <f t="shared" si="9"/>
        <v>88</v>
      </c>
      <c r="H10" s="1727">
        <f t="shared" si="9"/>
        <v>85</v>
      </c>
      <c r="I10" s="1727">
        <f t="shared" si="9"/>
        <v>82</v>
      </c>
      <c r="J10" s="1727">
        <f t="shared" si="9"/>
        <v>79</v>
      </c>
      <c r="K10" s="1727">
        <f t="shared" si="9"/>
        <v>76</v>
      </c>
      <c r="L10" s="1727">
        <f t="shared" si="9"/>
        <v>73</v>
      </c>
      <c r="M10" s="1727">
        <f t="shared" si="9"/>
        <v>70</v>
      </c>
      <c r="N10" s="1727">
        <f t="shared" si="9"/>
        <v>67</v>
      </c>
      <c r="O10" s="1727">
        <f t="shared" si="9"/>
        <v>64</v>
      </c>
      <c r="P10" s="1727">
        <f t="shared" si="9"/>
        <v>61</v>
      </c>
      <c r="Q10" s="1727">
        <f t="shared" si="9"/>
        <v>58</v>
      </c>
      <c r="R10" s="1727">
        <f t="shared" si="9"/>
        <v>55</v>
      </c>
      <c r="S10" s="1727">
        <f t="shared" si="9"/>
        <v>52</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t="25.5">
      <c r="A11" s="1217"/>
      <c r="B11" s="2973" t="s">
        <v>3415</v>
      </c>
      <c r="C11" s="1218" t="s">
        <v>3441</v>
      </c>
      <c r="D11" s="1219" t="s">
        <v>3442</v>
      </c>
      <c r="E11" s="1219"/>
      <c r="F11" s="1219"/>
      <c r="G11" s="1219"/>
      <c r="H11" s="1219"/>
      <c r="I11" s="1219"/>
      <c r="J11" s="1219"/>
      <c r="K11" s="1219"/>
      <c r="L11" s="1219"/>
      <c r="M11" s="1220"/>
      <c r="N11" s="1224"/>
      <c r="O11" s="1225"/>
      <c r="P11" s="1226"/>
      <c r="Q11" s="1227"/>
      <c r="R11" s="1228"/>
      <c r="S11" s="1229"/>
      <c r="T11" s="1221">
        <v>5</v>
      </c>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95</v>
      </c>
      <c r="E12" s="1121">
        <f t="shared" ref="E12:S12" si="10">D12-$T11</f>
        <v>90</v>
      </c>
      <c r="F12" s="1121">
        <f t="shared" si="10"/>
        <v>85</v>
      </c>
      <c r="G12" s="1121">
        <f t="shared" si="10"/>
        <v>80</v>
      </c>
      <c r="H12" s="1121">
        <f t="shared" si="10"/>
        <v>75</v>
      </c>
      <c r="I12" s="1121">
        <f t="shared" si="10"/>
        <v>70</v>
      </c>
      <c r="J12" s="1121">
        <f t="shared" si="10"/>
        <v>65</v>
      </c>
      <c r="K12" s="1121">
        <f t="shared" si="10"/>
        <v>60</v>
      </c>
      <c r="L12" s="1121">
        <f t="shared" si="10"/>
        <v>55</v>
      </c>
      <c r="M12" s="1121">
        <f t="shared" si="10"/>
        <v>50</v>
      </c>
      <c r="N12" s="1121">
        <f t="shared" si="10"/>
        <v>45</v>
      </c>
      <c r="O12" s="1121">
        <f t="shared" si="10"/>
        <v>40</v>
      </c>
      <c r="P12" s="1121">
        <f t="shared" si="10"/>
        <v>35</v>
      </c>
      <c r="Q12" s="1121">
        <f t="shared" si="10"/>
        <v>30</v>
      </c>
      <c r="R12" s="1121">
        <f>Q12-$T11</f>
        <v>25</v>
      </c>
      <c r="S12" s="1121">
        <f t="shared" si="10"/>
        <v>20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2973" t="s">
        <v>3416</v>
      </c>
      <c r="C13" s="2976" t="s">
        <v>3427</v>
      </c>
      <c r="D13" s="2977" t="s">
        <v>3429</v>
      </c>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v>100</v>
      </c>
      <c r="D14" s="1119">
        <v>80</v>
      </c>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2973" t="s">
        <v>3456</v>
      </c>
      <c r="C15" s="2976" t="s">
        <v>3459</v>
      </c>
      <c r="D15" s="2977" t="s">
        <v>3457</v>
      </c>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v>100</v>
      </c>
      <c r="D16" s="1213">
        <v>80</v>
      </c>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3014</v>
      </c>
      <c r="B17" s="2919" t="s">
        <v>3015</v>
      </c>
      <c r="C17" s="1233" t="s">
        <v>3378</v>
      </c>
      <c r="D17" s="1234" t="s">
        <v>3379</v>
      </c>
      <c r="E17" s="1233" t="s">
        <v>3380</v>
      </c>
      <c r="F17" s="1234" t="s">
        <v>3381</v>
      </c>
      <c r="G17" s="1233" t="s">
        <v>3382</v>
      </c>
      <c r="H17" s="1234" t="s">
        <v>3383</v>
      </c>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75</v>
      </c>
      <c r="E18" s="1246">
        <v>65</v>
      </c>
      <c r="F18" s="1246">
        <v>55</v>
      </c>
      <c r="G18" s="1246">
        <v>55</v>
      </c>
      <c r="H18" s="1246">
        <v>90</v>
      </c>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0" t="s">
        <v>3016</v>
      </c>
      <c r="E19" s="1792"/>
      <c r="F19" s="1792"/>
      <c r="G19" s="1792"/>
      <c r="H19" s="1282"/>
      <c r="I19" s="168"/>
      <c r="J19" s="168"/>
      <c r="K19" s="168"/>
      <c r="L19" s="168"/>
      <c r="M19" s="168"/>
      <c r="N19" s="168"/>
      <c r="O19" s="168"/>
      <c r="P19" s="168"/>
      <c r="Q19" s="168"/>
      <c r="R19" s="787"/>
      <c r="S19" s="138"/>
    </row>
    <row r="20" spans="1:45" ht="16.5" thickBot="1">
      <c r="A20" s="714" t="s">
        <v>3017</v>
      </c>
      <c r="B20" s="338" t="e">
        <f ca="1">IF(D20="——",S22,S22-F20)</f>
        <v>#REF!</v>
      </c>
      <c r="C20" s="168"/>
      <c r="D20" s="2921" t="s">
        <v>3018</v>
      </c>
      <c r="E20" s="1793"/>
      <c r="F20" s="1206" t="e">
        <f ca="1">SUMIF(INDIRECT("'"&amp;H20&amp;"'"&amp;"!A:A"),"承租人权益价值",INDIRECT("'"&amp;H20&amp;"'"&amp;"!c:c"))</f>
        <v>#REF!</v>
      </c>
      <c r="G20" s="1206" t="s">
        <v>3019</v>
      </c>
      <c r="H20" s="2922"/>
      <c r="I20" s="168"/>
      <c r="J20" s="168"/>
      <c r="K20" s="168"/>
      <c r="L20" s="168"/>
      <c r="M20" s="168"/>
      <c r="N20" s="168"/>
      <c r="O20" s="168"/>
      <c r="P20" s="168"/>
      <c r="Q20" s="168"/>
      <c r="R20" s="787"/>
      <c r="S20" s="138"/>
    </row>
    <row r="21" spans="1:45" ht="15.75">
      <c r="A21" s="714" t="s">
        <v>3020</v>
      </c>
      <c r="B21" s="338">
        <f ca="1">R22</f>
        <v>14563</v>
      </c>
      <c r="C21" s="168"/>
      <c r="D21" s="168"/>
      <c r="E21" s="168"/>
      <c r="F21" s="168"/>
      <c r="G21" s="168"/>
      <c r="H21" s="168"/>
      <c r="I21" s="168"/>
      <c r="J21" s="168"/>
      <c r="K21" s="168"/>
      <c r="L21" s="168"/>
      <c r="M21" s="168"/>
      <c r="N21" s="168"/>
      <c r="O21" s="168"/>
      <c r="P21" s="168"/>
      <c r="Q21" s="168"/>
      <c r="R21" s="787"/>
      <c r="S21" s="138"/>
    </row>
    <row r="22" spans="1:45">
      <c r="A22" s="361" t="s">
        <v>3021</v>
      </c>
      <c r="B22" s="24">
        <f>SUM(B24:B10000)</f>
        <v>30802.55</v>
      </c>
      <c r="C22" s="3082" t="s">
        <v>33</v>
      </c>
      <c r="D22" s="3083"/>
      <c r="E22" s="3083"/>
      <c r="F22" s="3083"/>
      <c r="G22" s="3083"/>
      <c r="H22" s="3083"/>
      <c r="I22" s="3083"/>
      <c r="J22" s="3083"/>
      <c r="K22" s="3083"/>
      <c r="L22" s="3083"/>
      <c r="M22" s="3083"/>
      <c r="N22" s="3083"/>
      <c r="O22" s="3083"/>
      <c r="P22" s="3083"/>
      <c r="Q22" s="3300"/>
      <c r="R22" s="715">
        <f ca="1">ROUND(S22*10000/B22,0)</f>
        <v>14563</v>
      </c>
      <c r="S22" s="24">
        <f ca="1">SUM(S24:S10000)</f>
        <v>44857</v>
      </c>
    </row>
    <row r="23" spans="1:45" s="12" customFormat="1" ht="24">
      <c r="A23" s="11" t="s">
        <v>3022</v>
      </c>
      <c r="B23" s="11" t="s">
        <v>3023</v>
      </c>
      <c r="C23" s="11" t="s">
        <v>3024</v>
      </c>
      <c r="D23" s="11" t="str">
        <f>B5</f>
        <v>临街状况</v>
      </c>
      <c r="E23" s="11" t="s">
        <v>3024</v>
      </c>
      <c r="F23" s="11" t="str">
        <f>B7</f>
        <v>可视性</v>
      </c>
      <c r="G23" s="11" t="s">
        <v>3024</v>
      </c>
      <c r="H23" s="11" t="str">
        <f>B9</f>
        <v>装修情况</v>
      </c>
      <c r="I23" s="11" t="s">
        <v>3024</v>
      </c>
      <c r="J23" s="11" t="str">
        <f>B11</f>
        <v>业态</v>
      </c>
      <c r="K23" s="11" t="s">
        <v>3024</v>
      </c>
      <c r="L23" s="11" t="str">
        <f>B13</f>
        <v>层高</v>
      </c>
      <c r="M23" s="11" t="s">
        <v>3024</v>
      </c>
      <c r="N23" s="11" t="str">
        <f>B15</f>
        <v>结构</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3460</v>
      </c>
      <c r="B24" s="717">
        <v>249.95</v>
      </c>
      <c r="C24" s="718">
        <v>1</v>
      </c>
      <c r="D24" s="719" t="s">
        <v>3432</v>
      </c>
      <c r="E24" s="718">
        <v>1</v>
      </c>
      <c r="F24" s="719" t="s">
        <v>3234</v>
      </c>
      <c r="G24" s="718">
        <v>1</v>
      </c>
      <c r="H24" s="719" t="s">
        <v>3440</v>
      </c>
      <c r="I24" s="718">
        <v>1</v>
      </c>
      <c r="J24" s="719" t="s">
        <v>3441</v>
      </c>
      <c r="K24" s="718">
        <v>1</v>
      </c>
      <c r="L24" s="719" t="s">
        <v>3428</v>
      </c>
      <c r="M24" s="718">
        <v>1</v>
      </c>
      <c r="N24" s="719" t="s">
        <v>3249</v>
      </c>
      <c r="O24" s="718">
        <v>1</v>
      </c>
      <c r="P24" s="719" t="s">
        <v>3420</v>
      </c>
      <c r="Q24" s="718">
        <v>1</v>
      </c>
      <c r="R24" s="720">
        <f ca="1">结果表!I118</f>
        <v>16723</v>
      </c>
      <c r="S24" s="718">
        <f t="shared" ref="S24:S54" ca="1" si="11">ROUND(R24*B24/10000,0)</f>
        <v>418</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t="s">
        <v>3375</v>
      </c>
      <c r="B25" s="59">
        <v>500.22</v>
      </c>
      <c r="C25" s="24">
        <f>IF(B25="",1,(LOOKUP(B25,$3:$3,$4:$4)-LOOKUP($B$24,$3:$3,$4:$4)+100)/100)</f>
        <v>0.98</v>
      </c>
      <c r="D25" s="719" t="s">
        <v>3432</v>
      </c>
      <c r="E25" s="24">
        <f>(SUMIF($5:$5,D25,$6:$6)-SUMIF($5:$5,$D$24,$6:$6)+100)/100</f>
        <v>1</v>
      </c>
      <c r="F25" s="719" t="s">
        <v>3234</v>
      </c>
      <c r="G25" s="24">
        <f>(SUMIF($7:$7,F25,$8:$8)-SUMIF($7:$7,$F$24,$8:$8)+100)/100</f>
        <v>1</v>
      </c>
      <c r="H25" s="719" t="s">
        <v>3440</v>
      </c>
      <c r="I25" s="24">
        <f>(SUMIF($9:$9,H25,$10:$10)-SUMIF($9:$9,$H$24,$10:$10)+100)/100</f>
        <v>1</v>
      </c>
      <c r="J25" s="719" t="s">
        <v>3441</v>
      </c>
      <c r="K25" s="24">
        <f>(SUMIF($11:$11,J25,$12:$12)-SUMIF($11:$11,$J$24,$12:$12)+100)/100</f>
        <v>1</v>
      </c>
      <c r="L25" s="719" t="s">
        <v>3428</v>
      </c>
      <c r="M25" s="24">
        <f>(SUMIF($13:$13,L25,$14:$14)-SUMIF($13:$13,$L$24,$14:$14)+100)/100</f>
        <v>1</v>
      </c>
      <c r="N25" s="719" t="s">
        <v>3249</v>
      </c>
      <c r="O25" s="24">
        <f>(SUMIF($15:$15,N25,$16:$16)-SUMIF($15:$15,$N$24,$16:$16)+100)/100</f>
        <v>1</v>
      </c>
      <c r="P25" s="719" t="s">
        <v>3420</v>
      </c>
      <c r="Q25" s="24">
        <f>(SUMIF($17:$17,P25,$18:$18)-SUMIF($17:$17,$P$24,$18:$18)+100)/100</f>
        <v>1</v>
      </c>
      <c r="R25" s="715">
        <f ca="1">IF(B25="",0,ROUND($R$24*C25*E25*G25*I25*K25*M25*O25*Q25,0))</f>
        <v>16389</v>
      </c>
      <c r="S25" s="361">
        <f t="shared" ca="1" si="11"/>
        <v>820</v>
      </c>
    </row>
    <row r="26" spans="1:45">
      <c r="A26" s="159" t="s">
        <v>3263</v>
      </c>
      <c r="B26" s="59">
        <v>367.74</v>
      </c>
      <c r="C26" s="24">
        <f t="shared" ref="C26:C89" si="12">IF(B26="",1,(LOOKUP(B26,$3:$3,$4:$4)-LOOKUP($B$24,$3:$3,$4:$4)+100)/100)</f>
        <v>1</v>
      </c>
      <c r="D26" s="719" t="s">
        <v>3432</v>
      </c>
      <c r="E26" s="24">
        <f t="shared" ref="E26:E89" si="13">(SUMIF($5:$5,D26,$6:$6)-SUMIF($5:$5,$D$24,$6:$6)+100)/100</f>
        <v>1</v>
      </c>
      <c r="F26" s="719" t="s">
        <v>3234</v>
      </c>
      <c r="G26" s="24">
        <f t="shared" ref="G26:G89" si="14">(SUMIF($7:$7,F26,$8:$8)-SUMIF($7:$7,$F$24,$8:$8)+100)/100</f>
        <v>1</v>
      </c>
      <c r="H26" s="719" t="s">
        <v>3440</v>
      </c>
      <c r="I26" s="24">
        <f t="shared" ref="I26:I89" si="15">(SUMIF($9:$9,H26,$10:$10)-SUMIF($9:$9,$H$24,$10:$10)+100)/100</f>
        <v>1</v>
      </c>
      <c r="J26" s="719" t="s">
        <v>3441</v>
      </c>
      <c r="K26" s="24">
        <f t="shared" ref="K26:K89" si="16">(SUMIF($11:$11,J26,$12:$12)-SUMIF($11:$11,$J$24,$12:$12)+100)/100</f>
        <v>1</v>
      </c>
      <c r="L26" s="719" t="s">
        <v>3428</v>
      </c>
      <c r="M26" s="24">
        <f t="shared" ref="M26:M89" si="17">(SUMIF($13:$13,L26,$14:$14)-SUMIF($13:$13,$L$24,$14:$14)+100)/100</f>
        <v>1</v>
      </c>
      <c r="N26" s="719" t="s">
        <v>3249</v>
      </c>
      <c r="O26" s="24">
        <f t="shared" ref="O26:O89" si="18">(SUMIF($15:$15,N26,$16:$16)-SUMIF($15:$15,$N$24,$16:$16)+100)/100</f>
        <v>1</v>
      </c>
      <c r="P26" s="719" t="s">
        <v>3420</v>
      </c>
      <c r="Q26" s="24">
        <f t="shared" ref="Q26:Q89" si="19">(SUMIF($17:$17,P26,$18:$18)-SUMIF($17:$17,$P$24,$18:$18)+100)/100</f>
        <v>1</v>
      </c>
      <c r="R26" s="715">
        <f t="shared" ref="R26:R89" ca="1" si="20">IF(B26="",0,ROUND($R$24*C26*E26*G26*I26*K26*M26*O26*Q26,0))</f>
        <v>16723</v>
      </c>
      <c r="S26" s="361">
        <f t="shared" ca="1" si="11"/>
        <v>615</v>
      </c>
    </row>
    <row r="27" spans="1:45">
      <c r="A27" s="159" t="s">
        <v>3265</v>
      </c>
      <c r="B27" s="59">
        <v>276.88</v>
      </c>
      <c r="C27" s="24">
        <f t="shared" si="12"/>
        <v>1</v>
      </c>
      <c r="D27" s="719" t="s">
        <v>3432</v>
      </c>
      <c r="E27" s="24">
        <f t="shared" si="13"/>
        <v>1</v>
      </c>
      <c r="F27" s="719" t="s">
        <v>3234</v>
      </c>
      <c r="G27" s="24">
        <f t="shared" si="14"/>
        <v>1</v>
      </c>
      <c r="H27" s="719" t="s">
        <v>3440</v>
      </c>
      <c r="I27" s="24">
        <f t="shared" si="15"/>
        <v>1</v>
      </c>
      <c r="J27" s="719" t="s">
        <v>3441</v>
      </c>
      <c r="K27" s="24">
        <f t="shared" si="16"/>
        <v>1</v>
      </c>
      <c r="L27" s="719" t="s">
        <v>3428</v>
      </c>
      <c r="M27" s="24">
        <f t="shared" si="17"/>
        <v>1</v>
      </c>
      <c r="N27" s="719" t="s">
        <v>3249</v>
      </c>
      <c r="O27" s="24">
        <f t="shared" si="18"/>
        <v>1</v>
      </c>
      <c r="P27" s="719" t="s">
        <v>3420</v>
      </c>
      <c r="Q27" s="24">
        <f t="shared" si="19"/>
        <v>1</v>
      </c>
      <c r="R27" s="715">
        <f t="shared" ca="1" si="20"/>
        <v>16723</v>
      </c>
      <c r="S27" s="361">
        <f t="shared" ca="1" si="11"/>
        <v>463</v>
      </c>
    </row>
    <row r="28" spans="1:45">
      <c r="A28" s="159" t="s">
        <v>3266</v>
      </c>
      <c r="B28" s="59">
        <v>344.6</v>
      </c>
      <c r="C28" s="24">
        <f t="shared" si="12"/>
        <v>1</v>
      </c>
      <c r="D28" s="719" t="s">
        <v>3432</v>
      </c>
      <c r="E28" s="24">
        <f t="shared" si="13"/>
        <v>1</v>
      </c>
      <c r="F28" s="719" t="s">
        <v>3234</v>
      </c>
      <c r="G28" s="24">
        <f t="shared" si="14"/>
        <v>1</v>
      </c>
      <c r="H28" s="719" t="s">
        <v>3440</v>
      </c>
      <c r="I28" s="24">
        <f t="shared" si="15"/>
        <v>1</v>
      </c>
      <c r="J28" s="719" t="s">
        <v>3441</v>
      </c>
      <c r="K28" s="24">
        <f t="shared" si="16"/>
        <v>1</v>
      </c>
      <c r="L28" s="719" t="s">
        <v>3428</v>
      </c>
      <c r="M28" s="24">
        <f t="shared" si="17"/>
        <v>1</v>
      </c>
      <c r="N28" s="719" t="s">
        <v>3249</v>
      </c>
      <c r="O28" s="24">
        <f t="shared" si="18"/>
        <v>1</v>
      </c>
      <c r="P28" s="719" t="s">
        <v>3420</v>
      </c>
      <c r="Q28" s="24">
        <f t="shared" si="19"/>
        <v>1</v>
      </c>
      <c r="R28" s="715">
        <f t="shared" ca="1" si="20"/>
        <v>16723</v>
      </c>
      <c r="S28" s="361">
        <f t="shared" ca="1" si="11"/>
        <v>576</v>
      </c>
    </row>
    <row r="29" spans="1:45">
      <c r="A29" s="159" t="s">
        <v>3267</v>
      </c>
      <c r="B29" s="59">
        <v>173.92</v>
      </c>
      <c r="C29" s="24">
        <f t="shared" si="12"/>
        <v>1.02</v>
      </c>
      <c r="D29" s="719" t="s">
        <v>3432</v>
      </c>
      <c r="E29" s="24">
        <f t="shared" si="13"/>
        <v>1</v>
      </c>
      <c r="F29" s="719" t="s">
        <v>3234</v>
      </c>
      <c r="G29" s="24">
        <f t="shared" si="14"/>
        <v>1</v>
      </c>
      <c r="H29" s="719" t="s">
        <v>3440</v>
      </c>
      <c r="I29" s="24">
        <f t="shared" si="15"/>
        <v>1</v>
      </c>
      <c r="J29" s="719" t="s">
        <v>3441</v>
      </c>
      <c r="K29" s="24">
        <f t="shared" si="16"/>
        <v>1</v>
      </c>
      <c r="L29" s="719" t="s">
        <v>3428</v>
      </c>
      <c r="M29" s="24">
        <f t="shared" si="17"/>
        <v>1</v>
      </c>
      <c r="N29" s="719" t="s">
        <v>3249</v>
      </c>
      <c r="O29" s="24">
        <f t="shared" si="18"/>
        <v>1</v>
      </c>
      <c r="P29" s="719" t="s">
        <v>3420</v>
      </c>
      <c r="Q29" s="24">
        <f t="shared" si="19"/>
        <v>1</v>
      </c>
      <c r="R29" s="715">
        <f t="shared" ca="1" si="20"/>
        <v>17057</v>
      </c>
      <c r="S29" s="361">
        <f t="shared" ca="1" si="11"/>
        <v>297</v>
      </c>
    </row>
    <row r="30" spans="1:45">
      <c r="A30" s="159" t="s">
        <v>3268</v>
      </c>
      <c r="B30" s="59">
        <v>158.53</v>
      </c>
      <c r="C30" s="24">
        <f t="shared" si="12"/>
        <v>1.02</v>
      </c>
      <c r="D30" s="719" t="s">
        <v>3432</v>
      </c>
      <c r="E30" s="24">
        <f t="shared" si="13"/>
        <v>1</v>
      </c>
      <c r="F30" s="719" t="s">
        <v>3234</v>
      </c>
      <c r="G30" s="24">
        <f t="shared" si="14"/>
        <v>1</v>
      </c>
      <c r="H30" s="719" t="s">
        <v>3440</v>
      </c>
      <c r="I30" s="24">
        <f t="shared" si="15"/>
        <v>1</v>
      </c>
      <c r="J30" s="719" t="s">
        <v>3441</v>
      </c>
      <c r="K30" s="24">
        <f t="shared" si="16"/>
        <v>1</v>
      </c>
      <c r="L30" s="719" t="s">
        <v>3428</v>
      </c>
      <c r="M30" s="24">
        <f t="shared" si="17"/>
        <v>1</v>
      </c>
      <c r="N30" s="719" t="s">
        <v>3249</v>
      </c>
      <c r="O30" s="24">
        <f t="shared" si="18"/>
        <v>1</v>
      </c>
      <c r="P30" s="719" t="s">
        <v>3420</v>
      </c>
      <c r="Q30" s="24">
        <f t="shared" si="19"/>
        <v>1</v>
      </c>
      <c r="R30" s="715">
        <f t="shared" ca="1" si="20"/>
        <v>17057</v>
      </c>
      <c r="S30" s="361">
        <f t="shared" ca="1" si="11"/>
        <v>270</v>
      </c>
    </row>
    <row r="31" spans="1:45">
      <c r="A31" s="159" t="s">
        <v>3269</v>
      </c>
      <c r="B31" s="59">
        <v>319.99</v>
      </c>
      <c r="C31" s="24">
        <f t="shared" si="12"/>
        <v>1</v>
      </c>
      <c r="D31" s="719" t="s">
        <v>3432</v>
      </c>
      <c r="E31" s="24">
        <f t="shared" si="13"/>
        <v>1</v>
      </c>
      <c r="F31" s="719" t="s">
        <v>3234</v>
      </c>
      <c r="G31" s="24">
        <f t="shared" si="14"/>
        <v>1</v>
      </c>
      <c r="H31" s="719" t="s">
        <v>3440</v>
      </c>
      <c r="I31" s="24">
        <f t="shared" si="15"/>
        <v>1</v>
      </c>
      <c r="J31" s="719" t="s">
        <v>3441</v>
      </c>
      <c r="K31" s="24">
        <f t="shared" si="16"/>
        <v>1</v>
      </c>
      <c r="L31" s="719" t="s">
        <v>3428</v>
      </c>
      <c r="M31" s="24">
        <f t="shared" si="17"/>
        <v>1</v>
      </c>
      <c r="N31" s="719" t="s">
        <v>3249</v>
      </c>
      <c r="O31" s="24">
        <f t="shared" si="18"/>
        <v>1</v>
      </c>
      <c r="P31" s="719" t="s">
        <v>3420</v>
      </c>
      <c r="Q31" s="24">
        <f t="shared" si="19"/>
        <v>1</v>
      </c>
      <c r="R31" s="715">
        <f t="shared" ca="1" si="20"/>
        <v>16723</v>
      </c>
      <c r="S31" s="361">
        <f t="shared" ca="1" si="11"/>
        <v>535</v>
      </c>
    </row>
    <row r="32" spans="1:45">
      <c r="A32" s="159" t="s">
        <v>3270</v>
      </c>
      <c r="B32" s="59">
        <v>153.97</v>
      </c>
      <c r="C32" s="24">
        <f t="shared" si="12"/>
        <v>1.02</v>
      </c>
      <c r="D32" s="719" t="s">
        <v>3432</v>
      </c>
      <c r="E32" s="24">
        <f t="shared" si="13"/>
        <v>1</v>
      </c>
      <c r="F32" s="719" t="s">
        <v>3234</v>
      </c>
      <c r="G32" s="24">
        <f t="shared" si="14"/>
        <v>1</v>
      </c>
      <c r="H32" s="719" t="s">
        <v>3440</v>
      </c>
      <c r="I32" s="24">
        <f t="shared" si="15"/>
        <v>1</v>
      </c>
      <c r="J32" s="719" t="s">
        <v>3441</v>
      </c>
      <c r="K32" s="24">
        <f t="shared" si="16"/>
        <v>1</v>
      </c>
      <c r="L32" s="719" t="s">
        <v>3428</v>
      </c>
      <c r="M32" s="24">
        <f t="shared" si="17"/>
        <v>1</v>
      </c>
      <c r="N32" s="719" t="s">
        <v>3249</v>
      </c>
      <c r="O32" s="24">
        <f t="shared" si="18"/>
        <v>1</v>
      </c>
      <c r="P32" s="719" t="s">
        <v>3420</v>
      </c>
      <c r="Q32" s="24">
        <f t="shared" si="19"/>
        <v>1</v>
      </c>
      <c r="R32" s="715">
        <f t="shared" ca="1" si="20"/>
        <v>17057</v>
      </c>
      <c r="S32" s="361">
        <f t="shared" ca="1" si="11"/>
        <v>263</v>
      </c>
    </row>
    <row r="33" spans="1:21">
      <c r="A33" s="159" t="s">
        <v>3271</v>
      </c>
      <c r="B33" s="59">
        <v>153.97</v>
      </c>
      <c r="C33" s="24">
        <f t="shared" si="12"/>
        <v>1.02</v>
      </c>
      <c r="D33" s="719" t="s">
        <v>3432</v>
      </c>
      <c r="E33" s="24">
        <f t="shared" si="13"/>
        <v>1</v>
      </c>
      <c r="F33" s="719" t="s">
        <v>3234</v>
      </c>
      <c r="G33" s="24">
        <f t="shared" si="14"/>
        <v>1</v>
      </c>
      <c r="H33" s="719" t="s">
        <v>3440</v>
      </c>
      <c r="I33" s="24">
        <f t="shared" si="15"/>
        <v>1</v>
      </c>
      <c r="J33" s="719" t="s">
        <v>3441</v>
      </c>
      <c r="K33" s="24">
        <f t="shared" si="16"/>
        <v>1</v>
      </c>
      <c r="L33" s="719" t="s">
        <v>3428</v>
      </c>
      <c r="M33" s="24">
        <f t="shared" si="17"/>
        <v>1</v>
      </c>
      <c r="N33" s="719" t="s">
        <v>3249</v>
      </c>
      <c r="O33" s="24">
        <f t="shared" si="18"/>
        <v>1</v>
      </c>
      <c r="P33" s="719" t="s">
        <v>3420</v>
      </c>
      <c r="Q33" s="24">
        <f t="shared" si="19"/>
        <v>1</v>
      </c>
      <c r="R33" s="715">
        <f t="shared" ca="1" si="20"/>
        <v>17057</v>
      </c>
      <c r="S33" s="361">
        <f t="shared" ca="1" si="11"/>
        <v>263</v>
      </c>
    </row>
    <row r="34" spans="1:21">
      <c r="A34" s="159" t="s">
        <v>3272</v>
      </c>
      <c r="B34" s="59">
        <v>401.93</v>
      </c>
      <c r="C34" s="24">
        <f t="shared" si="12"/>
        <v>0.98</v>
      </c>
      <c r="D34" s="719" t="s">
        <v>3432</v>
      </c>
      <c r="E34" s="24">
        <f t="shared" si="13"/>
        <v>1</v>
      </c>
      <c r="F34" s="719" t="s">
        <v>3234</v>
      </c>
      <c r="G34" s="24">
        <f t="shared" si="14"/>
        <v>1</v>
      </c>
      <c r="H34" s="719" t="s">
        <v>3440</v>
      </c>
      <c r="I34" s="24">
        <f t="shared" si="15"/>
        <v>1</v>
      </c>
      <c r="J34" s="719" t="s">
        <v>3441</v>
      </c>
      <c r="K34" s="24">
        <f t="shared" si="16"/>
        <v>1</v>
      </c>
      <c r="L34" s="719" t="s">
        <v>3428</v>
      </c>
      <c r="M34" s="24">
        <f t="shared" si="17"/>
        <v>1</v>
      </c>
      <c r="N34" s="719" t="s">
        <v>3249</v>
      </c>
      <c r="O34" s="24">
        <f t="shared" si="18"/>
        <v>1</v>
      </c>
      <c r="P34" s="719" t="s">
        <v>3420</v>
      </c>
      <c r="Q34" s="24">
        <f t="shared" si="19"/>
        <v>1</v>
      </c>
      <c r="R34" s="715">
        <f t="shared" ca="1" si="20"/>
        <v>16389</v>
      </c>
      <c r="S34" s="361">
        <f t="shared" ca="1" si="11"/>
        <v>659</v>
      </c>
    </row>
    <row r="35" spans="1:21">
      <c r="A35" s="159" t="s">
        <v>3273</v>
      </c>
      <c r="B35" s="59">
        <v>366.93</v>
      </c>
      <c r="C35" s="24">
        <f t="shared" si="12"/>
        <v>1</v>
      </c>
      <c r="D35" s="719" t="s">
        <v>3432</v>
      </c>
      <c r="E35" s="24">
        <f t="shared" si="13"/>
        <v>1</v>
      </c>
      <c r="F35" s="719" t="s">
        <v>3234</v>
      </c>
      <c r="G35" s="24">
        <f t="shared" si="14"/>
        <v>1</v>
      </c>
      <c r="H35" s="719" t="s">
        <v>3440</v>
      </c>
      <c r="I35" s="24">
        <f t="shared" si="15"/>
        <v>1</v>
      </c>
      <c r="J35" s="719" t="s">
        <v>3441</v>
      </c>
      <c r="K35" s="24">
        <f t="shared" si="16"/>
        <v>1</v>
      </c>
      <c r="L35" s="719" t="s">
        <v>3428</v>
      </c>
      <c r="M35" s="24">
        <f t="shared" si="17"/>
        <v>1</v>
      </c>
      <c r="N35" s="719" t="s">
        <v>3249</v>
      </c>
      <c r="O35" s="24">
        <f t="shared" si="18"/>
        <v>1</v>
      </c>
      <c r="P35" s="719" t="s">
        <v>3420</v>
      </c>
      <c r="Q35" s="24">
        <f t="shared" si="19"/>
        <v>1</v>
      </c>
      <c r="R35" s="715">
        <f t="shared" ca="1" si="20"/>
        <v>16723</v>
      </c>
      <c r="S35" s="361">
        <f t="shared" ca="1" si="11"/>
        <v>614</v>
      </c>
    </row>
    <row r="36" spans="1:21">
      <c r="A36" s="159" t="s">
        <v>3274</v>
      </c>
      <c r="B36" s="59">
        <v>622.17999999999995</v>
      </c>
      <c r="C36" s="24">
        <f t="shared" si="12"/>
        <v>0.96</v>
      </c>
      <c r="D36" s="719" t="s">
        <v>3432</v>
      </c>
      <c r="E36" s="24">
        <f t="shared" si="13"/>
        <v>1</v>
      </c>
      <c r="F36" s="719" t="s">
        <v>3234</v>
      </c>
      <c r="G36" s="24">
        <f t="shared" si="14"/>
        <v>1</v>
      </c>
      <c r="H36" s="719" t="s">
        <v>3440</v>
      </c>
      <c r="I36" s="24">
        <f t="shared" si="15"/>
        <v>1</v>
      </c>
      <c r="J36" s="719" t="s">
        <v>3441</v>
      </c>
      <c r="K36" s="24">
        <f t="shared" si="16"/>
        <v>1</v>
      </c>
      <c r="L36" s="719" t="s">
        <v>3428</v>
      </c>
      <c r="M36" s="24">
        <f t="shared" si="17"/>
        <v>1</v>
      </c>
      <c r="N36" s="719" t="s">
        <v>3249</v>
      </c>
      <c r="O36" s="24">
        <f t="shared" si="18"/>
        <v>1</v>
      </c>
      <c r="P36" s="719" t="s">
        <v>3420</v>
      </c>
      <c r="Q36" s="24">
        <f t="shared" si="19"/>
        <v>1</v>
      </c>
      <c r="R36" s="715">
        <f t="shared" ca="1" si="20"/>
        <v>16054</v>
      </c>
      <c r="S36" s="361">
        <f t="shared" ca="1" si="11"/>
        <v>999</v>
      </c>
    </row>
    <row r="37" spans="1:21">
      <c r="A37" s="159" t="s">
        <v>3275</v>
      </c>
      <c r="B37" s="59">
        <v>161.94</v>
      </c>
      <c r="C37" s="24">
        <f t="shared" si="12"/>
        <v>1.02</v>
      </c>
      <c r="D37" s="719" t="s">
        <v>3432</v>
      </c>
      <c r="E37" s="24">
        <f t="shared" si="13"/>
        <v>1</v>
      </c>
      <c r="F37" s="719" t="s">
        <v>3234</v>
      </c>
      <c r="G37" s="24">
        <f t="shared" si="14"/>
        <v>1</v>
      </c>
      <c r="H37" s="719" t="s">
        <v>3440</v>
      </c>
      <c r="I37" s="24">
        <f t="shared" si="15"/>
        <v>1</v>
      </c>
      <c r="J37" s="719" t="s">
        <v>3441</v>
      </c>
      <c r="K37" s="24">
        <f t="shared" si="16"/>
        <v>1</v>
      </c>
      <c r="L37" s="719" t="s">
        <v>3428</v>
      </c>
      <c r="M37" s="24">
        <f t="shared" si="17"/>
        <v>1</v>
      </c>
      <c r="N37" s="719" t="s">
        <v>3249</v>
      </c>
      <c r="O37" s="24">
        <f t="shared" si="18"/>
        <v>1</v>
      </c>
      <c r="P37" s="719" t="s">
        <v>3420</v>
      </c>
      <c r="Q37" s="24">
        <f t="shared" si="19"/>
        <v>1</v>
      </c>
      <c r="R37" s="715">
        <f t="shared" ca="1" si="20"/>
        <v>17057</v>
      </c>
      <c r="S37" s="361">
        <f t="shared" ca="1" si="11"/>
        <v>276</v>
      </c>
    </row>
    <row r="38" spans="1:21">
      <c r="A38" s="159" t="s">
        <v>3276</v>
      </c>
      <c r="B38" s="59">
        <v>281.02</v>
      </c>
      <c r="C38" s="24">
        <f t="shared" si="12"/>
        <v>1</v>
      </c>
      <c r="D38" s="719" t="s">
        <v>3432</v>
      </c>
      <c r="E38" s="24">
        <f t="shared" si="13"/>
        <v>1</v>
      </c>
      <c r="F38" s="719" t="s">
        <v>3234</v>
      </c>
      <c r="G38" s="24">
        <f t="shared" si="14"/>
        <v>1</v>
      </c>
      <c r="H38" s="719" t="s">
        <v>3440</v>
      </c>
      <c r="I38" s="24">
        <f t="shared" si="15"/>
        <v>1</v>
      </c>
      <c r="J38" s="719" t="s">
        <v>3441</v>
      </c>
      <c r="K38" s="24">
        <f t="shared" si="16"/>
        <v>1</v>
      </c>
      <c r="L38" s="719" t="s">
        <v>3428</v>
      </c>
      <c r="M38" s="24">
        <f t="shared" si="17"/>
        <v>1</v>
      </c>
      <c r="N38" s="719" t="s">
        <v>3249</v>
      </c>
      <c r="O38" s="24">
        <f t="shared" si="18"/>
        <v>1</v>
      </c>
      <c r="P38" s="719" t="s">
        <v>3420</v>
      </c>
      <c r="Q38" s="24">
        <f t="shared" si="19"/>
        <v>1</v>
      </c>
      <c r="R38" s="715">
        <f t="shared" ca="1" si="20"/>
        <v>16723</v>
      </c>
      <c r="S38" s="361">
        <f t="shared" ca="1" si="11"/>
        <v>470</v>
      </c>
    </row>
    <row r="39" spans="1:21">
      <c r="A39" s="159" t="s">
        <v>3277</v>
      </c>
      <c r="B39" s="59">
        <v>442.38</v>
      </c>
      <c r="C39" s="24">
        <f t="shared" si="12"/>
        <v>0.98</v>
      </c>
      <c r="D39" s="719" t="s">
        <v>3432</v>
      </c>
      <c r="E39" s="24">
        <f t="shared" si="13"/>
        <v>1</v>
      </c>
      <c r="F39" s="719" t="s">
        <v>3234</v>
      </c>
      <c r="G39" s="24">
        <f t="shared" si="14"/>
        <v>1</v>
      </c>
      <c r="H39" s="719" t="s">
        <v>3440</v>
      </c>
      <c r="I39" s="24">
        <f t="shared" si="15"/>
        <v>1</v>
      </c>
      <c r="J39" s="719" t="s">
        <v>3441</v>
      </c>
      <c r="K39" s="24">
        <f t="shared" si="16"/>
        <v>1</v>
      </c>
      <c r="L39" s="719" t="s">
        <v>3428</v>
      </c>
      <c r="M39" s="24">
        <f t="shared" si="17"/>
        <v>1</v>
      </c>
      <c r="N39" s="719" t="s">
        <v>3249</v>
      </c>
      <c r="O39" s="24">
        <f t="shared" si="18"/>
        <v>1</v>
      </c>
      <c r="P39" s="719" t="s">
        <v>3420</v>
      </c>
      <c r="Q39" s="24">
        <f t="shared" si="19"/>
        <v>1</v>
      </c>
      <c r="R39" s="715">
        <f t="shared" ca="1" si="20"/>
        <v>16389</v>
      </c>
      <c r="S39" s="361">
        <f t="shared" ca="1" si="11"/>
        <v>725</v>
      </c>
      <c r="U39" s="794">
        <f ca="1">S22+[1]系统读取表!$B$5</f>
        <v>90594</v>
      </c>
    </row>
    <row r="40" spans="1:21">
      <c r="A40" s="159" t="s">
        <v>3278</v>
      </c>
      <c r="B40" s="59">
        <v>385.33</v>
      </c>
      <c r="C40" s="24">
        <f t="shared" si="12"/>
        <v>1</v>
      </c>
      <c r="D40" s="719" t="s">
        <v>3432</v>
      </c>
      <c r="E40" s="24">
        <f t="shared" si="13"/>
        <v>1</v>
      </c>
      <c r="F40" s="719" t="s">
        <v>3234</v>
      </c>
      <c r="G40" s="24">
        <f t="shared" si="14"/>
        <v>1</v>
      </c>
      <c r="H40" s="719" t="s">
        <v>3440</v>
      </c>
      <c r="I40" s="24">
        <f t="shared" si="15"/>
        <v>1</v>
      </c>
      <c r="J40" s="719" t="s">
        <v>3441</v>
      </c>
      <c r="K40" s="24">
        <f t="shared" si="16"/>
        <v>1</v>
      </c>
      <c r="L40" s="719" t="s">
        <v>3428</v>
      </c>
      <c r="M40" s="24">
        <f t="shared" si="17"/>
        <v>1</v>
      </c>
      <c r="N40" s="719" t="s">
        <v>3249</v>
      </c>
      <c r="O40" s="24">
        <f t="shared" si="18"/>
        <v>1</v>
      </c>
      <c r="P40" s="719" t="s">
        <v>3420</v>
      </c>
      <c r="Q40" s="24">
        <f t="shared" si="19"/>
        <v>1</v>
      </c>
      <c r="R40" s="715">
        <f t="shared" ca="1" si="20"/>
        <v>16723</v>
      </c>
      <c r="S40" s="361">
        <f t="shared" ca="1" si="11"/>
        <v>644</v>
      </c>
    </row>
    <row r="41" spans="1:21">
      <c r="A41" s="159" t="s">
        <v>3292</v>
      </c>
      <c r="B41" s="59">
        <v>432.32</v>
      </c>
      <c r="C41" s="24">
        <f t="shared" si="12"/>
        <v>0.98</v>
      </c>
      <c r="D41" s="719" t="s">
        <v>3432</v>
      </c>
      <c r="E41" s="24">
        <f t="shared" si="13"/>
        <v>1</v>
      </c>
      <c r="F41" s="719" t="s">
        <v>3234</v>
      </c>
      <c r="G41" s="24">
        <f t="shared" si="14"/>
        <v>1</v>
      </c>
      <c r="H41" s="719" t="s">
        <v>3440</v>
      </c>
      <c r="I41" s="24">
        <f t="shared" si="15"/>
        <v>1</v>
      </c>
      <c r="J41" s="719" t="s">
        <v>3441</v>
      </c>
      <c r="K41" s="24">
        <f t="shared" si="16"/>
        <v>1</v>
      </c>
      <c r="L41" s="719" t="s">
        <v>3428</v>
      </c>
      <c r="M41" s="24">
        <f t="shared" si="17"/>
        <v>1</v>
      </c>
      <c r="N41" s="719" t="s">
        <v>3249</v>
      </c>
      <c r="O41" s="24">
        <f t="shared" si="18"/>
        <v>1</v>
      </c>
      <c r="P41" s="719" t="s">
        <v>3420</v>
      </c>
      <c r="Q41" s="24">
        <f t="shared" si="19"/>
        <v>1</v>
      </c>
      <c r="R41" s="715">
        <f t="shared" ca="1" si="20"/>
        <v>16389</v>
      </c>
      <c r="S41" s="361">
        <f t="shared" ca="1" si="11"/>
        <v>709</v>
      </c>
    </row>
    <row r="42" spans="1:21">
      <c r="A42" s="159" t="s">
        <v>3293</v>
      </c>
      <c r="B42" s="59">
        <v>394.24</v>
      </c>
      <c r="C42" s="24">
        <f t="shared" si="12"/>
        <v>1</v>
      </c>
      <c r="D42" s="719" t="s">
        <v>3432</v>
      </c>
      <c r="E42" s="24">
        <f t="shared" si="13"/>
        <v>1</v>
      </c>
      <c r="F42" s="719" t="s">
        <v>3234</v>
      </c>
      <c r="G42" s="24">
        <f t="shared" si="14"/>
        <v>1</v>
      </c>
      <c r="H42" s="719" t="s">
        <v>3440</v>
      </c>
      <c r="I42" s="24">
        <f t="shared" si="15"/>
        <v>1</v>
      </c>
      <c r="J42" s="719" t="s">
        <v>3441</v>
      </c>
      <c r="K42" s="24">
        <f t="shared" si="16"/>
        <v>1</v>
      </c>
      <c r="L42" s="719" t="s">
        <v>3428</v>
      </c>
      <c r="M42" s="24">
        <f t="shared" si="17"/>
        <v>1</v>
      </c>
      <c r="N42" s="719" t="s">
        <v>3249</v>
      </c>
      <c r="O42" s="24">
        <f t="shared" si="18"/>
        <v>1</v>
      </c>
      <c r="P42" s="719" t="s">
        <v>3420</v>
      </c>
      <c r="Q42" s="24">
        <f t="shared" si="19"/>
        <v>1</v>
      </c>
      <c r="R42" s="715">
        <f t="shared" ca="1" si="20"/>
        <v>16723</v>
      </c>
      <c r="S42" s="361">
        <f t="shared" ca="1" si="11"/>
        <v>659</v>
      </c>
    </row>
    <row r="43" spans="1:21">
      <c r="A43" s="159" t="s">
        <v>3294</v>
      </c>
      <c r="B43" s="59">
        <v>483.15</v>
      </c>
      <c r="C43" s="24">
        <f t="shared" si="12"/>
        <v>0.98</v>
      </c>
      <c r="D43" s="719" t="s">
        <v>3432</v>
      </c>
      <c r="E43" s="24">
        <f t="shared" si="13"/>
        <v>1</v>
      </c>
      <c r="F43" s="719" t="s">
        <v>3234</v>
      </c>
      <c r="G43" s="24">
        <f t="shared" si="14"/>
        <v>1</v>
      </c>
      <c r="H43" s="719" t="s">
        <v>3440</v>
      </c>
      <c r="I43" s="24">
        <f t="shared" si="15"/>
        <v>1</v>
      </c>
      <c r="J43" s="719" t="s">
        <v>3441</v>
      </c>
      <c r="K43" s="24">
        <f t="shared" si="16"/>
        <v>1</v>
      </c>
      <c r="L43" s="719" t="s">
        <v>3428</v>
      </c>
      <c r="M43" s="24">
        <f t="shared" si="17"/>
        <v>1</v>
      </c>
      <c r="N43" s="719" t="s">
        <v>3249</v>
      </c>
      <c r="O43" s="24">
        <f t="shared" si="18"/>
        <v>1</v>
      </c>
      <c r="P43" s="719" t="s">
        <v>3420</v>
      </c>
      <c r="Q43" s="24">
        <f t="shared" si="19"/>
        <v>1</v>
      </c>
      <c r="R43" s="715">
        <f t="shared" ca="1" si="20"/>
        <v>16389</v>
      </c>
      <c r="S43" s="361">
        <f t="shared" ca="1" si="11"/>
        <v>792</v>
      </c>
    </row>
    <row r="44" spans="1:21">
      <c r="A44" s="159" t="s">
        <v>3295</v>
      </c>
      <c r="B44" s="59">
        <v>94.29</v>
      </c>
      <c r="C44" s="24">
        <f t="shared" si="12"/>
        <v>1.04</v>
      </c>
      <c r="D44" s="719" t="s">
        <v>3432</v>
      </c>
      <c r="E44" s="24">
        <f t="shared" si="13"/>
        <v>1</v>
      </c>
      <c r="F44" s="719" t="s">
        <v>3234</v>
      </c>
      <c r="G44" s="24">
        <f t="shared" si="14"/>
        <v>1</v>
      </c>
      <c r="H44" s="719" t="s">
        <v>3440</v>
      </c>
      <c r="I44" s="24">
        <f t="shared" si="15"/>
        <v>1</v>
      </c>
      <c r="J44" s="719" t="s">
        <v>3441</v>
      </c>
      <c r="K44" s="24">
        <f t="shared" si="16"/>
        <v>1</v>
      </c>
      <c r="L44" s="719" t="s">
        <v>3428</v>
      </c>
      <c r="M44" s="24">
        <f t="shared" si="17"/>
        <v>1</v>
      </c>
      <c r="N44" s="719" t="s">
        <v>3249</v>
      </c>
      <c r="O44" s="24">
        <f t="shared" si="18"/>
        <v>1</v>
      </c>
      <c r="P44" s="719" t="s">
        <v>3420</v>
      </c>
      <c r="Q44" s="24">
        <f t="shared" si="19"/>
        <v>1</v>
      </c>
      <c r="R44" s="715">
        <f t="shared" ca="1" si="20"/>
        <v>17392</v>
      </c>
      <c r="S44" s="361">
        <f t="shared" ca="1" si="11"/>
        <v>164</v>
      </c>
    </row>
    <row r="45" spans="1:21">
      <c r="A45" s="159" t="s">
        <v>3301</v>
      </c>
      <c r="B45" s="59">
        <v>641.16999999999996</v>
      </c>
      <c r="C45" s="24">
        <f t="shared" si="12"/>
        <v>0.96</v>
      </c>
      <c r="D45" s="719" t="s">
        <v>3432</v>
      </c>
      <c r="E45" s="24">
        <f t="shared" si="13"/>
        <v>1</v>
      </c>
      <c r="F45" s="719" t="s">
        <v>3234</v>
      </c>
      <c r="G45" s="24">
        <f t="shared" si="14"/>
        <v>1</v>
      </c>
      <c r="H45" s="719" t="s">
        <v>3440</v>
      </c>
      <c r="I45" s="24">
        <f t="shared" si="15"/>
        <v>1</v>
      </c>
      <c r="J45" s="719" t="s">
        <v>3441</v>
      </c>
      <c r="K45" s="24">
        <f t="shared" si="16"/>
        <v>1</v>
      </c>
      <c r="L45" s="719" t="s">
        <v>3428</v>
      </c>
      <c r="M45" s="24">
        <f t="shared" si="17"/>
        <v>1</v>
      </c>
      <c r="N45" s="719" t="s">
        <v>3249</v>
      </c>
      <c r="O45" s="24">
        <f t="shared" si="18"/>
        <v>1</v>
      </c>
      <c r="P45" s="719" t="s">
        <v>3421</v>
      </c>
      <c r="Q45" s="24">
        <f t="shared" si="19"/>
        <v>0.75</v>
      </c>
      <c r="R45" s="715">
        <f t="shared" ca="1" si="20"/>
        <v>12041</v>
      </c>
      <c r="S45" s="361">
        <f t="shared" ca="1" si="11"/>
        <v>772</v>
      </c>
    </row>
    <row r="46" spans="1:21">
      <c r="A46" s="159" t="s">
        <v>3303</v>
      </c>
      <c r="B46" s="59">
        <v>237.42</v>
      </c>
      <c r="C46" s="24">
        <f t="shared" si="12"/>
        <v>1</v>
      </c>
      <c r="D46" s="719" t="s">
        <v>3432</v>
      </c>
      <c r="E46" s="24">
        <f t="shared" si="13"/>
        <v>1</v>
      </c>
      <c r="F46" s="719" t="s">
        <v>3234</v>
      </c>
      <c r="G46" s="24">
        <f t="shared" si="14"/>
        <v>1</v>
      </c>
      <c r="H46" s="719" t="s">
        <v>3440</v>
      </c>
      <c r="I46" s="24">
        <f t="shared" si="15"/>
        <v>1</v>
      </c>
      <c r="J46" s="719" t="s">
        <v>3441</v>
      </c>
      <c r="K46" s="24">
        <f t="shared" si="16"/>
        <v>1</v>
      </c>
      <c r="L46" s="719" t="s">
        <v>3428</v>
      </c>
      <c r="M46" s="24">
        <f t="shared" si="17"/>
        <v>1</v>
      </c>
      <c r="N46" s="719" t="s">
        <v>3249</v>
      </c>
      <c r="O46" s="24">
        <f t="shared" si="18"/>
        <v>1</v>
      </c>
      <c r="P46" s="719" t="s">
        <v>3421</v>
      </c>
      <c r="Q46" s="24">
        <f t="shared" si="19"/>
        <v>0.75</v>
      </c>
      <c r="R46" s="715">
        <f t="shared" ca="1" si="20"/>
        <v>12542</v>
      </c>
      <c r="S46" s="361">
        <f t="shared" ca="1" si="11"/>
        <v>298</v>
      </c>
    </row>
    <row r="47" spans="1:21">
      <c r="A47" s="159" t="s">
        <v>3304</v>
      </c>
      <c r="B47" s="59">
        <v>474.42</v>
      </c>
      <c r="C47" s="24">
        <f t="shared" si="12"/>
        <v>0.98</v>
      </c>
      <c r="D47" s="719" t="s">
        <v>3432</v>
      </c>
      <c r="E47" s="24">
        <f t="shared" si="13"/>
        <v>1</v>
      </c>
      <c r="F47" s="719" t="s">
        <v>3234</v>
      </c>
      <c r="G47" s="24">
        <f t="shared" si="14"/>
        <v>1</v>
      </c>
      <c r="H47" s="719" t="s">
        <v>3440</v>
      </c>
      <c r="I47" s="24">
        <f t="shared" si="15"/>
        <v>1</v>
      </c>
      <c r="J47" s="719" t="s">
        <v>3441</v>
      </c>
      <c r="K47" s="24">
        <f t="shared" si="16"/>
        <v>1</v>
      </c>
      <c r="L47" s="719" t="s">
        <v>3428</v>
      </c>
      <c r="M47" s="24">
        <f t="shared" si="17"/>
        <v>1</v>
      </c>
      <c r="N47" s="719" t="s">
        <v>3249</v>
      </c>
      <c r="O47" s="24">
        <f t="shared" si="18"/>
        <v>1</v>
      </c>
      <c r="P47" s="719" t="s">
        <v>3421</v>
      </c>
      <c r="Q47" s="24">
        <f t="shared" si="19"/>
        <v>0.75</v>
      </c>
      <c r="R47" s="715">
        <f t="shared" ca="1" si="20"/>
        <v>12291</v>
      </c>
      <c r="S47" s="361">
        <f t="shared" ca="1" si="11"/>
        <v>583</v>
      </c>
    </row>
    <row r="48" spans="1:21">
      <c r="A48" s="159" t="s">
        <v>3305</v>
      </c>
      <c r="B48" s="59">
        <v>407.01</v>
      </c>
      <c r="C48" s="24">
        <f t="shared" si="12"/>
        <v>0.98</v>
      </c>
      <c r="D48" s="719" t="s">
        <v>3432</v>
      </c>
      <c r="E48" s="24">
        <f t="shared" si="13"/>
        <v>1</v>
      </c>
      <c r="F48" s="719" t="s">
        <v>3234</v>
      </c>
      <c r="G48" s="24">
        <f t="shared" si="14"/>
        <v>1</v>
      </c>
      <c r="H48" s="719" t="s">
        <v>3440</v>
      </c>
      <c r="I48" s="24">
        <f t="shared" si="15"/>
        <v>1</v>
      </c>
      <c r="J48" s="719" t="s">
        <v>3441</v>
      </c>
      <c r="K48" s="24">
        <f t="shared" si="16"/>
        <v>1</v>
      </c>
      <c r="L48" s="719" t="s">
        <v>3428</v>
      </c>
      <c r="M48" s="24">
        <f t="shared" si="17"/>
        <v>1</v>
      </c>
      <c r="N48" s="719" t="s">
        <v>3249</v>
      </c>
      <c r="O48" s="24">
        <f t="shared" si="18"/>
        <v>1</v>
      </c>
      <c r="P48" s="719" t="s">
        <v>3421</v>
      </c>
      <c r="Q48" s="24">
        <f t="shared" si="19"/>
        <v>0.75</v>
      </c>
      <c r="R48" s="715">
        <f t="shared" ca="1" si="20"/>
        <v>12291</v>
      </c>
      <c r="S48" s="361">
        <f t="shared" ca="1" si="11"/>
        <v>500</v>
      </c>
    </row>
    <row r="49" spans="1:19">
      <c r="A49" s="159" t="s">
        <v>3306</v>
      </c>
      <c r="B49" s="59">
        <v>262.60000000000002</v>
      </c>
      <c r="C49" s="24">
        <f t="shared" si="12"/>
        <v>1</v>
      </c>
      <c r="D49" s="719" t="s">
        <v>3432</v>
      </c>
      <c r="E49" s="24">
        <f t="shared" si="13"/>
        <v>1</v>
      </c>
      <c r="F49" s="719" t="s">
        <v>3234</v>
      </c>
      <c r="G49" s="24">
        <f t="shared" si="14"/>
        <v>1</v>
      </c>
      <c r="H49" s="719" t="s">
        <v>3440</v>
      </c>
      <c r="I49" s="24">
        <f t="shared" si="15"/>
        <v>1</v>
      </c>
      <c r="J49" s="719" t="s">
        <v>3441</v>
      </c>
      <c r="K49" s="24">
        <f t="shared" si="16"/>
        <v>1</v>
      </c>
      <c r="L49" s="719" t="s">
        <v>3428</v>
      </c>
      <c r="M49" s="24">
        <f t="shared" si="17"/>
        <v>1</v>
      </c>
      <c r="N49" s="719" t="s">
        <v>3249</v>
      </c>
      <c r="O49" s="24">
        <f t="shared" si="18"/>
        <v>1</v>
      </c>
      <c r="P49" s="719" t="s">
        <v>3421</v>
      </c>
      <c r="Q49" s="24">
        <f t="shared" si="19"/>
        <v>0.75</v>
      </c>
      <c r="R49" s="715">
        <f t="shared" ca="1" si="20"/>
        <v>12542</v>
      </c>
      <c r="S49" s="361">
        <f t="shared" ca="1" si="11"/>
        <v>329</v>
      </c>
    </row>
    <row r="50" spans="1:19">
      <c r="A50" s="159" t="s">
        <v>3307</v>
      </c>
      <c r="B50" s="59">
        <v>337.69</v>
      </c>
      <c r="C50" s="24">
        <f t="shared" si="12"/>
        <v>1</v>
      </c>
      <c r="D50" s="719" t="s">
        <v>3432</v>
      </c>
      <c r="E50" s="24">
        <f t="shared" si="13"/>
        <v>1</v>
      </c>
      <c r="F50" s="719" t="s">
        <v>3234</v>
      </c>
      <c r="G50" s="24">
        <f t="shared" si="14"/>
        <v>1</v>
      </c>
      <c r="H50" s="719" t="s">
        <v>3440</v>
      </c>
      <c r="I50" s="24">
        <f t="shared" si="15"/>
        <v>1</v>
      </c>
      <c r="J50" s="719" t="s">
        <v>3441</v>
      </c>
      <c r="K50" s="24">
        <f t="shared" si="16"/>
        <v>1</v>
      </c>
      <c r="L50" s="719" t="s">
        <v>3428</v>
      </c>
      <c r="M50" s="24">
        <f t="shared" si="17"/>
        <v>1</v>
      </c>
      <c r="N50" s="719" t="s">
        <v>3249</v>
      </c>
      <c r="O50" s="24">
        <f t="shared" si="18"/>
        <v>1</v>
      </c>
      <c r="P50" s="719" t="s">
        <v>3421</v>
      </c>
      <c r="Q50" s="24">
        <f t="shared" si="19"/>
        <v>0.75</v>
      </c>
      <c r="R50" s="715">
        <f t="shared" ca="1" si="20"/>
        <v>12542</v>
      </c>
      <c r="S50" s="361">
        <f t="shared" ca="1" si="11"/>
        <v>424</v>
      </c>
    </row>
    <row r="51" spans="1:19">
      <c r="A51" s="159" t="s">
        <v>3308</v>
      </c>
      <c r="B51" s="59">
        <v>223.24</v>
      </c>
      <c r="C51" s="24">
        <f t="shared" si="12"/>
        <v>1</v>
      </c>
      <c r="D51" s="719" t="s">
        <v>3432</v>
      </c>
      <c r="E51" s="24">
        <f t="shared" si="13"/>
        <v>1</v>
      </c>
      <c r="F51" s="719" t="s">
        <v>3234</v>
      </c>
      <c r="G51" s="24">
        <f t="shared" si="14"/>
        <v>1</v>
      </c>
      <c r="H51" s="719" t="s">
        <v>3440</v>
      </c>
      <c r="I51" s="24">
        <f t="shared" si="15"/>
        <v>1</v>
      </c>
      <c r="J51" s="719" t="s">
        <v>3441</v>
      </c>
      <c r="K51" s="24">
        <f t="shared" si="16"/>
        <v>1</v>
      </c>
      <c r="L51" s="719" t="s">
        <v>3428</v>
      </c>
      <c r="M51" s="24">
        <f t="shared" si="17"/>
        <v>1</v>
      </c>
      <c r="N51" s="719" t="s">
        <v>3249</v>
      </c>
      <c r="O51" s="24">
        <f t="shared" si="18"/>
        <v>1</v>
      </c>
      <c r="P51" s="719" t="s">
        <v>3421</v>
      </c>
      <c r="Q51" s="24">
        <f t="shared" si="19"/>
        <v>0.75</v>
      </c>
      <c r="R51" s="715">
        <f t="shared" ca="1" si="20"/>
        <v>12542</v>
      </c>
      <c r="S51" s="361">
        <f t="shared" ca="1" si="11"/>
        <v>280</v>
      </c>
    </row>
    <row r="52" spans="1:19">
      <c r="A52" s="159" t="s">
        <v>3309</v>
      </c>
      <c r="B52" s="59">
        <v>188.24</v>
      </c>
      <c r="C52" s="24">
        <f t="shared" si="12"/>
        <v>1.02</v>
      </c>
      <c r="D52" s="719" t="s">
        <v>3432</v>
      </c>
      <c r="E52" s="24">
        <f t="shared" si="13"/>
        <v>1</v>
      </c>
      <c r="F52" s="719" t="s">
        <v>3234</v>
      </c>
      <c r="G52" s="24">
        <f t="shared" si="14"/>
        <v>1</v>
      </c>
      <c r="H52" s="719" t="s">
        <v>3440</v>
      </c>
      <c r="I52" s="24">
        <f t="shared" si="15"/>
        <v>1</v>
      </c>
      <c r="J52" s="719" t="s">
        <v>3441</v>
      </c>
      <c r="K52" s="24">
        <f t="shared" si="16"/>
        <v>1</v>
      </c>
      <c r="L52" s="719" t="s">
        <v>3428</v>
      </c>
      <c r="M52" s="24">
        <f t="shared" si="17"/>
        <v>1</v>
      </c>
      <c r="N52" s="719" t="s">
        <v>3249</v>
      </c>
      <c r="O52" s="24">
        <f t="shared" si="18"/>
        <v>1</v>
      </c>
      <c r="P52" s="719" t="s">
        <v>3421</v>
      </c>
      <c r="Q52" s="24">
        <f t="shared" si="19"/>
        <v>0.75</v>
      </c>
      <c r="R52" s="715">
        <f t="shared" ca="1" si="20"/>
        <v>12793</v>
      </c>
      <c r="S52" s="361">
        <f t="shared" ca="1" si="11"/>
        <v>241</v>
      </c>
    </row>
    <row r="53" spans="1:19">
      <c r="A53" s="159" t="s">
        <v>3310</v>
      </c>
      <c r="B53" s="59">
        <v>293.43</v>
      </c>
      <c r="C53" s="24">
        <f t="shared" si="12"/>
        <v>1</v>
      </c>
      <c r="D53" s="719" t="s">
        <v>3432</v>
      </c>
      <c r="E53" s="24">
        <f t="shared" si="13"/>
        <v>1</v>
      </c>
      <c r="F53" s="719" t="s">
        <v>3234</v>
      </c>
      <c r="G53" s="24">
        <f t="shared" si="14"/>
        <v>1</v>
      </c>
      <c r="H53" s="719" t="s">
        <v>3440</v>
      </c>
      <c r="I53" s="24">
        <f t="shared" si="15"/>
        <v>1</v>
      </c>
      <c r="J53" s="719" t="s">
        <v>3441</v>
      </c>
      <c r="K53" s="24">
        <f t="shared" si="16"/>
        <v>1</v>
      </c>
      <c r="L53" s="719" t="s">
        <v>3428</v>
      </c>
      <c r="M53" s="24">
        <f t="shared" si="17"/>
        <v>1</v>
      </c>
      <c r="N53" s="719" t="s">
        <v>3249</v>
      </c>
      <c r="O53" s="24">
        <f t="shared" si="18"/>
        <v>1</v>
      </c>
      <c r="P53" s="719" t="s">
        <v>3421</v>
      </c>
      <c r="Q53" s="24">
        <f t="shared" si="19"/>
        <v>0.75</v>
      </c>
      <c r="R53" s="715">
        <f t="shared" ca="1" si="20"/>
        <v>12542</v>
      </c>
      <c r="S53" s="361">
        <f t="shared" ca="1" si="11"/>
        <v>368</v>
      </c>
    </row>
    <row r="54" spans="1:19">
      <c r="A54" s="159" t="s">
        <v>3311</v>
      </c>
      <c r="B54" s="59">
        <v>146.03</v>
      </c>
      <c r="C54" s="24">
        <f t="shared" si="12"/>
        <v>1.02</v>
      </c>
      <c r="D54" s="719" t="s">
        <v>3432</v>
      </c>
      <c r="E54" s="24">
        <f t="shared" si="13"/>
        <v>1</v>
      </c>
      <c r="F54" s="719" t="s">
        <v>3234</v>
      </c>
      <c r="G54" s="24">
        <f t="shared" si="14"/>
        <v>1</v>
      </c>
      <c r="H54" s="719" t="s">
        <v>3440</v>
      </c>
      <c r="I54" s="24">
        <f t="shared" si="15"/>
        <v>1</v>
      </c>
      <c r="J54" s="719" t="s">
        <v>3441</v>
      </c>
      <c r="K54" s="24">
        <f t="shared" si="16"/>
        <v>1</v>
      </c>
      <c r="L54" s="719" t="s">
        <v>3428</v>
      </c>
      <c r="M54" s="24">
        <f t="shared" si="17"/>
        <v>1</v>
      </c>
      <c r="N54" s="719" t="s">
        <v>3249</v>
      </c>
      <c r="O54" s="24">
        <f t="shared" si="18"/>
        <v>1</v>
      </c>
      <c r="P54" s="719" t="s">
        <v>3421</v>
      </c>
      <c r="Q54" s="24">
        <f t="shared" si="19"/>
        <v>0.75</v>
      </c>
      <c r="R54" s="715">
        <f t="shared" ca="1" si="20"/>
        <v>12793</v>
      </c>
      <c r="S54" s="361">
        <f t="shared" ca="1" si="11"/>
        <v>187</v>
      </c>
    </row>
    <row r="55" spans="1:19">
      <c r="A55" s="159" t="s">
        <v>3312</v>
      </c>
      <c r="B55" s="59">
        <v>146.03</v>
      </c>
      <c r="C55" s="24">
        <f t="shared" si="12"/>
        <v>1.02</v>
      </c>
      <c r="D55" s="719" t="s">
        <v>3432</v>
      </c>
      <c r="E55" s="24">
        <f t="shared" si="13"/>
        <v>1</v>
      </c>
      <c r="F55" s="719" t="s">
        <v>3234</v>
      </c>
      <c r="G55" s="24">
        <f t="shared" si="14"/>
        <v>1</v>
      </c>
      <c r="H55" s="719" t="s">
        <v>3440</v>
      </c>
      <c r="I55" s="24">
        <f t="shared" si="15"/>
        <v>1</v>
      </c>
      <c r="J55" s="719" t="s">
        <v>3441</v>
      </c>
      <c r="K55" s="24">
        <f t="shared" si="16"/>
        <v>1</v>
      </c>
      <c r="L55" s="719" t="s">
        <v>3428</v>
      </c>
      <c r="M55" s="24">
        <f t="shared" si="17"/>
        <v>1</v>
      </c>
      <c r="N55" s="719" t="s">
        <v>3249</v>
      </c>
      <c r="O55" s="24">
        <f t="shared" si="18"/>
        <v>1</v>
      </c>
      <c r="P55" s="719" t="s">
        <v>3421</v>
      </c>
      <c r="Q55" s="24">
        <f t="shared" si="19"/>
        <v>0.75</v>
      </c>
      <c r="R55" s="715">
        <f t="shared" ca="1" si="20"/>
        <v>12793</v>
      </c>
      <c r="S55" s="361">
        <f t="shared" ref="S55:S77" ca="1" si="21">ROUND(R55*B55/10000,0)</f>
        <v>187</v>
      </c>
    </row>
    <row r="56" spans="1:19">
      <c r="A56" s="159" t="s">
        <v>3313</v>
      </c>
      <c r="B56" s="59">
        <v>381.2</v>
      </c>
      <c r="C56" s="24">
        <f t="shared" si="12"/>
        <v>1</v>
      </c>
      <c r="D56" s="719" t="s">
        <v>3432</v>
      </c>
      <c r="E56" s="24">
        <f t="shared" si="13"/>
        <v>1</v>
      </c>
      <c r="F56" s="719" t="s">
        <v>3234</v>
      </c>
      <c r="G56" s="24">
        <f t="shared" si="14"/>
        <v>1</v>
      </c>
      <c r="H56" s="719" t="s">
        <v>3440</v>
      </c>
      <c r="I56" s="24">
        <f t="shared" si="15"/>
        <v>1</v>
      </c>
      <c r="J56" s="719" t="s">
        <v>3441</v>
      </c>
      <c r="K56" s="24">
        <f t="shared" si="16"/>
        <v>1</v>
      </c>
      <c r="L56" s="719" t="s">
        <v>3428</v>
      </c>
      <c r="M56" s="24">
        <f t="shared" si="17"/>
        <v>1</v>
      </c>
      <c r="N56" s="719" t="s">
        <v>3249</v>
      </c>
      <c r="O56" s="24">
        <f t="shared" si="18"/>
        <v>1</v>
      </c>
      <c r="P56" s="719" t="s">
        <v>3421</v>
      </c>
      <c r="Q56" s="24">
        <f t="shared" si="19"/>
        <v>0.75</v>
      </c>
      <c r="R56" s="715">
        <f t="shared" ca="1" si="20"/>
        <v>12542</v>
      </c>
      <c r="S56" s="361">
        <f t="shared" ca="1" si="21"/>
        <v>478</v>
      </c>
    </row>
    <row r="57" spans="1:19">
      <c r="A57" s="159" t="s">
        <v>3314</v>
      </c>
      <c r="B57" s="59">
        <v>357.37</v>
      </c>
      <c r="C57" s="24">
        <f t="shared" si="12"/>
        <v>1</v>
      </c>
      <c r="D57" s="719" t="s">
        <v>3432</v>
      </c>
      <c r="E57" s="24">
        <f t="shared" si="13"/>
        <v>1</v>
      </c>
      <c r="F57" s="719" t="s">
        <v>3234</v>
      </c>
      <c r="G57" s="24">
        <f t="shared" si="14"/>
        <v>1</v>
      </c>
      <c r="H57" s="719" t="s">
        <v>3440</v>
      </c>
      <c r="I57" s="24">
        <f t="shared" si="15"/>
        <v>1</v>
      </c>
      <c r="J57" s="719" t="s">
        <v>3441</v>
      </c>
      <c r="K57" s="24">
        <f t="shared" si="16"/>
        <v>1</v>
      </c>
      <c r="L57" s="719" t="s">
        <v>3428</v>
      </c>
      <c r="M57" s="24">
        <f t="shared" si="17"/>
        <v>1</v>
      </c>
      <c r="N57" s="719" t="s">
        <v>3249</v>
      </c>
      <c r="O57" s="24">
        <f t="shared" si="18"/>
        <v>1</v>
      </c>
      <c r="P57" s="719" t="s">
        <v>3421</v>
      </c>
      <c r="Q57" s="24">
        <f t="shared" si="19"/>
        <v>0.75</v>
      </c>
      <c r="R57" s="715">
        <f t="shared" ca="1" si="20"/>
        <v>12542</v>
      </c>
      <c r="S57" s="361">
        <f t="shared" ca="1" si="21"/>
        <v>448</v>
      </c>
    </row>
    <row r="58" spans="1:19">
      <c r="A58" s="159" t="s">
        <v>3315</v>
      </c>
      <c r="B58" s="59">
        <v>628.79999999999995</v>
      </c>
      <c r="C58" s="24">
        <f t="shared" si="12"/>
        <v>0.96</v>
      </c>
      <c r="D58" s="719" t="s">
        <v>3432</v>
      </c>
      <c r="E58" s="24">
        <f t="shared" si="13"/>
        <v>1</v>
      </c>
      <c r="F58" s="719" t="s">
        <v>3234</v>
      </c>
      <c r="G58" s="24">
        <f t="shared" si="14"/>
        <v>1</v>
      </c>
      <c r="H58" s="719" t="s">
        <v>3440</v>
      </c>
      <c r="I58" s="24">
        <f t="shared" si="15"/>
        <v>1</v>
      </c>
      <c r="J58" s="719" t="s">
        <v>3441</v>
      </c>
      <c r="K58" s="24">
        <f t="shared" si="16"/>
        <v>1</v>
      </c>
      <c r="L58" s="719" t="s">
        <v>3428</v>
      </c>
      <c r="M58" s="24">
        <f t="shared" si="17"/>
        <v>1</v>
      </c>
      <c r="N58" s="719" t="s">
        <v>3249</v>
      </c>
      <c r="O58" s="24">
        <f t="shared" si="18"/>
        <v>1</v>
      </c>
      <c r="P58" s="719" t="s">
        <v>3421</v>
      </c>
      <c r="Q58" s="24">
        <f t="shared" si="19"/>
        <v>0.75</v>
      </c>
      <c r="R58" s="715">
        <f t="shared" ca="1" si="20"/>
        <v>12041</v>
      </c>
      <c r="S58" s="361">
        <f t="shared" ca="1" si="21"/>
        <v>757</v>
      </c>
    </row>
    <row r="59" spans="1:19">
      <c r="A59" s="159" t="s">
        <v>3316</v>
      </c>
      <c r="B59" s="59">
        <v>153.59</v>
      </c>
      <c r="C59" s="24">
        <f t="shared" si="12"/>
        <v>1.02</v>
      </c>
      <c r="D59" s="719" t="s">
        <v>3432</v>
      </c>
      <c r="E59" s="24">
        <f t="shared" si="13"/>
        <v>1</v>
      </c>
      <c r="F59" s="719" t="s">
        <v>3234</v>
      </c>
      <c r="G59" s="24">
        <f t="shared" si="14"/>
        <v>1</v>
      </c>
      <c r="H59" s="719" t="s">
        <v>3440</v>
      </c>
      <c r="I59" s="24">
        <f t="shared" si="15"/>
        <v>1</v>
      </c>
      <c r="J59" s="719" t="s">
        <v>3441</v>
      </c>
      <c r="K59" s="24">
        <f t="shared" si="16"/>
        <v>1</v>
      </c>
      <c r="L59" s="719" t="s">
        <v>3428</v>
      </c>
      <c r="M59" s="24">
        <f t="shared" si="17"/>
        <v>1</v>
      </c>
      <c r="N59" s="719" t="s">
        <v>3249</v>
      </c>
      <c r="O59" s="24">
        <f t="shared" si="18"/>
        <v>1</v>
      </c>
      <c r="P59" s="719" t="s">
        <v>3421</v>
      </c>
      <c r="Q59" s="24">
        <f t="shared" si="19"/>
        <v>0.75</v>
      </c>
      <c r="R59" s="715">
        <f t="shared" ca="1" si="20"/>
        <v>12793</v>
      </c>
      <c r="S59" s="361">
        <f t="shared" ca="1" si="21"/>
        <v>196</v>
      </c>
    </row>
    <row r="60" spans="1:19">
      <c r="A60" s="159" t="s">
        <v>3317</v>
      </c>
      <c r="B60" s="59">
        <v>355.79</v>
      </c>
      <c r="C60" s="24">
        <f t="shared" si="12"/>
        <v>1</v>
      </c>
      <c r="D60" s="719" t="s">
        <v>3432</v>
      </c>
      <c r="E60" s="24">
        <f t="shared" si="13"/>
        <v>1</v>
      </c>
      <c r="F60" s="719" t="s">
        <v>3234</v>
      </c>
      <c r="G60" s="24">
        <f t="shared" si="14"/>
        <v>1</v>
      </c>
      <c r="H60" s="719" t="s">
        <v>3440</v>
      </c>
      <c r="I60" s="24">
        <f t="shared" si="15"/>
        <v>1</v>
      </c>
      <c r="J60" s="719" t="s">
        <v>3441</v>
      </c>
      <c r="K60" s="24">
        <f t="shared" si="16"/>
        <v>1</v>
      </c>
      <c r="L60" s="719" t="s">
        <v>3428</v>
      </c>
      <c r="M60" s="24">
        <f t="shared" si="17"/>
        <v>1</v>
      </c>
      <c r="N60" s="719" t="s">
        <v>3249</v>
      </c>
      <c r="O60" s="24">
        <f t="shared" si="18"/>
        <v>1</v>
      </c>
      <c r="P60" s="719" t="s">
        <v>3421</v>
      </c>
      <c r="Q60" s="24">
        <f t="shared" si="19"/>
        <v>0.75</v>
      </c>
      <c r="R60" s="715">
        <f t="shared" ca="1" si="20"/>
        <v>12542</v>
      </c>
      <c r="S60" s="361">
        <f t="shared" ca="1" si="21"/>
        <v>446</v>
      </c>
    </row>
    <row r="61" spans="1:19">
      <c r="A61" s="159" t="s">
        <v>3318</v>
      </c>
      <c r="B61" s="59">
        <v>419.63</v>
      </c>
      <c r="C61" s="24">
        <f t="shared" si="12"/>
        <v>0.98</v>
      </c>
      <c r="D61" s="719" t="s">
        <v>3432</v>
      </c>
      <c r="E61" s="24">
        <f t="shared" si="13"/>
        <v>1</v>
      </c>
      <c r="F61" s="719" t="s">
        <v>3234</v>
      </c>
      <c r="G61" s="24">
        <f t="shared" si="14"/>
        <v>1</v>
      </c>
      <c r="H61" s="719" t="s">
        <v>3440</v>
      </c>
      <c r="I61" s="24">
        <f t="shared" si="15"/>
        <v>1</v>
      </c>
      <c r="J61" s="719" t="s">
        <v>3441</v>
      </c>
      <c r="K61" s="24">
        <f t="shared" si="16"/>
        <v>1</v>
      </c>
      <c r="L61" s="719" t="s">
        <v>3428</v>
      </c>
      <c r="M61" s="24">
        <f t="shared" si="17"/>
        <v>1</v>
      </c>
      <c r="N61" s="719" t="s">
        <v>3249</v>
      </c>
      <c r="O61" s="24">
        <f t="shared" si="18"/>
        <v>1</v>
      </c>
      <c r="P61" s="719" t="s">
        <v>3421</v>
      </c>
      <c r="Q61" s="24">
        <f t="shared" si="19"/>
        <v>0.75</v>
      </c>
      <c r="R61" s="715">
        <f t="shared" ca="1" si="20"/>
        <v>12291</v>
      </c>
      <c r="S61" s="361">
        <f t="shared" ca="1" si="21"/>
        <v>516</v>
      </c>
    </row>
    <row r="62" spans="1:19">
      <c r="A62" s="159" t="s">
        <v>3319</v>
      </c>
      <c r="B62" s="59">
        <v>372.21</v>
      </c>
      <c r="C62" s="24">
        <f t="shared" si="12"/>
        <v>1</v>
      </c>
      <c r="D62" s="719" t="s">
        <v>3432</v>
      </c>
      <c r="E62" s="24">
        <f t="shared" si="13"/>
        <v>1</v>
      </c>
      <c r="F62" s="719" t="s">
        <v>3234</v>
      </c>
      <c r="G62" s="24">
        <f t="shared" si="14"/>
        <v>1</v>
      </c>
      <c r="H62" s="719" t="s">
        <v>3440</v>
      </c>
      <c r="I62" s="24">
        <f t="shared" si="15"/>
        <v>1</v>
      </c>
      <c r="J62" s="719" t="s">
        <v>3441</v>
      </c>
      <c r="K62" s="24">
        <f t="shared" si="16"/>
        <v>1</v>
      </c>
      <c r="L62" s="719" t="s">
        <v>3428</v>
      </c>
      <c r="M62" s="24">
        <f t="shared" si="17"/>
        <v>1</v>
      </c>
      <c r="N62" s="719" t="s">
        <v>3249</v>
      </c>
      <c r="O62" s="24">
        <f t="shared" si="18"/>
        <v>1</v>
      </c>
      <c r="P62" s="719" t="s">
        <v>3421</v>
      </c>
      <c r="Q62" s="24">
        <f t="shared" si="19"/>
        <v>0.75</v>
      </c>
      <c r="R62" s="715">
        <f t="shared" ca="1" si="20"/>
        <v>12542</v>
      </c>
      <c r="S62" s="361">
        <f t="shared" ca="1" si="21"/>
        <v>467</v>
      </c>
    </row>
    <row r="63" spans="1:19">
      <c r="A63" s="159" t="s">
        <v>3320</v>
      </c>
      <c r="B63" s="59">
        <v>409.93</v>
      </c>
      <c r="C63" s="24">
        <f t="shared" si="12"/>
        <v>0.98</v>
      </c>
      <c r="D63" s="719" t="s">
        <v>3432</v>
      </c>
      <c r="E63" s="24">
        <f t="shared" si="13"/>
        <v>1</v>
      </c>
      <c r="F63" s="719" t="s">
        <v>3234</v>
      </c>
      <c r="G63" s="24">
        <f t="shared" si="14"/>
        <v>1</v>
      </c>
      <c r="H63" s="719" t="s">
        <v>3440</v>
      </c>
      <c r="I63" s="24">
        <f t="shared" si="15"/>
        <v>1</v>
      </c>
      <c r="J63" s="719" t="s">
        <v>3441</v>
      </c>
      <c r="K63" s="24">
        <f t="shared" si="16"/>
        <v>1</v>
      </c>
      <c r="L63" s="719" t="s">
        <v>3428</v>
      </c>
      <c r="M63" s="24">
        <f t="shared" si="17"/>
        <v>1</v>
      </c>
      <c r="N63" s="719" t="s">
        <v>3249</v>
      </c>
      <c r="O63" s="24">
        <f t="shared" si="18"/>
        <v>1</v>
      </c>
      <c r="P63" s="719" t="s">
        <v>3421</v>
      </c>
      <c r="Q63" s="24">
        <f t="shared" si="19"/>
        <v>0.75</v>
      </c>
      <c r="R63" s="715">
        <f t="shared" ca="1" si="20"/>
        <v>12291</v>
      </c>
      <c r="S63" s="361">
        <f t="shared" ca="1" si="21"/>
        <v>504</v>
      </c>
    </row>
    <row r="64" spans="1:19">
      <c r="A64" s="159" t="s">
        <v>3321</v>
      </c>
      <c r="B64" s="59">
        <v>373.9</v>
      </c>
      <c r="C64" s="24">
        <f t="shared" si="12"/>
        <v>1</v>
      </c>
      <c r="D64" s="719" t="s">
        <v>3432</v>
      </c>
      <c r="E64" s="24">
        <f t="shared" si="13"/>
        <v>1</v>
      </c>
      <c r="F64" s="719" t="s">
        <v>3234</v>
      </c>
      <c r="G64" s="24">
        <f t="shared" si="14"/>
        <v>1</v>
      </c>
      <c r="H64" s="719" t="s">
        <v>3440</v>
      </c>
      <c r="I64" s="24">
        <f t="shared" si="15"/>
        <v>1</v>
      </c>
      <c r="J64" s="719" t="s">
        <v>3441</v>
      </c>
      <c r="K64" s="24">
        <f t="shared" si="16"/>
        <v>1</v>
      </c>
      <c r="L64" s="719" t="s">
        <v>3428</v>
      </c>
      <c r="M64" s="24">
        <f t="shared" si="17"/>
        <v>1</v>
      </c>
      <c r="N64" s="719" t="s">
        <v>3249</v>
      </c>
      <c r="O64" s="24">
        <f t="shared" si="18"/>
        <v>1</v>
      </c>
      <c r="P64" s="719" t="s">
        <v>3421</v>
      </c>
      <c r="Q64" s="24">
        <f t="shared" si="19"/>
        <v>0.75</v>
      </c>
      <c r="R64" s="715">
        <f t="shared" ca="1" si="20"/>
        <v>12542</v>
      </c>
      <c r="S64" s="361">
        <f t="shared" ca="1" si="21"/>
        <v>469</v>
      </c>
    </row>
    <row r="65" spans="1:19">
      <c r="A65" s="159" t="s">
        <v>3322</v>
      </c>
      <c r="B65" s="59">
        <v>569.6</v>
      </c>
      <c r="C65" s="24">
        <f t="shared" si="12"/>
        <v>0.98</v>
      </c>
      <c r="D65" s="719" t="s">
        <v>3432</v>
      </c>
      <c r="E65" s="24">
        <f t="shared" si="13"/>
        <v>1</v>
      </c>
      <c r="F65" s="719" t="s">
        <v>3234</v>
      </c>
      <c r="G65" s="24">
        <f t="shared" si="14"/>
        <v>1</v>
      </c>
      <c r="H65" s="719" t="s">
        <v>3440</v>
      </c>
      <c r="I65" s="24">
        <f t="shared" si="15"/>
        <v>1</v>
      </c>
      <c r="J65" s="719" t="s">
        <v>3441</v>
      </c>
      <c r="K65" s="24">
        <f t="shared" si="16"/>
        <v>1</v>
      </c>
      <c r="L65" s="719" t="s">
        <v>3428</v>
      </c>
      <c r="M65" s="24">
        <f t="shared" si="17"/>
        <v>1</v>
      </c>
      <c r="N65" s="719" t="s">
        <v>3249</v>
      </c>
      <c r="O65" s="24">
        <f t="shared" si="18"/>
        <v>1</v>
      </c>
      <c r="P65" s="719" t="s">
        <v>3421</v>
      </c>
      <c r="Q65" s="24">
        <f t="shared" si="19"/>
        <v>0.75</v>
      </c>
      <c r="R65" s="715">
        <f t="shared" ca="1" si="20"/>
        <v>12291</v>
      </c>
      <c r="S65" s="361">
        <f t="shared" ca="1" si="21"/>
        <v>700</v>
      </c>
    </row>
    <row r="66" spans="1:19">
      <c r="A66" s="159" t="s">
        <v>3343</v>
      </c>
      <c r="B66" s="59">
        <v>1439.25</v>
      </c>
      <c r="C66" s="24">
        <f t="shared" si="12"/>
        <v>0.92</v>
      </c>
      <c r="D66" s="719" t="s">
        <v>3432</v>
      </c>
      <c r="E66" s="24">
        <f t="shared" si="13"/>
        <v>1</v>
      </c>
      <c r="F66" s="719" t="s">
        <v>3234</v>
      </c>
      <c r="G66" s="24">
        <f t="shared" si="14"/>
        <v>1</v>
      </c>
      <c r="H66" s="719" t="s">
        <v>3440</v>
      </c>
      <c r="I66" s="24">
        <f t="shared" si="15"/>
        <v>1</v>
      </c>
      <c r="J66" s="719" t="s">
        <v>3441</v>
      </c>
      <c r="K66" s="24">
        <f t="shared" si="16"/>
        <v>1</v>
      </c>
      <c r="L66" s="719" t="s">
        <v>3428</v>
      </c>
      <c r="M66" s="24">
        <f t="shared" si="17"/>
        <v>1</v>
      </c>
      <c r="N66" s="719" t="s">
        <v>3249</v>
      </c>
      <c r="O66" s="24">
        <f t="shared" si="18"/>
        <v>1</v>
      </c>
      <c r="P66" s="719" t="s">
        <v>3422</v>
      </c>
      <c r="Q66" s="24">
        <f t="shared" si="19"/>
        <v>0.65</v>
      </c>
      <c r="R66" s="715">
        <f t="shared" ca="1" si="20"/>
        <v>10000</v>
      </c>
      <c r="S66" s="361">
        <f t="shared" ca="1" si="21"/>
        <v>1439</v>
      </c>
    </row>
    <row r="67" spans="1:19">
      <c r="A67" s="159" t="s">
        <v>3347</v>
      </c>
      <c r="B67" s="59">
        <v>1501</v>
      </c>
      <c r="C67" s="24">
        <f t="shared" si="12"/>
        <v>0.9</v>
      </c>
      <c r="D67" s="719" t="s">
        <v>3432</v>
      </c>
      <c r="E67" s="24">
        <f t="shared" si="13"/>
        <v>1</v>
      </c>
      <c r="F67" s="719" t="s">
        <v>3234</v>
      </c>
      <c r="G67" s="24">
        <f t="shared" si="14"/>
        <v>1</v>
      </c>
      <c r="H67" s="719" t="s">
        <v>3440</v>
      </c>
      <c r="I67" s="24">
        <f t="shared" si="15"/>
        <v>1</v>
      </c>
      <c r="J67" s="719" t="s">
        <v>3441</v>
      </c>
      <c r="K67" s="24">
        <f t="shared" si="16"/>
        <v>1</v>
      </c>
      <c r="L67" s="719" t="s">
        <v>3428</v>
      </c>
      <c r="M67" s="24">
        <f t="shared" si="17"/>
        <v>1</v>
      </c>
      <c r="N67" s="719" t="s">
        <v>3249</v>
      </c>
      <c r="O67" s="24">
        <f t="shared" si="18"/>
        <v>1</v>
      </c>
      <c r="P67" s="719" t="s">
        <v>3422</v>
      </c>
      <c r="Q67" s="24">
        <f t="shared" si="19"/>
        <v>0.65</v>
      </c>
      <c r="R67" s="715">
        <f t="shared" ca="1" si="20"/>
        <v>9783</v>
      </c>
      <c r="S67" s="361">
        <f t="shared" ca="1" si="21"/>
        <v>1468</v>
      </c>
    </row>
    <row r="68" spans="1:19">
      <c r="A68" s="159" t="s">
        <v>3350</v>
      </c>
      <c r="B68" s="59">
        <v>1441.56</v>
      </c>
      <c r="C68" s="24">
        <f t="shared" si="12"/>
        <v>0.92</v>
      </c>
      <c r="D68" s="719" t="s">
        <v>3432</v>
      </c>
      <c r="E68" s="24">
        <f t="shared" si="13"/>
        <v>1</v>
      </c>
      <c r="F68" s="719" t="s">
        <v>3234</v>
      </c>
      <c r="G68" s="24">
        <f t="shared" si="14"/>
        <v>1</v>
      </c>
      <c r="H68" s="719" t="s">
        <v>3440</v>
      </c>
      <c r="I68" s="24">
        <f t="shared" si="15"/>
        <v>1</v>
      </c>
      <c r="J68" s="719" t="s">
        <v>3441</v>
      </c>
      <c r="K68" s="24">
        <f t="shared" si="16"/>
        <v>1</v>
      </c>
      <c r="L68" s="719" t="s">
        <v>3428</v>
      </c>
      <c r="M68" s="24">
        <f t="shared" si="17"/>
        <v>1</v>
      </c>
      <c r="N68" s="719" t="s">
        <v>3249</v>
      </c>
      <c r="O68" s="24">
        <f t="shared" si="18"/>
        <v>1</v>
      </c>
      <c r="P68" s="719" t="s">
        <v>3423</v>
      </c>
      <c r="Q68" s="24">
        <f t="shared" si="19"/>
        <v>0.55000000000000004</v>
      </c>
      <c r="R68" s="715">
        <f t="shared" ca="1" si="20"/>
        <v>8462</v>
      </c>
      <c r="S68" s="361">
        <f t="shared" ca="1" si="21"/>
        <v>1220</v>
      </c>
    </row>
    <row r="69" spans="1:19">
      <c r="A69" s="159" t="s">
        <v>3358</v>
      </c>
      <c r="B69" s="59">
        <v>1377.12</v>
      </c>
      <c r="C69" s="24">
        <f t="shared" si="12"/>
        <v>0.92</v>
      </c>
      <c r="D69" s="719" t="s">
        <v>3432</v>
      </c>
      <c r="E69" s="24">
        <f t="shared" si="13"/>
        <v>1</v>
      </c>
      <c r="F69" s="719" t="s">
        <v>3234</v>
      </c>
      <c r="G69" s="24">
        <f t="shared" si="14"/>
        <v>1</v>
      </c>
      <c r="H69" s="719" t="s">
        <v>3440</v>
      </c>
      <c r="I69" s="24">
        <f t="shared" si="15"/>
        <v>1</v>
      </c>
      <c r="J69" s="719" t="s">
        <v>3441</v>
      </c>
      <c r="K69" s="24">
        <f t="shared" si="16"/>
        <v>1</v>
      </c>
      <c r="L69" s="719" t="s">
        <v>3428</v>
      </c>
      <c r="M69" s="24">
        <f t="shared" si="17"/>
        <v>1</v>
      </c>
      <c r="N69" s="719" t="s">
        <v>3249</v>
      </c>
      <c r="O69" s="24">
        <f t="shared" si="18"/>
        <v>1</v>
      </c>
      <c r="P69" s="719" t="s">
        <v>3423</v>
      </c>
      <c r="Q69" s="24">
        <f t="shared" si="19"/>
        <v>0.55000000000000004</v>
      </c>
      <c r="R69" s="715">
        <f t="shared" ca="1" si="20"/>
        <v>8462</v>
      </c>
      <c r="S69" s="361">
        <f t="shared" ca="1" si="21"/>
        <v>1165</v>
      </c>
    </row>
    <row r="70" spans="1:19">
      <c r="A70" s="159" t="s">
        <v>3360</v>
      </c>
      <c r="B70" s="59">
        <v>1440.56</v>
      </c>
      <c r="C70" s="24">
        <f t="shared" si="12"/>
        <v>0.92</v>
      </c>
      <c r="D70" s="719" t="s">
        <v>3432</v>
      </c>
      <c r="E70" s="24">
        <f t="shared" si="13"/>
        <v>1</v>
      </c>
      <c r="F70" s="719" t="s">
        <v>3234</v>
      </c>
      <c r="G70" s="24">
        <f t="shared" si="14"/>
        <v>1</v>
      </c>
      <c r="H70" s="719" t="s">
        <v>3440</v>
      </c>
      <c r="I70" s="24">
        <f t="shared" si="15"/>
        <v>1</v>
      </c>
      <c r="J70" s="719" t="s">
        <v>3441</v>
      </c>
      <c r="K70" s="24">
        <f t="shared" si="16"/>
        <v>1</v>
      </c>
      <c r="L70" s="719" t="s">
        <v>3428</v>
      </c>
      <c r="M70" s="24">
        <f t="shared" si="17"/>
        <v>1</v>
      </c>
      <c r="N70" s="719" t="s">
        <v>3249</v>
      </c>
      <c r="O70" s="24">
        <f t="shared" si="18"/>
        <v>1</v>
      </c>
      <c r="P70" s="719" t="s">
        <v>3424</v>
      </c>
      <c r="Q70" s="24">
        <f t="shared" si="19"/>
        <v>0.55000000000000004</v>
      </c>
      <c r="R70" s="715">
        <f t="shared" ca="1" si="20"/>
        <v>8462</v>
      </c>
      <c r="S70" s="361">
        <f t="shared" ca="1" si="21"/>
        <v>1219</v>
      </c>
    </row>
    <row r="71" spans="1:19">
      <c r="A71" s="159" t="s">
        <v>3363</v>
      </c>
      <c r="B71" s="59">
        <v>1377.12</v>
      </c>
      <c r="C71" s="24">
        <f t="shared" si="12"/>
        <v>0.92</v>
      </c>
      <c r="D71" s="719" t="s">
        <v>3432</v>
      </c>
      <c r="E71" s="24">
        <f t="shared" si="13"/>
        <v>1</v>
      </c>
      <c r="F71" s="719" t="s">
        <v>3234</v>
      </c>
      <c r="G71" s="24">
        <f t="shared" si="14"/>
        <v>1</v>
      </c>
      <c r="H71" s="719" t="s">
        <v>3440</v>
      </c>
      <c r="I71" s="24">
        <f t="shared" si="15"/>
        <v>1</v>
      </c>
      <c r="J71" s="719" t="s">
        <v>3441</v>
      </c>
      <c r="K71" s="24">
        <f t="shared" si="16"/>
        <v>1</v>
      </c>
      <c r="L71" s="719" t="s">
        <v>3428</v>
      </c>
      <c r="M71" s="24">
        <f t="shared" si="17"/>
        <v>1</v>
      </c>
      <c r="N71" s="719" t="s">
        <v>3249</v>
      </c>
      <c r="O71" s="24">
        <f t="shared" si="18"/>
        <v>1</v>
      </c>
      <c r="P71" s="719" t="s">
        <v>3424</v>
      </c>
      <c r="Q71" s="24">
        <f t="shared" si="19"/>
        <v>0.55000000000000004</v>
      </c>
      <c r="R71" s="715">
        <f t="shared" ca="1" si="20"/>
        <v>8462</v>
      </c>
      <c r="S71" s="361">
        <f t="shared" ca="1" si="21"/>
        <v>1165</v>
      </c>
    </row>
    <row r="72" spans="1:19">
      <c r="A72" s="159" t="s">
        <v>3366</v>
      </c>
      <c r="B72" s="59">
        <v>8081.16</v>
      </c>
      <c r="C72" s="24">
        <f t="shared" si="12"/>
        <v>0.88</v>
      </c>
      <c r="D72" s="719" t="s">
        <v>3432</v>
      </c>
      <c r="E72" s="24">
        <f t="shared" si="13"/>
        <v>1</v>
      </c>
      <c r="F72" s="719" t="s">
        <v>3234</v>
      </c>
      <c r="G72" s="24">
        <f t="shared" si="14"/>
        <v>1</v>
      </c>
      <c r="H72" s="719" t="s">
        <v>3437</v>
      </c>
      <c r="I72" s="24">
        <f t="shared" si="15"/>
        <v>1.0900000000000001</v>
      </c>
      <c r="J72" s="719" t="s">
        <v>3441</v>
      </c>
      <c r="K72" s="24">
        <f t="shared" si="16"/>
        <v>1</v>
      </c>
      <c r="L72" s="719" t="s">
        <v>3426</v>
      </c>
      <c r="M72" s="24">
        <f t="shared" si="17"/>
        <v>1.2</v>
      </c>
      <c r="N72" s="719" t="s">
        <v>3458</v>
      </c>
      <c r="O72" s="24">
        <f t="shared" si="18"/>
        <v>1.2</v>
      </c>
      <c r="P72" s="719" t="s">
        <v>3425</v>
      </c>
      <c r="Q72" s="24">
        <f t="shared" si="19"/>
        <v>0.9</v>
      </c>
      <c r="R72" s="715">
        <f t="shared" ca="1" si="20"/>
        <v>20789</v>
      </c>
      <c r="S72" s="361">
        <f t="shared" ca="1" si="21"/>
        <v>16800</v>
      </c>
    </row>
    <row r="73" spans="1:19">
      <c r="A73" s="159"/>
      <c r="B73" s="59"/>
      <c r="C73" s="24">
        <f t="shared" si="12"/>
        <v>1</v>
      </c>
      <c r="D73" s="719"/>
      <c r="E73" s="24">
        <f t="shared" si="13"/>
        <v>0.06</v>
      </c>
      <c r="F73" s="719"/>
      <c r="G73" s="24">
        <f t="shared" si="14"/>
        <v>0.02</v>
      </c>
      <c r="H73" s="719"/>
      <c r="I73" s="24">
        <f t="shared" si="15"/>
        <v>0.09</v>
      </c>
      <c r="J73" s="719"/>
      <c r="K73" s="24">
        <f t="shared" si="16"/>
        <v>0</v>
      </c>
      <c r="L73" s="719"/>
      <c r="M73" s="24">
        <f t="shared" si="17"/>
        <v>0.2</v>
      </c>
      <c r="N73" s="719"/>
      <c r="O73" s="24">
        <f t="shared" si="18"/>
        <v>0.2</v>
      </c>
      <c r="P73" s="719"/>
      <c r="Q73" s="24">
        <f t="shared" si="19"/>
        <v>0</v>
      </c>
      <c r="R73" s="715">
        <f t="shared" si="20"/>
        <v>0</v>
      </c>
      <c r="S73" s="361">
        <f t="shared" si="21"/>
        <v>0</v>
      </c>
    </row>
    <row r="74" spans="1:19">
      <c r="A74" s="159"/>
      <c r="B74" s="59"/>
      <c r="C74" s="24">
        <f t="shared" si="12"/>
        <v>1</v>
      </c>
      <c r="D74" s="719"/>
      <c r="E74" s="24">
        <f t="shared" si="13"/>
        <v>0.06</v>
      </c>
      <c r="F74" s="719"/>
      <c r="G74" s="24">
        <f t="shared" si="14"/>
        <v>0.02</v>
      </c>
      <c r="H74" s="719"/>
      <c r="I74" s="24">
        <f t="shared" si="15"/>
        <v>0.09</v>
      </c>
      <c r="J74" s="719"/>
      <c r="K74" s="24">
        <f t="shared" si="16"/>
        <v>0</v>
      </c>
      <c r="L74" s="719"/>
      <c r="M74" s="24">
        <f t="shared" si="17"/>
        <v>0.2</v>
      </c>
      <c r="N74" s="719"/>
      <c r="O74" s="24">
        <f t="shared" si="18"/>
        <v>0.2</v>
      </c>
      <c r="P74" s="719"/>
      <c r="Q74" s="24">
        <f t="shared" si="19"/>
        <v>0</v>
      </c>
      <c r="R74" s="715">
        <f t="shared" si="20"/>
        <v>0</v>
      </c>
      <c r="S74" s="361">
        <f t="shared" si="21"/>
        <v>0</v>
      </c>
    </row>
    <row r="75" spans="1:19">
      <c r="A75" s="159"/>
      <c r="B75" s="59"/>
      <c r="C75" s="24">
        <f t="shared" si="12"/>
        <v>1</v>
      </c>
      <c r="D75" s="719"/>
      <c r="E75" s="24">
        <f t="shared" si="13"/>
        <v>0.06</v>
      </c>
      <c r="F75" s="719"/>
      <c r="G75" s="24">
        <f t="shared" si="14"/>
        <v>0.02</v>
      </c>
      <c r="H75" s="719"/>
      <c r="I75" s="24">
        <f t="shared" si="15"/>
        <v>0.09</v>
      </c>
      <c r="J75" s="719"/>
      <c r="K75" s="24">
        <f t="shared" si="16"/>
        <v>0</v>
      </c>
      <c r="L75" s="719"/>
      <c r="M75" s="24">
        <f t="shared" si="17"/>
        <v>0.2</v>
      </c>
      <c r="N75" s="719"/>
      <c r="O75" s="24">
        <f t="shared" si="18"/>
        <v>0.2</v>
      </c>
      <c r="P75" s="719"/>
      <c r="Q75" s="24">
        <f t="shared" si="19"/>
        <v>0</v>
      </c>
      <c r="R75" s="715">
        <f t="shared" si="20"/>
        <v>0</v>
      </c>
      <c r="S75" s="361">
        <f t="shared" si="21"/>
        <v>0</v>
      </c>
    </row>
    <row r="76" spans="1:19">
      <c r="A76" s="159"/>
      <c r="B76" s="59"/>
      <c r="C76" s="24">
        <f t="shared" si="12"/>
        <v>1</v>
      </c>
      <c r="D76" s="719"/>
      <c r="E76" s="24">
        <f t="shared" si="13"/>
        <v>0.06</v>
      </c>
      <c r="F76" s="719"/>
      <c r="G76" s="24">
        <f t="shared" si="14"/>
        <v>0.02</v>
      </c>
      <c r="H76" s="719"/>
      <c r="I76" s="24">
        <f t="shared" si="15"/>
        <v>0.09</v>
      </c>
      <c r="J76" s="719"/>
      <c r="K76" s="24">
        <f t="shared" si="16"/>
        <v>0</v>
      </c>
      <c r="L76" s="719"/>
      <c r="M76" s="24">
        <f t="shared" si="17"/>
        <v>0.2</v>
      </c>
      <c r="N76" s="719"/>
      <c r="O76" s="24">
        <f t="shared" si="18"/>
        <v>0.2</v>
      </c>
      <c r="P76" s="719"/>
      <c r="Q76" s="24">
        <f t="shared" si="19"/>
        <v>0</v>
      </c>
      <c r="R76" s="715">
        <f t="shared" si="20"/>
        <v>0</v>
      </c>
      <c r="S76" s="361">
        <f t="shared" si="21"/>
        <v>0</v>
      </c>
    </row>
    <row r="77" spans="1:19">
      <c r="A77" s="159"/>
      <c r="B77" s="59"/>
      <c r="C77" s="24">
        <f t="shared" si="12"/>
        <v>1</v>
      </c>
      <c r="D77" s="719"/>
      <c r="E77" s="24">
        <f t="shared" si="13"/>
        <v>0.06</v>
      </c>
      <c r="F77" s="719"/>
      <c r="G77" s="24">
        <f t="shared" si="14"/>
        <v>0.02</v>
      </c>
      <c r="H77" s="719"/>
      <c r="I77" s="24">
        <f t="shared" si="15"/>
        <v>0.09</v>
      </c>
      <c r="J77" s="719"/>
      <c r="K77" s="24">
        <f t="shared" si="16"/>
        <v>0</v>
      </c>
      <c r="L77" s="719"/>
      <c r="M77" s="24">
        <f t="shared" si="17"/>
        <v>0.2</v>
      </c>
      <c r="N77" s="719"/>
      <c r="O77" s="24">
        <f t="shared" si="18"/>
        <v>0.2</v>
      </c>
      <c r="P77" s="719"/>
      <c r="Q77" s="24">
        <f t="shared" si="19"/>
        <v>0</v>
      </c>
      <c r="R77" s="715">
        <f t="shared" si="20"/>
        <v>0</v>
      </c>
      <c r="S77" s="361">
        <f t="shared" si="21"/>
        <v>0</v>
      </c>
    </row>
    <row r="78" spans="1:19">
      <c r="A78" s="159"/>
      <c r="B78" s="59"/>
      <c r="C78" s="24">
        <f t="shared" si="12"/>
        <v>1</v>
      </c>
      <c r="D78" s="719"/>
      <c r="E78" s="24">
        <f t="shared" si="13"/>
        <v>0.06</v>
      </c>
      <c r="F78" s="719"/>
      <c r="G78" s="24">
        <f t="shared" si="14"/>
        <v>0.02</v>
      </c>
      <c r="H78" s="719"/>
      <c r="I78" s="24">
        <f t="shared" si="15"/>
        <v>0.09</v>
      </c>
      <c r="J78" s="719"/>
      <c r="K78" s="24">
        <f t="shared" si="16"/>
        <v>0</v>
      </c>
      <c r="L78" s="719"/>
      <c r="M78" s="24">
        <f t="shared" si="17"/>
        <v>0.2</v>
      </c>
      <c r="N78" s="719"/>
      <c r="O78" s="24">
        <f t="shared" si="18"/>
        <v>0.2</v>
      </c>
      <c r="P78" s="719"/>
      <c r="Q78" s="24">
        <f t="shared" si="19"/>
        <v>0</v>
      </c>
      <c r="R78" s="715">
        <f t="shared" si="20"/>
        <v>0</v>
      </c>
      <c r="S78" s="361">
        <f t="shared" ref="S78:S122" si="22">ROUND(R78*B78/10000,0)</f>
        <v>0</v>
      </c>
    </row>
    <row r="79" spans="1:19">
      <c r="A79" s="159"/>
      <c r="B79" s="59"/>
      <c r="C79" s="24">
        <f t="shared" si="12"/>
        <v>1</v>
      </c>
      <c r="D79" s="719"/>
      <c r="E79" s="24">
        <f t="shared" si="13"/>
        <v>0.06</v>
      </c>
      <c r="F79" s="719"/>
      <c r="G79" s="24">
        <f t="shared" si="14"/>
        <v>0.02</v>
      </c>
      <c r="H79" s="719"/>
      <c r="I79" s="24">
        <f t="shared" si="15"/>
        <v>0.09</v>
      </c>
      <c r="J79" s="719"/>
      <c r="K79" s="24">
        <f t="shared" si="16"/>
        <v>0</v>
      </c>
      <c r="L79" s="719"/>
      <c r="M79" s="24">
        <f t="shared" si="17"/>
        <v>0.2</v>
      </c>
      <c r="N79" s="719"/>
      <c r="O79" s="24">
        <f t="shared" si="18"/>
        <v>0.2</v>
      </c>
      <c r="P79" s="719"/>
      <c r="Q79" s="24">
        <f t="shared" si="19"/>
        <v>0</v>
      </c>
      <c r="R79" s="715">
        <f t="shared" si="20"/>
        <v>0</v>
      </c>
      <c r="S79" s="361">
        <f t="shared" si="22"/>
        <v>0</v>
      </c>
    </row>
    <row r="80" spans="1:19">
      <c r="A80" s="159"/>
      <c r="B80" s="59"/>
      <c r="C80" s="24">
        <f t="shared" si="12"/>
        <v>1</v>
      </c>
      <c r="D80" s="719"/>
      <c r="E80" s="24">
        <f t="shared" si="13"/>
        <v>0.06</v>
      </c>
      <c r="F80" s="719"/>
      <c r="G80" s="24">
        <f t="shared" si="14"/>
        <v>0.02</v>
      </c>
      <c r="H80" s="719"/>
      <c r="I80" s="24">
        <f t="shared" si="15"/>
        <v>0.09</v>
      </c>
      <c r="J80" s="719"/>
      <c r="K80" s="24">
        <f t="shared" si="16"/>
        <v>0</v>
      </c>
      <c r="L80" s="719"/>
      <c r="M80" s="24">
        <f t="shared" si="17"/>
        <v>0.2</v>
      </c>
      <c r="N80" s="719"/>
      <c r="O80" s="24">
        <f t="shared" si="18"/>
        <v>0.2</v>
      </c>
      <c r="P80" s="719"/>
      <c r="Q80" s="24">
        <f t="shared" si="19"/>
        <v>0</v>
      </c>
      <c r="R80" s="715">
        <f t="shared" si="20"/>
        <v>0</v>
      </c>
      <c r="S80" s="361">
        <f t="shared" si="22"/>
        <v>0</v>
      </c>
    </row>
    <row r="81" spans="1:19">
      <c r="A81" s="159"/>
      <c r="B81" s="59"/>
      <c r="C81" s="24">
        <f t="shared" si="12"/>
        <v>1</v>
      </c>
      <c r="D81" s="719"/>
      <c r="E81" s="24">
        <f t="shared" si="13"/>
        <v>0.06</v>
      </c>
      <c r="F81" s="719"/>
      <c r="G81" s="24">
        <f t="shared" si="14"/>
        <v>0.02</v>
      </c>
      <c r="H81" s="719"/>
      <c r="I81" s="24">
        <f t="shared" si="15"/>
        <v>0.09</v>
      </c>
      <c r="J81" s="719"/>
      <c r="K81" s="24">
        <f t="shared" si="16"/>
        <v>0</v>
      </c>
      <c r="L81" s="719"/>
      <c r="M81" s="24">
        <f t="shared" si="17"/>
        <v>0.2</v>
      </c>
      <c r="N81" s="719"/>
      <c r="O81" s="24">
        <f t="shared" si="18"/>
        <v>0.2</v>
      </c>
      <c r="P81" s="719"/>
      <c r="Q81" s="24">
        <f t="shared" si="19"/>
        <v>0</v>
      </c>
      <c r="R81" s="715">
        <f t="shared" si="20"/>
        <v>0</v>
      </c>
      <c r="S81" s="361">
        <f t="shared" si="22"/>
        <v>0</v>
      </c>
    </row>
    <row r="82" spans="1:19">
      <c r="A82" s="159"/>
      <c r="B82" s="59"/>
      <c r="C82" s="24">
        <f t="shared" si="12"/>
        <v>1</v>
      </c>
      <c r="D82" s="719"/>
      <c r="E82" s="24">
        <f t="shared" si="13"/>
        <v>0.06</v>
      </c>
      <c r="F82" s="719"/>
      <c r="G82" s="24">
        <f t="shared" si="14"/>
        <v>0.02</v>
      </c>
      <c r="H82" s="719"/>
      <c r="I82" s="24">
        <f t="shared" si="15"/>
        <v>0.09</v>
      </c>
      <c r="J82" s="719"/>
      <c r="K82" s="24">
        <f t="shared" si="16"/>
        <v>0</v>
      </c>
      <c r="L82" s="719"/>
      <c r="M82" s="24">
        <f t="shared" si="17"/>
        <v>0.2</v>
      </c>
      <c r="N82" s="719"/>
      <c r="O82" s="24">
        <f t="shared" si="18"/>
        <v>0.2</v>
      </c>
      <c r="P82" s="719"/>
      <c r="Q82" s="24">
        <f t="shared" si="19"/>
        <v>0</v>
      </c>
      <c r="R82" s="715">
        <f t="shared" si="20"/>
        <v>0</v>
      </c>
      <c r="S82" s="361">
        <f t="shared" si="22"/>
        <v>0</v>
      </c>
    </row>
    <row r="83" spans="1:19">
      <c r="A83" s="159"/>
      <c r="B83" s="59"/>
      <c r="C83" s="24">
        <f t="shared" si="12"/>
        <v>1</v>
      </c>
      <c r="D83" s="719"/>
      <c r="E83" s="24">
        <f t="shared" si="13"/>
        <v>0.06</v>
      </c>
      <c r="F83" s="719"/>
      <c r="G83" s="24">
        <f t="shared" si="14"/>
        <v>0.02</v>
      </c>
      <c r="H83" s="719"/>
      <c r="I83" s="24">
        <f t="shared" si="15"/>
        <v>0.09</v>
      </c>
      <c r="J83" s="719"/>
      <c r="K83" s="24">
        <f t="shared" si="16"/>
        <v>0</v>
      </c>
      <c r="L83" s="719"/>
      <c r="M83" s="24">
        <f t="shared" si="17"/>
        <v>0.2</v>
      </c>
      <c r="N83" s="719"/>
      <c r="O83" s="24">
        <f t="shared" si="18"/>
        <v>0.2</v>
      </c>
      <c r="P83" s="719"/>
      <c r="Q83" s="24">
        <f t="shared" si="19"/>
        <v>0</v>
      </c>
      <c r="R83" s="715">
        <f t="shared" si="20"/>
        <v>0</v>
      </c>
      <c r="S83" s="361">
        <f t="shared" si="22"/>
        <v>0</v>
      </c>
    </row>
    <row r="84" spans="1:19">
      <c r="A84" s="159"/>
      <c r="B84" s="59"/>
      <c r="C84" s="24">
        <f t="shared" si="12"/>
        <v>1</v>
      </c>
      <c r="D84" s="719"/>
      <c r="E84" s="24">
        <f t="shared" si="13"/>
        <v>0.06</v>
      </c>
      <c r="F84" s="719"/>
      <c r="G84" s="24">
        <f t="shared" si="14"/>
        <v>0.02</v>
      </c>
      <c r="H84" s="719"/>
      <c r="I84" s="24">
        <f t="shared" si="15"/>
        <v>0.09</v>
      </c>
      <c r="J84" s="719"/>
      <c r="K84" s="24">
        <f t="shared" si="16"/>
        <v>0</v>
      </c>
      <c r="L84" s="719"/>
      <c r="M84" s="24">
        <f t="shared" si="17"/>
        <v>0.2</v>
      </c>
      <c r="N84" s="719"/>
      <c r="O84" s="24">
        <f t="shared" si="18"/>
        <v>0.2</v>
      </c>
      <c r="P84" s="719"/>
      <c r="Q84" s="24">
        <f t="shared" si="19"/>
        <v>0</v>
      </c>
      <c r="R84" s="715">
        <f t="shared" si="20"/>
        <v>0</v>
      </c>
      <c r="S84" s="361">
        <f t="shared" si="22"/>
        <v>0</v>
      </c>
    </row>
    <row r="85" spans="1:19">
      <c r="A85" s="159"/>
      <c r="B85" s="59"/>
      <c r="C85" s="24">
        <f t="shared" si="12"/>
        <v>1</v>
      </c>
      <c r="D85" s="719"/>
      <c r="E85" s="24">
        <f t="shared" si="13"/>
        <v>0.06</v>
      </c>
      <c r="F85" s="719"/>
      <c r="G85" s="24">
        <f t="shared" si="14"/>
        <v>0.02</v>
      </c>
      <c r="H85" s="719"/>
      <c r="I85" s="24">
        <f t="shared" si="15"/>
        <v>0.09</v>
      </c>
      <c r="J85" s="719"/>
      <c r="K85" s="24">
        <f t="shared" si="16"/>
        <v>0</v>
      </c>
      <c r="L85" s="719"/>
      <c r="M85" s="24">
        <f t="shared" si="17"/>
        <v>0.2</v>
      </c>
      <c r="N85" s="719"/>
      <c r="O85" s="24">
        <f t="shared" si="18"/>
        <v>0.2</v>
      </c>
      <c r="P85" s="719"/>
      <c r="Q85" s="24">
        <f t="shared" si="19"/>
        <v>0</v>
      </c>
      <c r="R85" s="715">
        <f t="shared" si="20"/>
        <v>0</v>
      </c>
      <c r="S85" s="361">
        <f t="shared" si="22"/>
        <v>0</v>
      </c>
    </row>
    <row r="86" spans="1:19">
      <c r="A86" s="159"/>
      <c r="B86" s="59"/>
      <c r="C86" s="24">
        <f t="shared" si="12"/>
        <v>1</v>
      </c>
      <c r="D86" s="719"/>
      <c r="E86" s="24">
        <f t="shared" si="13"/>
        <v>0.06</v>
      </c>
      <c r="F86" s="719"/>
      <c r="G86" s="24">
        <f t="shared" si="14"/>
        <v>0.02</v>
      </c>
      <c r="H86" s="719"/>
      <c r="I86" s="24">
        <f t="shared" si="15"/>
        <v>0.09</v>
      </c>
      <c r="J86" s="719"/>
      <c r="K86" s="24">
        <f t="shared" si="16"/>
        <v>0</v>
      </c>
      <c r="L86" s="719"/>
      <c r="M86" s="24">
        <f t="shared" si="17"/>
        <v>0.2</v>
      </c>
      <c r="N86" s="719"/>
      <c r="O86" s="24">
        <f t="shared" si="18"/>
        <v>0.2</v>
      </c>
      <c r="P86" s="719"/>
      <c r="Q86" s="24">
        <f t="shared" si="19"/>
        <v>0</v>
      </c>
      <c r="R86" s="715">
        <f t="shared" si="20"/>
        <v>0</v>
      </c>
      <c r="S86" s="361">
        <f t="shared" si="22"/>
        <v>0</v>
      </c>
    </row>
    <row r="87" spans="1:19">
      <c r="A87" s="159"/>
      <c r="B87" s="59"/>
      <c r="C87" s="24">
        <f t="shared" si="12"/>
        <v>1</v>
      </c>
      <c r="D87" s="719"/>
      <c r="E87" s="24">
        <f t="shared" si="13"/>
        <v>0.06</v>
      </c>
      <c r="F87" s="719"/>
      <c r="G87" s="24">
        <f t="shared" si="14"/>
        <v>0.02</v>
      </c>
      <c r="H87" s="719"/>
      <c r="I87" s="24">
        <f t="shared" si="15"/>
        <v>0.09</v>
      </c>
      <c r="J87" s="719"/>
      <c r="K87" s="24">
        <f t="shared" si="16"/>
        <v>0</v>
      </c>
      <c r="L87" s="719"/>
      <c r="M87" s="24">
        <f t="shared" si="17"/>
        <v>0.2</v>
      </c>
      <c r="N87" s="719"/>
      <c r="O87" s="24">
        <f t="shared" si="18"/>
        <v>0.2</v>
      </c>
      <c r="P87" s="719"/>
      <c r="Q87" s="24">
        <f t="shared" si="19"/>
        <v>0</v>
      </c>
      <c r="R87" s="715">
        <f t="shared" si="20"/>
        <v>0</v>
      </c>
      <c r="S87" s="361">
        <f t="shared" si="22"/>
        <v>0</v>
      </c>
    </row>
    <row r="88" spans="1:19">
      <c r="A88" s="159"/>
      <c r="B88" s="59"/>
      <c r="C88" s="24">
        <f t="shared" si="12"/>
        <v>1</v>
      </c>
      <c r="D88" s="719"/>
      <c r="E88" s="24">
        <f t="shared" si="13"/>
        <v>0.06</v>
      </c>
      <c r="F88" s="719"/>
      <c r="G88" s="24">
        <f t="shared" si="14"/>
        <v>0.02</v>
      </c>
      <c r="H88" s="719"/>
      <c r="I88" s="24">
        <f t="shared" si="15"/>
        <v>0.09</v>
      </c>
      <c r="J88" s="719"/>
      <c r="K88" s="24">
        <f t="shared" si="16"/>
        <v>0</v>
      </c>
      <c r="L88" s="719"/>
      <c r="M88" s="24">
        <f t="shared" si="17"/>
        <v>0.2</v>
      </c>
      <c r="N88" s="719"/>
      <c r="O88" s="24">
        <f t="shared" si="18"/>
        <v>0.2</v>
      </c>
      <c r="P88" s="719"/>
      <c r="Q88" s="24">
        <f t="shared" si="19"/>
        <v>0</v>
      </c>
      <c r="R88" s="715">
        <f t="shared" si="20"/>
        <v>0</v>
      </c>
      <c r="S88" s="361">
        <f t="shared" si="22"/>
        <v>0</v>
      </c>
    </row>
    <row r="89" spans="1:19">
      <c r="A89" s="159"/>
      <c r="B89" s="59"/>
      <c r="C89" s="24">
        <f t="shared" si="12"/>
        <v>1</v>
      </c>
      <c r="D89" s="719"/>
      <c r="E89" s="24">
        <f t="shared" si="13"/>
        <v>0.06</v>
      </c>
      <c r="F89" s="719"/>
      <c r="G89" s="24">
        <f t="shared" si="14"/>
        <v>0.02</v>
      </c>
      <c r="H89" s="719"/>
      <c r="I89" s="24">
        <f t="shared" si="15"/>
        <v>0.09</v>
      </c>
      <c r="J89" s="719"/>
      <c r="K89" s="24">
        <f t="shared" si="16"/>
        <v>0</v>
      </c>
      <c r="L89" s="719"/>
      <c r="M89" s="24">
        <f t="shared" si="17"/>
        <v>0.2</v>
      </c>
      <c r="N89" s="719"/>
      <c r="O89" s="24">
        <f t="shared" si="18"/>
        <v>0.2</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0.06</v>
      </c>
      <c r="F90" s="719"/>
      <c r="G90" s="24">
        <f t="shared" ref="G90:G153" si="25">(SUMIF($7:$7,F90,$8:$8)-SUMIF($7:$7,$F$24,$8:$8)+100)/100</f>
        <v>0.02</v>
      </c>
      <c r="H90" s="719"/>
      <c r="I90" s="24">
        <f t="shared" ref="I90:I153" si="26">(SUMIF($9:$9,H90,$10:$10)-SUMIF($9:$9,$H$24,$10:$10)+100)/100</f>
        <v>0.09</v>
      </c>
      <c r="J90" s="719"/>
      <c r="K90" s="24">
        <f t="shared" ref="K90:K153" si="27">(SUMIF($11:$11,J90,$12:$12)-SUMIF($11:$11,$J$24,$12:$12)+100)/100</f>
        <v>0</v>
      </c>
      <c r="L90" s="719"/>
      <c r="M90" s="24">
        <f t="shared" ref="M90:M153" si="28">(SUMIF($13:$13,L90,$14:$14)-SUMIF($13:$13,$L$24,$14:$14)+100)/100</f>
        <v>0.2</v>
      </c>
      <c r="N90" s="719"/>
      <c r="O90" s="24">
        <f t="shared" ref="O90:O153" si="29">(SUMIF($15:$15,N90,$16:$16)-SUMIF($15:$15,$N$24,$16:$16)+100)/100</f>
        <v>0.2</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0.06</v>
      </c>
      <c r="F91" s="719"/>
      <c r="G91" s="24">
        <f t="shared" si="25"/>
        <v>0.02</v>
      </c>
      <c r="H91" s="719"/>
      <c r="I91" s="24">
        <f t="shared" si="26"/>
        <v>0.09</v>
      </c>
      <c r="J91" s="719"/>
      <c r="K91" s="24">
        <f t="shared" si="27"/>
        <v>0</v>
      </c>
      <c r="L91" s="719"/>
      <c r="M91" s="24">
        <f t="shared" si="28"/>
        <v>0.2</v>
      </c>
      <c r="N91" s="719"/>
      <c r="O91" s="24">
        <f t="shared" si="29"/>
        <v>0.2</v>
      </c>
      <c r="P91" s="719"/>
      <c r="Q91" s="24">
        <f t="shared" si="30"/>
        <v>0</v>
      </c>
      <c r="R91" s="715">
        <f t="shared" si="31"/>
        <v>0</v>
      </c>
      <c r="S91" s="361">
        <f t="shared" si="22"/>
        <v>0</v>
      </c>
    </row>
    <row r="92" spans="1:19">
      <c r="A92" s="159"/>
      <c r="B92" s="59"/>
      <c r="C92" s="24">
        <f t="shared" si="23"/>
        <v>1</v>
      </c>
      <c r="D92" s="719"/>
      <c r="E92" s="24">
        <f t="shared" si="24"/>
        <v>0.06</v>
      </c>
      <c r="F92" s="719"/>
      <c r="G92" s="24">
        <f t="shared" si="25"/>
        <v>0.02</v>
      </c>
      <c r="H92" s="719"/>
      <c r="I92" s="24">
        <f t="shared" si="26"/>
        <v>0.09</v>
      </c>
      <c r="J92" s="719"/>
      <c r="K92" s="24">
        <f t="shared" si="27"/>
        <v>0</v>
      </c>
      <c r="L92" s="719"/>
      <c r="M92" s="24">
        <f t="shared" si="28"/>
        <v>0.2</v>
      </c>
      <c r="N92" s="719"/>
      <c r="O92" s="24">
        <f t="shared" si="29"/>
        <v>0.2</v>
      </c>
      <c r="P92" s="719"/>
      <c r="Q92" s="24">
        <f t="shared" si="30"/>
        <v>0</v>
      </c>
      <c r="R92" s="715">
        <f t="shared" si="31"/>
        <v>0</v>
      </c>
      <c r="S92" s="361">
        <f t="shared" si="22"/>
        <v>0</v>
      </c>
    </row>
    <row r="93" spans="1:19">
      <c r="A93" s="159"/>
      <c r="B93" s="59"/>
      <c r="C93" s="24">
        <f t="shared" si="23"/>
        <v>1</v>
      </c>
      <c r="D93" s="719"/>
      <c r="E93" s="24">
        <f t="shared" si="24"/>
        <v>0.06</v>
      </c>
      <c r="F93" s="719"/>
      <c r="G93" s="24">
        <f t="shared" si="25"/>
        <v>0.02</v>
      </c>
      <c r="H93" s="719"/>
      <c r="I93" s="24">
        <f t="shared" si="26"/>
        <v>0.09</v>
      </c>
      <c r="J93" s="719"/>
      <c r="K93" s="24">
        <f t="shared" si="27"/>
        <v>0</v>
      </c>
      <c r="L93" s="719"/>
      <c r="M93" s="24">
        <f t="shared" si="28"/>
        <v>0.2</v>
      </c>
      <c r="N93" s="719"/>
      <c r="O93" s="24">
        <f t="shared" si="29"/>
        <v>0.2</v>
      </c>
      <c r="P93" s="719"/>
      <c r="Q93" s="24">
        <f t="shared" si="30"/>
        <v>0</v>
      </c>
      <c r="R93" s="715">
        <f t="shared" si="31"/>
        <v>0</v>
      </c>
      <c r="S93" s="361">
        <f t="shared" si="22"/>
        <v>0</v>
      </c>
    </row>
    <row r="94" spans="1:19">
      <c r="A94" s="159"/>
      <c r="B94" s="59"/>
      <c r="C94" s="24">
        <f t="shared" si="23"/>
        <v>1</v>
      </c>
      <c r="D94" s="719"/>
      <c r="E94" s="24">
        <f t="shared" si="24"/>
        <v>0.06</v>
      </c>
      <c r="F94" s="719"/>
      <c r="G94" s="24">
        <f t="shared" si="25"/>
        <v>0.02</v>
      </c>
      <c r="H94" s="719"/>
      <c r="I94" s="24">
        <f t="shared" si="26"/>
        <v>0.09</v>
      </c>
      <c r="J94" s="719"/>
      <c r="K94" s="24">
        <f t="shared" si="27"/>
        <v>0</v>
      </c>
      <c r="L94" s="719"/>
      <c r="M94" s="24">
        <f t="shared" si="28"/>
        <v>0.2</v>
      </c>
      <c r="N94" s="719"/>
      <c r="O94" s="24">
        <f t="shared" si="29"/>
        <v>0.2</v>
      </c>
      <c r="P94" s="719"/>
      <c r="Q94" s="24">
        <f t="shared" si="30"/>
        <v>0</v>
      </c>
      <c r="R94" s="715">
        <f t="shared" si="31"/>
        <v>0</v>
      </c>
      <c r="S94" s="361">
        <f t="shared" si="22"/>
        <v>0</v>
      </c>
    </row>
    <row r="95" spans="1:19">
      <c r="A95" s="159"/>
      <c r="B95" s="59"/>
      <c r="C95" s="24">
        <f t="shared" si="23"/>
        <v>1</v>
      </c>
      <c r="D95" s="719"/>
      <c r="E95" s="24">
        <f t="shared" si="24"/>
        <v>0.06</v>
      </c>
      <c r="F95" s="719"/>
      <c r="G95" s="24">
        <f t="shared" si="25"/>
        <v>0.02</v>
      </c>
      <c r="H95" s="719"/>
      <c r="I95" s="24">
        <f t="shared" si="26"/>
        <v>0.09</v>
      </c>
      <c r="J95" s="719"/>
      <c r="K95" s="24">
        <f t="shared" si="27"/>
        <v>0</v>
      </c>
      <c r="L95" s="719"/>
      <c r="M95" s="24">
        <f t="shared" si="28"/>
        <v>0.2</v>
      </c>
      <c r="N95" s="719"/>
      <c r="O95" s="24">
        <f t="shared" si="29"/>
        <v>0.2</v>
      </c>
      <c r="P95" s="719"/>
      <c r="Q95" s="24">
        <f t="shared" si="30"/>
        <v>0</v>
      </c>
      <c r="R95" s="715">
        <f t="shared" si="31"/>
        <v>0</v>
      </c>
      <c r="S95" s="361">
        <f t="shared" si="22"/>
        <v>0</v>
      </c>
    </row>
    <row r="96" spans="1:19">
      <c r="A96" s="159"/>
      <c r="B96" s="59"/>
      <c r="C96" s="24">
        <f t="shared" si="23"/>
        <v>1</v>
      </c>
      <c r="D96" s="719"/>
      <c r="E96" s="24">
        <f t="shared" si="24"/>
        <v>0.06</v>
      </c>
      <c r="F96" s="719"/>
      <c r="G96" s="24">
        <f t="shared" si="25"/>
        <v>0.02</v>
      </c>
      <c r="H96" s="719"/>
      <c r="I96" s="24">
        <f t="shared" si="26"/>
        <v>0.09</v>
      </c>
      <c r="J96" s="719"/>
      <c r="K96" s="24">
        <f t="shared" si="27"/>
        <v>0</v>
      </c>
      <c r="L96" s="719"/>
      <c r="M96" s="24">
        <f t="shared" si="28"/>
        <v>0.2</v>
      </c>
      <c r="N96" s="719"/>
      <c r="O96" s="24">
        <f t="shared" si="29"/>
        <v>0.2</v>
      </c>
      <c r="P96" s="719"/>
      <c r="Q96" s="24">
        <f t="shared" si="30"/>
        <v>0</v>
      </c>
      <c r="R96" s="715">
        <f t="shared" si="31"/>
        <v>0</v>
      </c>
      <c r="S96" s="361">
        <f t="shared" si="22"/>
        <v>0</v>
      </c>
    </row>
    <row r="97" spans="1:19">
      <c r="A97" s="159"/>
      <c r="B97" s="59"/>
      <c r="C97" s="24">
        <f t="shared" si="23"/>
        <v>1</v>
      </c>
      <c r="D97" s="719"/>
      <c r="E97" s="24">
        <f t="shared" si="24"/>
        <v>0.06</v>
      </c>
      <c r="F97" s="719"/>
      <c r="G97" s="24">
        <f t="shared" si="25"/>
        <v>0.02</v>
      </c>
      <c r="H97" s="719"/>
      <c r="I97" s="24">
        <f t="shared" si="26"/>
        <v>0.09</v>
      </c>
      <c r="J97" s="719"/>
      <c r="K97" s="24">
        <f t="shared" si="27"/>
        <v>0</v>
      </c>
      <c r="L97" s="719"/>
      <c r="M97" s="24">
        <f t="shared" si="28"/>
        <v>0.2</v>
      </c>
      <c r="N97" s="719"/>
      <c r="O97" s="24">
        <f t="shared" si="29"/>
        <v>0.2</v>
      </c>
      <c r="P97" s="719"/>
      <c r="Q97" s="24">
        <f t="shared" si="30"/>
        <v>0</v>
      </c>
      <c r="R97" s="715">
        <f t="shared" si="31"/>
        <v>0</v>
      </c>
      <c r="S97" s="361">
        <f t="shared" si="22"/>
        <v>0</v>
      </c>
    </row>
    <row r="98" spans="1:19">
      <c r="A98" s="159"/>
      <c r="B98" s="59"/>
      <c r="C98" s="24">
        <f t="shared" si="23"/>
        <v>1</v>
      </c>
      <c r="D98" s="719"/>
      <c r="E98" s="24">
        <f t="shared" si="24"/>
        <v>0.06</v>
      </c>
      <c r="F98" s="719"/>
      <c r="G98" s="24">
        <f t="shared" si="25"/>
        <v>0.02</v>
      </c>
      <c r="H98" s="719"/>
      <c r="I98" s="24">
        <f t="shared" si="26"/>
        <v>0.09</v>
      </c>
      <c r="J98" s="719"/>
      <c r="K98" s="24">
        <f t="shared" si="27"/>
        <v>0</v>
      </c>
      <c r="L98" s="719"/>
      <c r="M98" s="24">
        <f t="shared" si="28"/>
        <v>0.2</v>
      </c>
      <c r="N98" s="719"/>
      <c r="O98" s="24">
        <f t="shared" si="29"/>
        <v>0.2</v>
      </c>
      <c r="P98" s="719"/>
      <c r="Q98" s="24">
        <f t="shared" si="30"/>
        <v>0</v>
      </c>
      <c r="R98" s="715">
        <f t="shared" si="31"/>
        <v>0</v>
      </c>
      <c r="S98" s="361">
        <f t="shared" si="22"/>
        <v>0</v>
      </c>
    </row>
    <row r="99" spans="1:19">
      <c r="A99" s="159"/>
      <c r="B99" s="59"/>
      <c r="C99" s="24">
        <f t="shared" si="23"/>
        <v>1</v>
      </c>
      <c r="D99" s="719"/>
      <c r="E99" s="24">
        <f t="shared" si="24"/>
        <v>0.06</v>
      </c>
      <c r="F99" s="719"/>
      <c r="G99" s="24">
        <f t="shared" si="25"/>
        <v>0.02</v>
      </c>
      <c r="H99" s="719"/>
      <c r="I99" s="24">
        <f t="shared" si="26"/>
        <v>0.09</v>
      </c>
      <c r="J99" s="719"/>
      <c r="K99" s="24">
        <f t="shared" si="27"/>
        <v>0</v>
      </c>
      <c r="L99" s="719"/>
      <c r="M99" s="24">
        <f t="shared" si="28"/>
        <v>0.2</v>
      </c>
      <c r="N99" s="719"/>
      <c r="O99" s="24">
        <f t="shared" si="29"/>
        <v>0.2</v>
      </c>
      <c r="P99" s="719"/>
      <c r="Q99" s="24">
        <f t="shared" si="30"/>
        <v>0</v>
      </c>
      <c r="R99" s="715">
        <f t="shared" si="31"/>
        <v>0</v>
      </c>
      <c r="S99" s="361">
        <f t="shared" si="22"/>
        <v>0</v>
      </c>
    </row>
    <row r="100" spans="1:19">
      <c r="A100" s="159"/>
      <c r="B100" s="59"/>
      <c r="C100" s="24">
        <f t="shared" si="23"/>
        <v>1</v>
      </c>
      <c r="D100" s="719"/>
      <c r="E100" s="24">
        <f t="shared" si="24"/>
        <v>0.06</v>
      </c>
      <c r="F100" s="719"/>
      <c r="G100" s="24">
        <f t="shared" si="25"/>
        <v>0.02</v>
      </c>
      <c r="H100" s="719"/>
      <c r="I100" s="24">
        <f t="shared" si="26"/>
        <v>0.09</v>
      </c>
      <c r="J100" s="719"/>
      <c r="K100" s="24">
        <f t="shared" si="27"/>
        <v>0</v>
      </c>
      <c r="L100" s="719"/>
      <c r="M100" s="24">
        <f t="shared" si="28"/>
        <v>0.2</v>
      </c>
      <c r="N100" s="719"/>
      <c r="O100" s="24">
        <f t="shared" si="29"/>
        <v>0.2</v>
      </c>
      <c r="P100" s="719"/>
      <c r="Q100" s="24">
        <f t="shared" si="30"/>
        <v>0</v>
      </c>
      <c r="R100" s="715">
        <f t="shared" si="31"/>
        <v>0</v>
      </c>
      <c r="S100" s="361">
        <f t="shared" si="22"/>
        <v>0</v>
      </c>
    </row>
    <row r="101" spans="1:19">
      <c r="A101" s="159"/>
      <c r="B101" s="59"/>
      <c r="C101" s="24">
        <f t="shared" si="23"/>
        <v>1</v>
      </c>
      <c r="D101" s="719"/>
      <c r="E101" s="24">
        <f t="shared" si="24"/>
        <v>0.06</v>
      </c>
      <c r="F101" s="719"/>
      <c r="G101" s="24">
        <f t="shared" si="25"/>
        <v>0.02</v>
      </c>
      <c r="H101" s="719"/>
      <c r="I101" s="24">
        <f t="shared" si="26"/>
        <v>0.09</v>
      </c>
      <c r="J101" s="719"/>
      <c r="K101" s="24">
        <f t="shared" si="27"/>
        <v>0</v>
      </c>
      <c r="L101" s="719"/>
      <c r="M101" s="24">
        <f t="shared" si="28"/>
        <v>0.2</v>
      </c>
      <c r="N101" s="719"/>
      <c r="O101" s="24">
        <f t="shared" si="29"/>
        <v>0.2</v>
      </c>
      <c r="P101" s="719"/>
      <c r="Q101" s="24">
        <f t="shared" si="30"/>
        <v>0</v>
      </c>
      <c r="R101" s="715">
        <f t="shared" si="31"/>
        <v>0</v>
      </c>
      <c r="S101" s="361">
        <f t="shared" si="22"/>
        <v>0</v>
      </c>
    </row>
    <row r="102" spans="1:19">
      <c r="A102" s="159"/>
      <c r="B102" s="59"/>
      <c r="C102" s="24">
        <f t="shared" si="23"/>
        <v>1</v>
      </c>
      <c r="D102" s="719"/>
      <c r="E102" s="24">
        <f t="shared" si="24"/>
        <v>0.06</v>
      </c>
      <c r="F102" s="719"/>
      <c r="G102" s="24">
        <f t="shared" si="25"/>
        <v>0.02</v>
      </c>
      <c r="H102" s="719"/>
      <c r="I102" s="24">
        <f t="shared" si="26"/>
        <v>0.09</v>
      </c>
      <c r="J102" s="719"/>
      <c r="K102" s="24">
        <f t="shared" si="27"/>
        <v>0</v>
      </c>
      <c r="L102" s="719"/>
      <c r="M102" s="24">
        <f t="shared" si="28"/>
        <v>0.2</v>
      </c>
      <c r="N102" s="719"/>
      <c r="O102" s="24">
        <f t="shared" si="29"/>
        <v>0.2</v>
      </c>
      <c r="P102" s="719"/>
      <c r="Q102" s="24">
        <f t="shared" si="30"/>
        <v>0</v>
      </c>
      <c r="R102" s="715">
        <f t="shared" si="31"/>
        <v>0</v>
      </c>
      <c r="S102" s="361">
        <f t="shared" si="22"/>
        <v>0</v>
      </c>
    </row>
    <row r="103" spans="1:19">
      <c r="A103" s="159"/>
      <c r="B103" s="59"/>
      <c r="C103" s="24">
        <f t="shared" si="23"/>
        <v>1</v>
      </c>
      <c r="D103" s="719"/>
      <c r="E103" s="24">
        <f t="shared" si="24"/>
        <v>0.06</v>
      </c>
      <c r="F103" s="719"/>
      <c r="G103" s="24">
        <f t="shared" si="25"/>
        <v>0.02</v>
      </c>
      <c r="H103" s="719"/>
      <c r="I103" s="24">
        <f t="shared" si="26"/>
        <v>0.09</v>
      </c>
      <c r="J103" s="719"/>
      <c r="K103" s="24">
        <f t="shared" si="27"/>
        <v>0</v>
      </c>
      <c r="L103" s="719"/>
      <c r="M103" s="24">
        <f t="shared" si="28"/>
        <v>0.2</v>
      </c>
      <c r="N103" s="719"/>
      <c r="O103" s="24">
        <f t="shared" si="29"/>
        <v>0.2</v>
      </c>
      <c r="P103" s="719"/>
      <c r="Q103" s="24">
        <f t="shared" si="30"/>
        <v>0</v>
      </c>
      <c r="R103" s="715">
        <f t="shared" si="31"/>
        <v>0</v>
      </c>
      <c r="S103" s="361">
        <f t="shared" si="22"/>
        <v>0</v>
      </c>
    </row>
    <row r="104" spans="1:19">
      <c r="A104" s="159"/>
      <c r="B104" s="59"/>
      <c r="C104" s="24">
        <f t="shared" si="23"/>
        <v>1</v>
      </c>
      <c r="D104" s="719"/>
      <c r="E104" s="24">
        <f t="shared" si="24"/>
        <v>0.06</v>
      </c>
      <c r="F104" s="719"/>
      <c r="G104" s="24">
        <f t="shared" si="25"/>
        <v>0.02</v>
      </c>
      <c r="H104" s="719"/>
      <c r="I104" s="24">
        <f t="shared" si="26"/>
        <v>0.09</v>
      </c>
      <c r="J104" s="719"/>
      <c r="K104" s="24">
        <f t="shared" si="27"/>
        <v>0</v>
      </c>
      <c r="L104" s="719"/>
      <c r="M104" s="24">
        <f t="shared" si="28"/>
        <v>0.2</v>
      </c>
      <c r="N104" s="719"/>
      <c r="O104" s="24">
        <f t="shared" si="29"/>
        <v>0.2</v>
      </c>
      <c r="P104" s="719"/>
      <c r="Q104" s="24">
        <f t="shared" si="30"/>
        <v>0</v>
      </c>
      <c r="R104" s="715">
        <f t="shared" si="31"/>
        <v>0</v>
      </c>
      <c r="S104" s="361">
        <f t="shared" si="22"/>
        <v>0</v>
      </c>
    </row>
    <row r="105" spans="1:19">
      <c r="A105" s="159"/>
      <c r="B105" s="59"/>
      <c r="C105" s="24">
        <f t="shared" si="23"/>
        <v>1</v>
      </c>
      <c r="D105" s="719"/>
      <c r="E105" s="24">
        <f t="shared" si="24"/>
        <v>0.06</v>
      </c>
      <c r="F105" s="719"/>
      <c r="G105" s="24">
        <f t="shared" si="25"/>
        <v>0.02</v>
      </c>
      <c r="H105" s="719"/>
      <c r="I105" s="24">
        <f t="shared" si="26"/>
        <v>0.09</v>
      </c>
      <c r="J105" s="719"/>
      <c r="K105" s="24">
        <f t="shared" si="27"/>
        <v>0</v>
      </c>
      <c r="L105" s="719"/>
      <c r="M105" s="24">
        <f t="shared" si="28"/>
        <v>0.2</v>
      </c>
      <c r="N105" s="719"/>
      <c r="O105" s="24">
        <f t="shared" si="29"/>
        <v>0.2</v>
      </c>
      <c r="P105" s="719"/>
      <c r="Q105" s="24">
        <f t="shared" si="30"/>
        <v>0</v>
      </c>
      <c r="R105" s="715">
        <f t="shared" si="31"/>
        <v>0</v>
      </c>
      <c r="S105" s="361">
        <f t="shared" si="22"/>
        <v>0</v>
      </c>
    </row>
    <row r="106" spans="1:19">
      <c r="A106" s="159"/>
      <c r="B106" s="59"/>
      <c r="C106" s="24">
        <f t="shared" si="23"/>
        <v>1</v>
      </c>
      <c r="D106" s="719"/>
      <c r="E106" s="24">
        <f t="shared" si="24"/>
        <v>0.06</v>
      </c>
      <c r="F106" s="719"/>
      <c r="G106" s="24">
        <f t="shared" si="25"/>
        <v>0.02</v>
      </c>
      <c r="H106" s="719"/>
      <c r="I106" s="24">
        <f t="shared" si="26"/>
        <v>0.09</v>
      </c>
      <c r="J106" s="719"/>
      <c r="K106" s="24">
        <f t="shared" si="27"/>
        <v>0</v>
      </c>
      <c r="L106" s="719"/>
      <c r="M106" s="24">
        <f t="shared" si="28"/>
        <v>0.2</v>
      </c>
      <c r="N106" s="719"/>
      <c r="O106" s="24">
        <f t="shared" si="29"/>
        <v>0.2</v>
      </c>
      <c r="P106" s="719"/>
      <c r="Q106" s="24">
        <f t="shared" si="30"/>
        <v>0</v>
      </c>
      <c r="R106" s="715">
        <f t="shared" si="31"/>
        <v>0</v>
      </c>
      <c r="S106" s="361">
        <f t="shared" si="22"/>
        <v>0</v>
      </c>
    </row>
    <row r="107" spans="1:19">
      <c r="A107" s="159"/>
      <c r="B107" s="59"/>
      <c r="C107" s="24">
        <f t="shared" si="23"/>
        <v>1</v>
      </c>
      <c r="D107" s="719"/>
      <c r="E107" s="24">
        <f t="shared" si="24"/>
        <v>0.06</v>
      </c>
      <c r="F107" s="719"/>
      <c r="G107" s="24">
        <f t="shared" si="25"/>
        <v>0.02</v>
      </c>
      <c r="H107" s="719"/>
      <c r="I107" s="24">
        <f t="shared" si="26"/>
        <v>0.09</v>
      </c>
      <c r="J107" s="719"/>
      <c r="K107" s="24">
        <f t="shared" si="27"/>
        <v>0</v>
      </c>
      <c r="L107" s="719"/>
      <c r="M107" s="24">
        <f t="shared" si="28"/>
        <v>0.2</v>
      </c>
      <c r="N107" s="719"/>
      <c r="O107" s="24">
        <f t="shared" si="29"/>
        <v>0.2</v>
      </c>
      <c r="P107" s="719"/>
      <c r="Q107" s="24">
        <f t="shared" si="30"/>
        <v>0</v>
      </c>
      <c r="R107" s="715">
        <f t="shared" si="31"/>
        <v>0</v>
      </c>
      <c r="S107" s="361">
        <f t="shared" si="22"/>
        <v>0</v>
      </c>
    </row>
    <row r="108" spans="1:19">
      <c r="A108" s="159"/>
      <c r="B108" s="59"/>
      <c r="C108" s="24">
        <f t="shared" si="23"/>
        <v>1</v>
      </c>
      <c r="D108" s="719"/>
      <c r="E108" s="24">
        <f t="shared" si="24"/>
        <v>0.06</v>
      </c>
      <c r="F108" s="719"/>
      <c r="G108" s="24">
        <f t="shared" si="25"/>
        <v>0.02</v>
      </c>
      <c r="H108" s="719"/>
      <c r="I108" s="24">
        <f t="shared" si="26"/>
        <v>0.09</v>
      </c>
      <c r="J108" s="719"/>
      <c r="K108" s="24">
        <f t="shared" si="27"/>
        <v>0</v>
      </c>
      <c r="L108" s="719"/>
      <c r="M108" s="24">
        <f t="shared" si="28"/>
        <v>0.2</v>
      </c>
      <c r="N108" s="719"/>
      <c r="O108" s="24">
        <f t="shared" si="29"/>
        <v>0.2</v>
      </c>
      <c r="P108" s="719"/>
      <c r="Q108" s="24">
        <f t="shared" si="30"/>
        <v>0</v>
      </c>
      <c r="R108" s="715">
        <f t="shared" si="31"/>
        <v>0</v>
      </c>
      <c r="S108" s="361">
        <f t="shared" si="22"/>
        <v>0</v>
      </c>
    </row>
    <row r="109" spans="1:19">
      <c r="A109" s="159"/>
      <c r="B109" s="59"/>
      <c r="C109" s="24">
        <f t="shared" si="23"/>
        <v>1</v>
      </c>
      <c r="D109" s="719"/>
      <c r="E109" s="24">
        <f t="shared" si="24"/>
        <v>0.06</v>
      </c>
      <c r="F109" s="719"/>
      <c r="G109" s="24">
        <f t="shared" si="25"/>
        <v>0.02</v>
      </c>
      <c r="H109" s="719"/>
      <c r="I109" s="24">
        <f t="shared" si="26"/>
        <v>0.09</v>
      </c>
      <c r="J109" s="719"/>
      <c r="K109" s="24">
        <f t="shared" si="27"/>
        <v>0</v>
      </c>
      <c r="L109" s="719"/>
      <c r="M109" s="24">
        <f t="shared" si="28"/>
        <v>0.2</v>
      </c>
      <c r="N109" s="719"/>
      <c r="O109" s="24">
        <f t="shared" si="29"/>
        <v>0.2</v>
      </c>
      <c r="P109" s="719"/>
      <c r="Q109" s="24">
        <f t="shared" si="30"/>
        <v>0</v>
      </c>
      <c r="R109" s="715">
        <f t="shared" si="31"/>
        <v>0</v>
      </c>
      <c r="S109" s="361">
        <f t="shared" si="22"/>
        <v>0</v>
      </c>
    </row>
    <row r="110" spans="1:19">
      <c r="A110" s="159"/>
      <c r="B110" s="59"/>
      <c r="C110" s="24">
        <f t="shared" si="23"/>
        <v>1</v>
      </c>
      <c r="D110" s="719"/>
      <c r="E110" s="24">
        <f t="shared" si="24"/>
        <v>0.06</v>
      </c>
      <c r="F110" s="719"/>
      <c r="G110" s="24">
        <f t="shared" si="25"/>
        <v>0.02</v>
      </c>
      <c r="H110" s="719"/>
      <c r="I110" s="24">
        <f t="shared" si="26"/>
        <v>0.09</v>
      </c>
      <c r="J110" s="719"/>
      <c r="K110" s="24">
        <f t="shared" si="27"/>
        <v>0</v>
      </c>
      <c r="L110" s="719"/>
      <c r="M110" s="24">
        <f t="shared" si="28"/>
        <v>0.2</v>
      </c>
      <c r="N110" s="719"/>
      <c r="O110" s="24">
        <f t="shared" si="29"/>
        <v>0.2</v>
      </c>
      <c r="P110" s="719"/>
      <c r="Q110" s="24">
        <f t="shared" si="30"/>
        <v>0</v>
      </c>
      <c r="R110" s="715">
        <f t="shared" si="31"/>
        <v>0</v>
      </c>
      <c r="S110" s="361">
        <f t="shared" si="22"/>
        <v>0</v>
      </c>
    </row>
    <row r="111" spans="1:19">
      <c r="A111" s="159"/>
      <c r="B111" s="59"/>
      <c r="C111" s="24">
        <f t="shared" si="23"/>
        <v>1</v>
      </c>
      <c r="D111" s="719"/>
      <c r="E111" s="24">
        <f t="shared" si="24"/>
        <v>0.06</v>
      </c>
      <c r="F111" s="719"/>
      <c r="G111" s="24">
        <f t="shared" si="25"/>
        <v>0.02</v>
      </c>
      <c r="H111" s="719"/>
      <c r="I111" s="24">
        <f t="shared" si="26"/>
        <v>0.09</v>
      </c>
      <c r="J111" s="719"/>
      <c r="K111" s="24">
        <f t="shared" si="27"/>
        <v>0</v>
      </c>
      <c r="L111" s="719"/>
      <c r="M111" s="24">
        <f t="shared" si="28"/>
        <v>0.2</v>
      </c>
      <c r="N111" s="719"/>
      <c r="O111" s="24">
        <f t="shared" si="29"/>
        <v>0.2</v>
      </c>
      <c r="P111" s="719"/>
      <c r="Q111" s="24">
        <f t="shared" si="30"/>
        <v>0</v>
      </c>
      <c r="R111" s="715">
        <f t="shared" si="31"/>
        <v>0</v>
      </c>
      <c r="S111" s="361">
        <f t="shared" si="22"/>
        <v>0</v>
      </c>
    </row>
    <row r="112" spans="1:19">
      <c r="A112" s="159"/>
      <c r="B112" s="59"/>
      <c r="C112" s="24">
        <f t="shared" si="23"/>
        <v>1</v>
      </c>
      <c r="D112" s="719"/>
      <c r="E112" s="24">
        <f t="shared" si="24"/>
        <v>0.06</v>
      </c>
      <c r="F112" s="719"/>
      <c r="G112" s="24">
        <f t="shared" si="25"/>
        <v>0.02</v>
      </c>
      <c r="H112" s="719"/>
      <c r="I112" s="24">
        <f t="shared" si="26"/>
        <v>0.09</v>
      </c>
      <c r="J112" s="719"/>
      <c r="K112" s="24">
        <f t="shared" si="27"/>
        <v>0</v>
      </c>
      <c r="L112" s="719"/>
      <c r="M112" s="24">
        <f t="shared" si="28"/>
        <v>0.2</v>
      </c>
      <c r="N112" s="719"/>
      <c r="O112" s="24">
        <f t="shared" si="29"/>
        <v>0.2</v>
      </c>
      <c r="P112" s="719"/>
      <c r="Q112" s="24">
        <f t="shared" si="30"/>
        <v>0</v>
      </c>
      <c r="R112" s="715">
        <f t="shared" si="31"/>
        <v>0</v>
      </c>
      <c r="S112" s="361">
        <f t="shared" si="22"/>
        <v>0</v>
      </c>
    </row>
    <row r="113" spans="1:19">
      <c r="A113" s="159"/>
      <c r="B113" s="59"/>
      <c r="C113" s="24">
        <f t="shared" si="23"/>
        <v>1</v>
      </c>
      <c r="D113" s="719"/>
      <c r="E113" s="24">
        <f t="shared" si="24"/>
        <v>0.06</v>
      </c>
      <c r="F113" s="719"/>
      <c r="G113" s="24">
        <f t="shared" si="25"/>
        <v>0.02</v>
      </c>
      <c r="H113" s="719"/>
      <c r="I113" s="24">
        <f t="shared" si="26"/>
        <v>0.09</v>
      </c>
      <c r="J113" s="719"/>
      <c r="K113" s="24">
        <f t="shared" si="27"/>
        <v>0</v>
      </c>
      <c r="L113" s="719"/>
      <c r="M113" s="24">
        <f t="shared" si="28"/>
        <v>0.2</v>
      </c>
      <c r="N113" s="719"/>
      <c r="O113" s="24">
        <f t="shared" si="29"/>
        <v>0.2</v>
      </c>
      <c r="P113" s="719"/>
      <c r="Q113" s="24">
        <f t="shared" si="30"/>
        <v>0</v>
      </c>
      <c r="R113" s="715">
        <f t="shared" si="31"/>
        <v>0</v>
      </c>
      <c r="S113" s="361">
        <f t="shared" si="22"/>
        <v>0</v>
      </c>
    </row>
    <row r="114" spans="1:19">
      <c r="A114" s="159"/>
      <c r="B114" s="59"/>
      <c r="C114" s="24">
        <f t="shared" si="23"/>
        <v>1</v>
      </c>
      <c r="D114" s="719"/>
      <c r="E114" s="24">
        <f t="shared" si="24"/>
        <v>0.06</v>
      </c>
      <c r="F114" s="719"/>
      <c r="G114" s="24">
        <f t="shared" si="25"/>
        <v>0.02</v>
      </c>
      <c r="H114" s="719"/>
      <c r="I114" s="24">
        <f t="shared" si="26"/>
        <v>0.09</v>
      </c>
      <c r="J114" s="719"/>
      <c r="K114" s="24">
        <f t="shared" si="27"/>
        <v>0</v>
      </c>
      <c r="L114" s="719"/>
      <c r="M114" s="24">
        <f t="shared" si="28"/>
        <v>0.2</v>
      </c>
      <c r="N114" s="719"/>
      <c r="O114" s="24">
        <f t="shared" si="29"/>
        <v>0.2</v>
      </c>
      <c r="P114" s="719"/>
      <c r="Q114" s="24">
        <f t="shared" si="30"/>
        <v>0</v>
      </c>
      <c r="R114" s="715">
        <f t="shared" si="31"/>
        <v>0</v>
      </c>
      <c r="S114" s="361">
        <f t="shared" si="22"/>
        <v>0</v>
      </c>
    </row>
    <row r="115" spans="1:19">
      <c r="A115" s="159"/>
      <c r="B115" s="59"/>
      <c r="C115" s="24">
        <f t="shared" si="23"/>
        <v>1</v>
      </c>
      <c r="D115" s="719"/>
      <c r="E115" s="24">
        <f t="shared" si="24"/>
        <v>0.06</v>
      </c>
      <c r="F115" s="719"/>
      <c r="G115" s="24">
        <f t="shared" si="25"/>
        <v>0.02</v>
      </c>
      <c r="H115" s="719"/>
      <c r="I115" s="24">
        <f t="shared" si="26"/>
        <v>0.09</v>
      </c>
      <c r="J115" s="719"/>
      <c r="K115" s="24">
        <f t="shared" si="27"/>
        <v>0</v>
      </c>
      <c r="L115" s="719"/>
      <c r="M115" s="24">
        <f t="shared" si="28"/>
        <v>0.2</v>
      </c>
      <c r="N115" s="719"/>
      <c r="O115" s="24">
        <f t="shared" si="29"/>
        <v>0.2</v>
      </c>
      <c r="P115" s="719"/>
      <c r="Q115" s="24">
        <f t="shared" si="30"/>
        <v>0</v>
      </c>
      <c r="R115" s="715">
        <f t="shared" si="31"/>
        <v>0</v>
      </c>
      <c r="S115" s="361">
        <f t="shared" si="22"/>
        <v>0</v>
      </c>
    </row>
    <row r="116" spans="1:19">
      <c r="A116" s="159"/>
      <c r="B116" s="59"/>
      <c r="C116" s="24">
        <f t="shared" si="23"/>
        <v>1</v>
      </c>
      <c r="D116" s="719"/>
      <c r="E116" s="24">
        <f t="shared" si="24"/>
        <v>0.06</v>
      </c>
      <c r="F116" s="719"/>
      <c r="G116" s="24">
        <f t="shared" si="25"/>
        <v>0.02</v>
      </c>
      <c r="H116" s="719"/>
      <c r="I116" s="24">
        <f t="shared" si="26"/>
        <v>0.09</v>
      </c>
      <c r="J116" s="719"/>
      <c r="K116" s="24">
        <f t="shared" si="27"/>
        <v>0</v>
      </c>
      <c r="L116" s="719"/>
      <c r="M116" s="24">
        <f t="shared" si="28"/>
        <v>0.2</v>
      </c>
      <c r="N116" s="719"/>
      <c r="O116" s="24">
        <f t="shared" si="29"/>
        <v>0.2</v>
      </c>
      <c r="P116" s="719"/>
      <c r="Q116" s="24">
        <f t="shared" si="30"/>
        <v>0</v>
      </c>
      <c r="R116" s="715">
        <f t="shared" si="31"/>
        <v>0</v>
      </c>
      <c r="S116" s="361">
        <f t="shared" si="22"/>
        <v>0</v>
      </c>
    </row>
    <row r="117" spans="1:19">
      <c r="A117" s="159"/>
      <c r="B117" s="59"/>
      <c r="C117" s="24">
        <f t="shared" si="23"/>
        <v>1</v>
      </c>
      <c r="D117" s="719"/>
      <c r="E117" s="24">
        <f t="shared" si="24"/>
        <v>0.06</v>
      </c>
      <c r="F117" s="719"/>
      <c r="G117" s="24">
        <f t="shared" si="25"/>
        <v>0.02</v>
      </c>
      <c r="H117" s="719"/>
      <c r="I117" s="24">
        <f t="shared" si="26"/>
        <v>0.09</v>
      </c>
      <c r="J117" s="719"/>
      <c r="K117" s="24">
        <f t="shared" si="27"/>
        <v>0</v>
      </c>
      <c r="L117" s="719"/>
      <c r="M117" s="24">
        <f t="shared" si="28"/>
        <v>0.2</v>
      </c>
      <c r="N117" s="719"/>
      <c r="O117" s="24">
        <f t="shared" si="29"/>
        <v>0.2</v>
      </c>
      <c r="P117" s="719"/>
      <c r="Q117" s="24">
        <f t="shared" si="30"/>
        <v>0</v>
      </c>
      <c r="R117" s="715">
        <f t="shared" si="31"/>
        <v>0</v>
      </c>
      <c r="S117" s="361">
        <f t="shared" si="22"/>
        <v>0</v>
      </c>
    </row>
    <row r="118" spans="1:19">
      <c r="A118" s="159"/>
      <c r="B118" s="59"/>
      <c r="C118" s="24">
        <f t="shared" si="23"/>
        <v>1</v>
      </c>
      <c r="D118" s="719"/>
      <c r="E118" s="24">
        <f t="shared" si="24"/>
        <v>0.06</v>
      </c>
      <c r="F118" s="719"/>
      <c r="G118" s="24">
        <f t="shared" si="25"/>
        <v>0.02</v>
      </c>
      <c r="H118" s="719"/>
      <c r="I118" s="24">
        <f t="shared" si="26"/>
        <v>0.09</v>
      </c>
      <c r="J118" s="719"/>
      <c r="K118" s="24">
        <f t="shared" si="27"/>
        <v>0</v>
      </c>
      <c r="L118" s="719"/>
      <c r="M118" s="24">
        <f t="shared" si="28"/>
        <v>0.2</v>
      </c>
      <c r="N118" s="719"/>
      <c r="O118" s="24">
        <f t="shared" si="29"/>
        <v>0.2</v>
      </c>
      <c r="P118" s="719"/>
      <c r="Q118" s="24">
        <f t="shared" si="30"/>
        <v>0</v>
      </c>
      <c r="R118" s="715">
        <f t="shared" si="31"/>
        <v>0</v>
      </c>
      <c r="S118" s="361">
        <f t="shared" si="22"/>
        <v>0</v>
      </c>
    </row>
    <row r="119" spans="1:19">
      <c r="A119" s="159"/>
      <c r="B119" s="59"/>
      <c r="C119" s="24">
        <f t="shared" si="23"/>
        <v>1</v>
      </c>
      <c r="D119" s="719"/>
      <c r="E119" s="24">
        <f t="shared" si="24"/>
        <v>0.06</v>
      </c>
      <c r="F119" s="719"/>
      <c r="G119" s="24">
        <f t="shared" si="25"/>
        <v>0.02</v>
      </c>
      <c r="H119" s="719"/>
      <c r="I119" s="24">
        <f t="shared" si="26"/>
        <v>0.09</v>
      </c>
      <c r="J119" s="719"/>
      <c r="K119" s="24">
        <f t="shared" si="27"/>
        <v>0</v>
      </c>
      <c r="L119" s="719"/>
      <c r="M119" s="24">
        <f t="shared" si="28"/>
        <v>0.2</v>
      </c>
      <c r="N119" s="719"/>
      <c r="O119" s="24">
        <f t="shared" si="29"/>
        <v>0.2</v>
      </c>
      <c r="P119" s="719"/>
      <c r="Q119" s="24">
        <f t="shared" si="30"/>
        <v>0</v>
      </c>
      <c r="R119" s="715">
        <f t="shared" si="31"/>
        <v>0</v>
      </c>
      <c r="S119" s="361">
        <f t="shared" si="22"/>
        <v>0</v>
      </c>
    </row>
    <row r="120" spans="1:19">
      <c r="A120" s="159"/>
      <c r="B120" s="59"/>
      <c r="C120" s="24">
        <f t="shared" si="23"/>
        <v>1</v>
      </c>
      <c r="D120" s="719"/>
      <c r="E120" s="24">
        <f t="shared" si="24"/>
        <v>0.06</v>
      </c>
      <c r="F120" s="719"/>
      <c r="G120" s="24">
        <f t="shared" si="25"/>
        <v>0.02</v>
      </c>
      <c r="H120" s="719"/>
      <c r="I120" s="24">
        <f t="shared" si="26"/>
        <v>0.09</v>
      </c>
      <c r="J120" s="719"/>
      <c r="K120" s="24">
        <f t="shared" si="27"/>
        <v>0</v>
      </c>
      <c r="L120" s="719"/>
      <c r="M120" s="24">
        <f t="shared" si="28"/>
        <v>0.2</v>
      </c>
      <c r="N120" s="719"/>
      <c r="O120" s="24">
        <f t="shared" si="29"/>
        <v>0.2</v>
      </c>
      <c r="P120" s="719"/>
      <c r="Q120" s="24">
        <f t="shared" si="30"/>
        <v>0</v>
      </c>
      <c r="R120" s="715">
        <f t="shared" si="31"/>
        <v>0</v>
      </c>
      <c r="S120" s="361">
        <f t="shared" si="22"/>
        <v>0</v>
      </c>
    </row>
    <row r="121" spans="1:19">
      <c r="A121" s="159"/>
      <c r="B121" s="59"/>
      <c r="C121" s="24">
        <f t="shared" si="23"/>
        <v>1</v>
      </c>
      <c r="D121" s="719"/>
      <c r="E121" s="24">
        <f t="shared" si="24"/>
        <v>0.06</v>
      </c>
      <c r="F121" s="719"/>
      <c r="G121" s="24">
        <f t="shared" si="25"/>
        <v>0.02</v>
      </c>
      <c r="H121" s="719"/>
      <c r="I121" s="24">
        <f t="shared" si="26"/>
        <v>0.09</v>
      </c>
      <c r="J121" s="719"/>
      <c r="K121" s="24">
        <f t="shared" si="27"/>
        <v>0</v>
      </c>
      <c r="L121" s="719"/>
      <c r="M121" s="24">
        <f t="shared" si="28"/>
        <v>0.2</v>
      </c>
      <c r="N121" s="719"/>
      <c r="O121" s="24">
        <f t="shared" si="29"/>
        <v>0.2</v>
      </c>
      <c r="P121" s="719"/>
      <c r="Q121" s="24">
        <f t="shared" si="30"/>
        <v>0</v>
      </c>
      <c r="R121" s="715">
        <f t="shared" si="31"/>
        <v>0</v>
      </c>
      <c r="S121" s="361">
        <f t="shared" si="22"/>
        <v>0</v>
      </c>
    </row>
    <row r="122" spans="1:19">
      <c r="A122" s="159"/>
      <c r="B122" s="59"/>
      <c r="C122" s="24">
        <f t="shared" si="23"/>
        <v>1</v>
      </c>
      <c r="D122" s="719"/>
      <c r="E122" s="24">
        <f t="shared" si="24"/>
        <v>0.06</v>
      </c>
      <c r="F122" s="719"/>
      <c r="G122" s="24">
        <f t="shared" si="25"/>
        <v>0.02</v>
      </c>
      <c r="H122" s="719"/>
      <c r="I122" s="24">
        <f t="shared" si="26"/>
        <v>0.09</v>
      </c>
      <c r="J122" s="719"/>
      <c r="K122" s="24">
        <f t="shared" si="27"/>
        <v>0</v>
      </c>
      <c r="L122" s="719"/>
      <c r="M122" s="24">
        <f t="shared" si="28"/>
        <v>0.2</v>
      </c>
      <c r="N122" s="719"/>
      <c r="O122" s="24">
        <f t="shared" si="29"/>
        <v>0.2</v>
      </c>
      <c r="P122" s="719"/>
      <c r="Q122" s="24">
        <f t="shared" si="30"/>
        <v>0</v>
      </c>
      <c r="R122" s="715">
        <f t="shared" si="31"/>
        <v>0</v>
      </c>
      <c r="S122" s="361">
        <f t="shared" si="22"/>
        <v>0</v>
      </c>
    </row>
    <row r="123" spans="1:19">
      <c r="A123" s="159"/>
      <c r="B123" s="59"/>
      <c r="C123" s="24">
        <f t="shared" si="23"/>
        <v>1</v>
      </c>
      <c r="D123" s="719"/>
      <c r="E123" s="24">
        <f t="shared" si="24"/>
        <v>0.06</v>
      </c>
      <c r="F123" s="719"/>
      <c r="G123" s="24">
        <f t="shared" si="25"/>
        <v>0.02</v>
      </c>
      <c r="H123" s="719"/>
      <c r="I123" s="24">
        <f t="shared" si="26"/>
        <v>0.09</v>
      </c>
      <c r="J123" s="719"/>
      <c r="K123" s="24">
        <f t="shared" si="27"/>
        <v>0</v>
      </c>
      <c r="L123" s="719"/>
      <c r="M123" s="24">
        <f t="shared" si="28"/>
        <v>0.2</v>
      </c>
      <c r="N123" s="719"/>
      <c r="O123" s="24">
        <f t="shared" si="29"/>
        <v>0.2</v>
      </c>
      <c r="P123" s="719"/>
      <c r="Q123" s="24">
        <f t="shared" si="30"/>
        <v>0</v>
      </c>
      <c r="R123" s="715">
        <f t="shared" si="31"/>
        <v>0</v>
      </c>
      <c r="S123" s="361">
        <f t="shared" ref="S123:S186" si="32">ROUND(R123*B123/10000,0)</f>
        <v>0</v>
      </c>
    </row>
    <row r="124" spans="1:19">
      <c r="A124" s="159"/>
      <c r="B124" s="59"/>
      <c r="C124" s="24">
        <f t="shared" si="23"/>
        <v>1</v>
      </c>
      <c r="D124" s="719"/>
      <c r="E124" s="24">
        <f t="shared" si="24"/>
        <v>0.06</v>
      </c>
      <c r="F124" s="719"/>
      <c r="G124" s="24">
        <f t="shared" si="25"/>
        <v>0.02</v>
      </c>
      <c r="H124" s="719"/>
      <c r="I124" s="24">
        <f t="shared" si="26"/>
        <v>0.09</v>
      </c>
      <c r="J124" s="719"/>
      <c r="K124" s="24">
        <f t="shared" si="27"/>
        <v>0</v>
      </c>
      <c r="L124" s="719"/>
      <c r="M124" s="24">
        <f t="shared" si="28"/>
        <v>0.2</v>
      </c>
      <c r="N124" s="719"/>
      <c r="O124" s="24">
        <f t="shared" si="29"/>
        <v>0.2</v>
      </c>
      <c r="P124" s="719"/>
      <c r="Q124" s="24">
        <f t="shared" si="30"/>
        <v>0</v>
      </c>
      <c r="R124" s="715">
        <f t="shared" si="31"/>
        <v>0</v>
      </c>
      <c r="S124" s="361">
        <f t="shared" si="32"/>
        <v>0</v>
      </c>
    </row>
    <row r="125" spans="1:19">
      <c r="A125" s="159"/>
      <c r="B125" s="59"/>
      <c r="C125" s="24">
        <f t="shared" si="23"/>
        <v>1</v>
      </c>
      <c r="D125" s="719"/>
      <c r="E125" s="24">
        <f t="shared" si="24"/>
        <v>0.06</v>
      </c>
      <c r="F125" s="719"/>
      <c r="G125" s="24">
        <f t="shared" si="25"/>
        <v>0.02</v>
      </c>
      <c r="H125" s="719"/>
      <c r="I125" s="24">
        <f t="shared" si="26"/>
        <v>0.09</v>
      </c>
      <c r="J125" s="719"/>
      <c r="K125" s="24">
        <f t="shared" si="27"/>
        <v>0</v>
      </c>
      <c r="L125" s="719"/>
      <c r="M125" s="24">
        <f t="shared" si="28"/>
        <v>0.2</v>
      </c>
      <c r="N125" s="719"/>
      <c r="O125" s="24">
        <f t="shared" si="29"/>
        <v>0.2</v>
      </c>
      <c r="P125" s="719"/>
      <c r="Q125" s="24">
        <f t="shared" si="30"/>
        <v>0</v>
      </c>
      <c r="R125" s="715">
        <f t="shared" si="31"/>
        <v>0</v>
      </c>
      <c r="S125" s="361">
        <f t="shared" si="32"/>
        <v>0</v>
      </c>
    </row>
    <row r="126" spans="1:19">
      <c r="A126" s="159"/>
      <c r="B126" s="59"/>
      <c r="C126" s="24">
        <f t="shared" si="23"/>
        <v>1</v>
      </c>
      <c r="D126" s="719"/>
      <c r="E126" s="24">
        <f t="shared" si="24"/>
        <v>0.06</v>
      </c>
      <c r="F126" s="719"/>
      <c r="G126" s="24">
        <f t="shared" si="25"/>
        <v>0.02</v>
      </c>
      <c r="H126" s="719"/>
      <c r="I126" s="24">
        <f t="shared" si="26"/>
        <v>0.09</v>
      </c>
      <c r="J126" s="719"/>
      <c r="K126" s="24">
        <f t="shared" si="27"/>
        <v>0</v>
      </c>
      <c r="L126" s="719"/>
      <c r="M126" s="24">
        <f t="shared" si="28"/>
        <v>0.2</v>
      </c>
      <c r="N126" s="719"/>
      <c r="O126" s="24">
        <f t="shared" si="29"/>
        <v>0.2</v>
      </c>
      <c r="P126" s="719"/>
      <c r="Q126" s="24">
        <f t="shared" si="30"/>
        <v>0</v>
      </c>
      <c r="R126" s="715">
        <f t="shared" si="31"/>
        <v>0</v>
      </c>
      <c r="S126" s="361">
        <f t="shared" si="32"/>
        <v>0</v>
      </c>
    </row>
    <row r="127" spans="1:19">
      <c r="A127" s="159"/>
      <c r="B127" s="59"/>
      <c r="C127" s="24">
        <f t="shared" si="23"/>
        <v>1</v>
      </c>
      <c r="D127" s="719"/>
      <c r="E127" s="24">
        <f t="shared" si="24"/>
        <v>0.06</v>
      </c>
      <c r="F127" s="719"/>
      <c r="G127" s="24">
        <f t="shared" si="25"/>
        <v>0.02</v>
      </c>
      <c r="H127" s="719"/>
      <c r="I127" s="24">
        <f t="shared" si="26"/>
        <v>0.09</v>
      </c>
      <c r="J127" s="719"/>
      <c r="K127" s="24">
        <f t="shared" si="27"/>
        <v>0</v>
      </c>
      <c r="L127" s="719"/>
      <c r="M127" s="24">
        <f t="shared" si="28"/>
        <v>0.2</v>
      </c>
      <c r="N127" s="719"/>
      <c r="O127" s="24">
        <f t="shared" si="29"/>
        <v>0.2</v>
      </c>
      <c r="P127" s="719"/>
      <c r="Q127" s="24">
        <f t="shared" si="30"/>
        <v>0</v>
      </c>
      <c r="R127" s="715">
        <f t="shared" si="31"/>
        <v>0</v>
      </c>
      <c r="S127" s="361">
        <f t="shared" si="32"/>
        <v>0</v>
      </c>
    </row>
    <row r="128" spans="1:19">
      <c r="A128" s="159"/>
      <c r="B128" s="59"/>
      <c r="C128" s="24">
        <f t="shared" si="23"/>
        <v>1</v>
      </c>
      <c r="D128" s="719"/>
      <c r="E128" s="24">
        <f t="shared" si="24"/>
        <v>0.06</v>
      </c>
      <c r="F128" s="719"/>
      <c r="G128" s="24">
        <f t="shared" si="25"/>
        <v>0.02</v>
      </c>
      <c r="H128" s="719"/>
      <c r="I128" s="24">
        <f t="shared" si="26"/>
        <v>0.09</v>
      </c>
      <c r="J128" s="719"/>
      <c r="K128" s="24">
        <f t="shared" si="27"/>
        <v>0</v>
      </c>
      <c r="L128" s="719"/>
      <c r="M128" s="24">
        <f t="shared" si="28"/>
        <v>0.2</v>
      </c>
      <c r="N128" s="719"/>
      <c r="O128" s="24">
        <f t="shared" si="29"/>
        <v>0.2</v>
      </c>
      <c r="P128" s="719"/>
      <c r="Q128" s="24">
        <f t="shared" si="30"/>
        <v>0</v>
      </c>
      <c r="R128" s="715">
        <f t="shared" si="31"/>
        <v>0</v>
      </c>
      <c r="S128" s="361">
        <f t="shared" si="32"/>
        <v>0</v>
      </c>
    </row>
    <row r="129" spans="1:19">
      <c r="A129" s="159"/>
      <c r="B129" s="59"/>
      <c r="C129" s="24">
        <f t="shared" si="23"/>
        <v>1</v>
      </c>
      <c r="D129" s="719"/>
      <c r="E129" s="24">
        <f t="shared" si="24"/>
        <v>0.06</v>
      </c>
      <c r="F129" s="719"/>
      <c r="G129" s="24">
        <f t="shared" si="25"/>
        <v>0.02</v>
      </c>
      <c r="H129" s="719"/>
      <c r="I129" s="24">
        <f t="shared" si="26"/>
        <v>0.09</v>
      </c>
      <c r="J129" s="719"/>
      <c r="K129" s="24">
        <f t="shared" si="27"/>
        <v>0</v>
      </c>
      <c r="L129" s="719"/>
      <c r="M129" s="24">
        <f t="shared" si="28"/>
        <v>0.2</v>
      </c>
      <c r="N129" s="719"/>
      <c r="O129" s="24">
        <f t="shared" si="29"/>
        <v>0.2</v>
      </c>
      <c r="P129" s="719"/>
      <c r="Q129" s="24">
        <f t="shared" si="30"/>
        <v>0</v>
      </c>
      <c r="R129" s="715">
        <f t="shared" si="31"/>
        <v>0</v>
      </c>
      <c r="S129" s="361">
        <f t="shared" si="32"/>
        <v>0</v>
      </c>
    </row>
    <row r="130" spans="1:19">
      <c r="A130" s="159"/>
      <c r="B130" s="59"/>
      <c r="C130" s="24">
        <f t="shared" si="23"/>
        <v>1</v>
      </c>
      <c r="D130" s="719"/>
      <c r="E130" s="24">
        <f t="shared" si="24"/>
        <v>0.06</v>
      </c>
      <c r="F130" s="719"/>
      <c r="G130" s="24">
        <f t="shared" si="25"/>
        <v>0.02</v>
      </c>
      <c r="H130" s="719"/>
      <c r="I130" s="24">
        <f t="shared" si="26"/>
        <v>0.09</v>
      </c>
      <c r="J130" s="719"/>
      <c r="K130" s="24">
        <f t="shared" si="27"/>
        <v>0</v>
      </c>
      <c r="L130" s="719"/>
      <c r="M130" s="24">
        <f t="shared" si="28"/>
        <v>0.2</v>
      </c>
      <c r="N130" s="719"/>
      <c r="O130" s="24">
        <f t="shared" si="29"/>
        <v>0.2</v>
      </c>
      <c r="P130" s="719"/>
      <c r="Q130" s="24">
        <f t="shared" si="30"/>
        <v>0</v>
      </c>
      <c r="R130" s="715">
        <f t="shared" si="31"/>
        <v>0</v>
      </c>
      <c r="S130" s="361">
        <f t="shared" si="32"/>
        <v>0</v>
      </c>
    </row>
    <row r="131" spans="1:19">
      <c r="A131" s="159"/>
      <c r="B131" s="59"/>
      <c r="C131" s="24">
        <f t="shared" si="23"/>
        <v>1</v>
      </c>
      <c r="D131" s="719"/>
      <c r="E131" s="24">
        <f t="shared" si="24"/>
        <v>0.06</v>
      </c>
      <c r="F131" s="719"/>
      <c r="G131" s="24">
        <f t="shared" si="25"/>
        <v>0.02</v>
      </c>
      <c r="H131" s="719"/>
      <c r="I131" s="24">
        <f t="shared" si="26"/>
        <v>0.09</v>
      </c>
      <c r="J131" s="719"/>
      <c r="K131" s="24">
        <f t="shared" si="27"/>
        <v>0</v>
      </c>
      <c r="L131" s="719"/>
      <c r="M131" s="24">
        <f t="shared" si="28"/>
        <v>0.2</v>
      </c>
      <c r="N131" s="719"/>
      <c r="O131" s="24">
        <f t="shared" si="29"/>
        <v>0.2</v>
      </c>
      <c r="P131" s="719"/>
      <c r="Q131" s="24">
        <f t="shared" si="30"/>
        <v>0</v>
      </c>
      <c r="R131" s="715">
        <f t="shared" si="31"/>
        <v>0</v>
      </c>
      <c r="S131" s="361">
        <f t="shared" si="32"/>
        <v>0</v>
      </c>
    </row>
    <row r="132" spans="1:19">
      <c r="A132" s="159"/>
      <c r="B132" s="59"/>
      <c r="C132" s="24">
        <f t="shared" si="23"/>
        <v>1</v>
      </c>
      <c r="D132" s="719"/>
      <c r="E132" s="24">
        <f t="shared" si="24"/>
        <v>0.06</v>
      </c>
      <c r="F132" s="719"/>
      <c r="G132" s="24">
        <f t="shared" si="25"/>
        <v>0.02</v>
      </c>
      <c r="H132" s="719"/>
      <c r="I132" s="24">
        <f t="shared" si="26"/>
        <v>0.09</v>
      </c>
      <c r="J132" s="719"/>
      <c r="K132" s="24">
        <f t="shared" si="27"/>
        <v>0</v>
      </c>
      <c r="L132" s="719"/>
      <c r="M132" s="24">
        <f t="shared" si="28"/>
        <v>0.2</v>
      </c>
      <c r="N132" s="719"/>
      <c r="O132" s="24">
        <f t="shared" si="29"/>
        <v>0.2</v>
      </c>
      <c r="P132" s="719"/>
      <c r="Q132" s="24">
        <f t="shared" si="30"/>
        <v>0</v>
      </c>
      <c r="R132" s="715">
        <f t="shared" si="31"/>
        <v>0</v>
      </c>
      <c r="S132" s="361">
        <f t="shared" si="32"/>
        <v>0</v>
      </c>
    </row>
    <row r="133" spans="1:19">
      <c r="A133" s="159"/>
      <c r="B133" s="59"/>
      <c r="C133" s="24">
        <f t="shared" si="23"/>
        <v>1</v>
      </c>
      <c r="D133" s="719"/>
      <c r="E133" s="24">
        <f t="shared" si="24"/>
        <v>0.06</v>
      </c>
      <c r="F133" s="719"/>
      <c r="G133" s="24">
        <f t="shared" si="25"/>
        <v>0.02</v>
      </c>
      <c r="H133" s="719"/>
      <c r="I133" s="24">
        <f t="shared" si="26"/>
        <v>0.09</v>
      </c>
      <c r="J133" s="719"/>
      <c r="K133" s="24">
        <f t="shared" si="27"/>
        <v>0</v>
      </c>
      <c r="L133" s="719"/>
      <c r="M133" s="24">
        <f t="shared" si="28"/>
        <v>0.2</v>
      </c>
      <c r="N133" s="719"/>
      <c r="O133" s="24">
        <f t="shared" si="29"/>
        <v>0.2</v>
      </c>
      <c r="P133" s="719"/>
      <c r="Q133" s="24">
        <f t="shared" si="30"/>
        <v>0</v>
      </c>
      <c r="R133" s="715">
        <f t="shared" si="31"/>
        <v>0</v>
      </c>
      <c r="S133" s="361">
        <f t="shared" si="32"/>
        <v>0</v>
      </c>
    </row>
    <row r="134" spans="1:19">
      <c r="A134" s="159"/>
      <c r="B134" s="59"/>
      <c r="C134" s="24">
        <f t="shared" si="23"/>
        <v>1</v>
      </c>
      <c r="D134" s="719"/>
      <c r="E134" s="24">
        <f t="shared" si="24"/>
        <v>0.06</v>
      </c>
      <c r="F134" s="719"/>
      <c r="G134" s="24">
        <f t="shared" si="25"/>
        <v>0.02</v>
      </c>
      <c r="H134" s="719"/>
      <c r="I134" s="24">
        <f t="shared" si="26"/>
        <v>0.09</v>
      </c>
      <c r="J134" s="719"/>
      <c r="K134" s="24">
        <f t="shared" si="27"/>
        <v>0</v>
      </c>
      <c r="L134" s="719"/>
      <c r="M134" s="24">
        <f t="shared" si="28"/>
        <v>0.2</v>
      </c>
      <c r="N134" s="719"/>
      <c r="O134" s="24">
        <f t="shared" si="29"/>
        <v>0.2</v>
      </c>
      <c r="P134" s="719"/>
      <c r="Q134" s="24">
        <f t="shared" si="30"/>
        <v>0</v>
      </c>
      <c r="R134" s="715">
        <f t="shared" si="31"/>
        <v>0</v>
      </c>
      <c r="S134" s="361">
        <f t="shared" si="32"/>
        <v>0</v>
      </c>
    </row>
    <row r="135" spans="1:19">
      <c r="A135" s="159"/>
      <c r="B135" s="59"/>
      <c r="C135" s="24">
        <f t="shared" si="23"/>
        <v>1</v>
      </c>
      <c r="D135" s="719"/>
      <c r="E135" s="24">
        <f t="shared" si="24"/>
        <v>0.06</v>
      </c>
      <c r="F135" s="719"/>
      <c r="G135" s="24">
        <f t="shared" si="25"/>
        <v>0.02</v>
      </c>
      <c r="H135" s="719"/>
      <c r="I135" s="24">
        <f t="shared" si="26"/>
        <v>0.09</v>
      </c>
      <c r="J135" s="719"/>
      <c r="K135" s="24">
        <f t="shared" si="27"/>
        <v>0</v>
      </c>
      <c r="L135" s="719"/>
      <c r="M135" s="24">
        <f t="shared" si="28"/>
        <v>0.2</v>
      </c>
      <c r="N135" s="719"/>
      <c r="O135" s="24">
        <f t="shared" si="29"/>
        <v>0.2</v>
      </c>
      <c r="P135" s="719"/>
      <c r="Q135" s="24">
        <f t="shared" si="30"/>
        <v>0</v>
      </c>
      <c r="R135" s="715">
        <f t="shared" si="31"/>
        <v>0</v>
      </c>
      <c r="S135" s="361">
        <f t="shared" si="32"/>
        <v>0</v>
      </c>
    </row>
    <row r="136" spans="1:19">
      <c r="A136" s="159"/>
      <c r="B136" s="59"/>
      <c r="C136" s="24">
        <f t="shared" si="23"/>
        <v>1</v>
      </c>
      <c r="D136" s="719"/>
      <c r="E136" s="24">
        <f t="shared" si="24"/>
        <v>0.06</v>
      </c>
      <c r="F136" s="719"/>
      <c r="G136" s="24">
        <f t="shared" si="25"/>
        <v>0.02</v>
      </c>
      <c r="H136" s="719"/>
      <c r="I136" s="24">
        <f t="shared" si="26"/>
        <v>0.09</v>
      </c>
      <c r="J136" s="719"/>
      <c r="K136" s="24">
        <f t="shared" si="27"/>
        <v>0</v>
      </c>
      <c r="L136" s="719"/>
      <c r="M136" s="24">
        <f t="shared" si="28"/>
        <v>0.2</v>
      </c>
      <c r="N136" s="719"/>
      <c r="O136" s="24">
        <f t="shared" si="29"/>
        <v>0.2</v>
      </c>
      <c r="P136" s="719"/>
      <c r="Q136" s="24">
        <f t="shared" si="30"/>
        <v>0</v>
      </c>
      <c r="R136" s="715">
        <f t="shared" si="31"/>
        <v>0</v>
      </c>
      <c r="S136" s="361">
        <f t="shared" si="32"/>
        <v>0</v>
      </c>
    </row>
    <row r="137" spans="1:19">
      <c r="A137" s="159"/>
      <c r="B137" s="59"/>
      <c r="C137" s="24">
        <f t="shared" si="23"/>
        <v>1</v>
      </c>
      <c r="D137" s="719"/>
      <c r="E137" s="24">
        <f t="shared" si="24"/>
        <v>0.06</v>
      </c>
      <c r="F137" s="719"/>
      <c r="G137" s="24">
        <f t="shared" si="25"/>
        <v>0.02</v>
      </c>
      <c r="H137" s="719"/>
      <c r="I137" s="24">
        <f t="shared" si="26"/>
        <v>0.09</v>
      </c>
      <c r="J137" s="719"/>
      <c r="K137" s="24">
        <f t="shared" si="27"/>
        <v>0</v>
      </c>
      <c r="L137" s="719"/>
      <c r="M137" s="24">
        <f t="shared" si="28"/>
        <v>0.2</v>
      </c>
      <c r="N137" s="719"/>
      <c r="O137" s="24">
        <f t="shared" si="29"/>
        <v>0.2</v>
      </c>
      <c r="P137" s="719"/>
      <c r="Q137" s="24">
        <f t="shared" si="30"/>
        <v>0</v>
      </c>
      <c r="R137" s="715">
        <f t="shared" si="31"/>
        <v>0</v>
      </c>
      <c r="S137" s="361">
        <f t="shared" si="32"/>
        <v>0</v>
      </c>
    </row>
    <row r="138" spans="1:19">
      <c r="A138" s="159"/>
      <c r="B138" s="59"/>
      <c r="C138" s="24">
        <f t="shared" si="23"/>
        <v>1</v>
      </c>
      <c r="D138" s="719"/>
      <c r="E138" s="24">
        <f t="shared" si="24"/>
        <v>0.06</v>
      </c>
      <c r="F138" s="719"/>
      <c r="G138" s="24">
        <f t="shared" si="25"/>
        <v>0.02</v>
      </c>
      <c r="H138" s="719"/>
      <c r="I138" s="24">
        <f t="shared" si="26"/>
        <v>0.09</v>
      </c>
      <c r="J138" s="719"/>
      <c r="K138" s="24">
        <f t="shared" si="27"/>
        <v>0</v>
      </c>
      <c r="L138" s="719"/>
      <c r="M138" s="24">
        <f t="shared" si="28"/>
        <v>0.2</v>
      </c>
      <c r="N138" s="719"/>
      <c r="O138" s="24">
        <f t="shared" si="29"/>
        <v>0.2</v>
      </c>
      <c r="P138" s="719"/>
      <c r="Q138" s="24">
        <f t="shared" si="30"/>
        <v>0</v>
      </c>
      <c r="R138" s="715">
        <f t="shared" si="31"/>
        <v>0</v>
      </c>
      <c r="S138" s="361">
        <f t="shared" si="32"/>
        <v>0</v>
      </c>
    </row>
    <row r="139" spans="1:19">
      <c r="A139" s="159"/>
      <c r="B139" s="59"/>
      <c r="C139" s="24">
        <f t="shared" si="23"/>
        <v>1</v>
      </c>
      <c r="D139" s="719"/>
      <c r="E139" s="24">
        <f t="shared" si="24"/>
        <v>0.06</v>
      </c>
      <c r="F139" s="719"/>
      <c r="G139" s="24">
        <f t="shared" si="25"/>
        <v>0.02</v>
      </c>
      <c r="H139" s="719"/>
      <c r="I139" s="24">
        <f t="shared" si="26"/>
        <v>0.09</v>
      </c>
      <c r="J139" s="719"/>
      <c r="K139" s="24">
        <f t="shared" si="27"/>
        <v>0</v>
      </c>
      <c r="L139" s="719"/>
      <c r="M139" s="24">
        <f t="shared" si="28"/>
        <v>0.2</v>
      </c>
      <c r="N139" s="719"/>
      <c r="O139" s="24">
        <f t="shared" si="29"/>
        <v>0.2</v>
      </c>
      <c r="P139" s="719"/>
      <c r="Q139" s="24">
        <f t="shared" si="30"/>
        <v>0</v>
      </c>
      <c r="R139" s="715">
        <f t="shared" si="31"/>
        <v>0</v>
      </c>
      <c r="S139" s="361">
        <f t="shared" si="32"/>
        <v>0</v>
      </c>
    </row>
    <row r="140" spans="1:19">
      <c r="A140" s="159"/>
      <c r="B140" s="59"/>
      <c r="C140" s="24">
        <f t="shared" si="23"/>
        <v>1</v>
      </c>
      <c r="D140" s="719"/>
      <c r="E140" s="24">
        <f t="shared" si="24"/>
        <v>0.06</v>
      </c>
      <c r="F140" s="719"/>
      <c r="G140" s="24">
        <f t="shared" si="25"/>
        <v>0.02</v>
      </c>
      <c r="H140" s="719"/>
      <c r="I140" s="24">
        <f t="shared" si="26"/>
        <v>0.09</v>
      </c>
      <c r="J140" s="719"/>
      <c r="K140" s="24">
        <f t="shared" si="27"/>
        <v>0</v>
      </c>
      <c r="L140" s="719"/>
      <c r="M140" s="24">
        <f t="shared" si="28"/>
        <v>0.2</v>
      </c>
      <c r="N140" s="719"/>
      <c r="O140" s="24">
        <f t="shared" si="29"/>
        <v>0.2</v>
      </c>
      <c r="P140" s="719"/>
      <c r="Q140" s="24">
        <f t="shared" si="30"/>
        <v>0</v>
      </c>
      <c r="R140" s="715">
        <f t="shared" si="31"/>
        <v>0</v>
      </c>
      <c r="S140" s="361">
        <f t="shared" si="32"/>
        <v>0</v>
      </c>
    </row>
    <row r="141" spans="1:19">
      <c r="A141" s="159"/>
      <c r="B141" s="59"/>
      <c r="C141" s="24">
        <f t="shared" si="23"/>
        <v>1</v>
      </c>
      <c r="D141" s="719"/>
      <c r="E141" s="24">
        <f t="shared" si="24"/>
        <v>0.06</v>
      </c>
      <c r="F141" s="719"/>
      <c r="G141" s="24">
        <f t="shared" si="25"/>
        <v>0.02</v>
      </c>
      <c r="H141" s="719"/>
      <c r="I141" s="24">
        <f t="shared" si="26"/>
        <v>0.09</v>
      </c>
      <c r="J141" s="719"/>
      <c r="K141" s="24">
        <f t="shared" si="27"/>
        <v>0</v>
      </c>
      <c r="L141" s="719"/>
      <c r="M141" s="24">
        <f t="shared" si="28"/>
        <v>0.2</v>
      </c>
      <c r="N141" s="719"/>
      <c r="O141" s="24">
        <f t="shared" si="29"/>
        <v>0.2</v>
      </c>
      <c r="P141" s="719"/>
      <c r="Q141" s="24">
        <f t="shared" si="30"/>
        <v>0</v>
      </c>
      <c r="R141" s="715">
        <f t="shared" si="31"/>
        <v>0</v>
      </c>
      <c r="S141" s="361">
        <f t="shared" si="32"/>
        <v>0</v>
      </c>
    </row>
    <row r="142" spans="1:19">
      <c r="A142" s="159"/>
      <c r="B142" s="59"/>
      <c r="C142" s="24">
        <f t="shared" si="23"/>
        <v>1</v>
      </c>
      <c r="D142" s="719"/>
      <c r="E142" s="24">
        <f t="shared" si="24"/>
        <v>0.06</v>
      </c>
      <c r="F142" s="719"/>
      <c r="G142" s="24">
        <f t="shared" si="25"/>
        <v>0.02</v>
      </c>
      <c r="H142" s="719"/>
      <c r="I142" s="24">
        <f t="shared" si="26"/>
        <v>0.09</v>
      </c>
      <c r="J142" s="719"/>
      <c r="K142" s="24">
        <f t="shared" si="27"/>
        <v>0</v>
      </c>
      <c r="L142" s="719"/>
      <c r="M142" s="24">
        <f t="shared" si="28"/>
        <v>0.2</v>
      </c>
      <c r="N142" s="719"/>
      <c r="O142" s="24">
        <f t="shared" si="29"/>
        <v>0.2</v>
      </c>
      <c r="P142" s="719"/>
      <c r="Q142" s="24">
        <f t="shared" si="30"/>
        <v>0</v>
      </c>
      <c r="R142" s="715">
        <f t="shared" si="31"/>
        <v>0</v>
      </c>
      <c r="S142" s="361">
        <f t="shared" si="32"/>
        <v>0</v>
      </c>
    </row>
    <row r="143" spans="1:19">
      <c r="A143" s="159"/>
      <c r="B143" s="59"/>
      <c r="C143" s="24">
        <f t="shared" si="23"/>
        <v>1</v>
      </c>
      <c r="D143" s="719"/>
      <c r="E143" s="24">
        <f t="shared" si="24"/>
        <v>0.06</v>
      </c>
      <c r="F143" s="719"/>
      <c r="G143" s="24">
        <f t="shared" si="25"/>
        <v>0.02</v>
      </c>
      <c r="H143" s="719"/>
      <c r="I143" s="24">
        <f t="shared" si="26"/>
        <v>0.09</v>
      </c>
      <c r="J143" s="719"/>
      <c r="K143" s="24">
        <f t="shared" si="27"/>
        <v>0</v>
      </c>
      <c r="L143" s="719"/>
      <c r="M143" s="24">
        <f t="shared" si="28"/>
        <v>0.2</v>
      </c>
      <c r="N143" s="719"/>
      <c r="O143" s="24">
        <f t="shared" si="29"/>
        <v>0.2</v>
      </c>
      <c r="P143" s="719"/>
      <c r="Q143" s="24">
        <f t="shared" si="30"/>
        <v>0</v>
      </c>
      <c r="R143" s="715">
        <f t="shared" si="31"/>
        <v>0</v>
      </c>
      <c r="S143" s="361">
        <f t="shared" si="32"/>
        <v>0</v>
      </c>
    </row>
    <row r="144" spans="1:19">
      <c r="A144" s="159"/>
      <c r="B144" s="59"/>
      <c r="C144" s="24">
        <f t="shared" si="23"/>
        <v>1</v>
      </c>
      <c r="D144" s="719"/>
      <c r="E144" s="24">
        <f t="shared" si="24"/>
        <v>0.06</v>
      </c>
      <c r="F144" s="719"/>
      <c r="G144" s="24">
        <f t="shared" si="25"/>
        <v>0.02</v>
      </c>
      <c r="H144" s="719"/>
      <c r="I144" s="24">
        <f t="shared" si="26"/>
        <v>0.09</v>
      </c>
      <c r="J144" s="719"/>
      <c r="K144" s="24">
        <f t="shared" si="27"/>
        <v>0</v>
      </c>
      <c r="L144" s="719"/>
      <c r="M144" s="24">
        <f t="shared" si="28"/>
        <v>0.2</v>
      </c>
      <c r="N144" s="719"/>
      <c r="O144" s="24">
        <f t="shared" si="29"/>
        <v>0.2</v>
      </c>
      <c r="P144" s="719"/>
      <c r="Q144" s="24">
        <f t="shared" si="30"/>
        <v>0</v>
      </c>
      <c r="R144" s="715">
        <f t="shared" si="31"/>
        <v>0</v>
      </c>
      <c r="S144" s="361">
        <f t="shared" si="32"/>
        <v>0</v>
      </c>
    </row>
    <row r="145" spans="1:19">
      <c r="A145" s="159"/>
      <c r="B145" s="59"/>
      <c r="C145" s="24">
        <f t="shared" si="23"/>
        <v>1</v>
      </c>
      <c r="D145" s="719"/>
      <c r="E145" s="24">
        <f t="shared" si="24"/>
        <v>0.06</v>
      </c>
      <c r="F145" s="719"/>
      <c r="G145" s="24">
        <f t="shared" si="25"/>
        <v>0.02</v>
      </c>
      <c r="H145" s="719"/>
      <c r="I145" s="24">
        <f t="shared" si="26"/>
        <v>0.09</v>
      </c>
      <c r="J145" s="719"/>
      <c r="K145" s="24">
        <f t="shared" si="27"/>
        <v>0</v>
      </c>
      <c r="L145" s="719"/>
      <c r="M145" s="24">
        <f t="shared" si="28"/>
        <v>0.2</v>
      </c>
      <c r="N145" s="719"/>
      <c r="O145" s="24">
        <f t="shared" si="29"/>
        <v>0.2</v>
      </c>
      <c r="P145" s="719"/>
      <c r="Q145" s="24">
        <f t="shared" si="30"/>
        <v>0</v>
      </c>
      <c r="R145" s="715">
        <f t="shared" si="31"/>
        <v>0</v>
      </c>
      <c r="S145" s="361">
        <f t="shared" si="32"/>
        <v>0</v>
      </c>
    </row>
    <row r="146" spans="1:19">
      <c r="A146" s="159"/>
      <c r="B146" s="59"/>
      <c r="C146" s="24">
        <f t="shared" si="23"/>
        <v>1</v>
      </c>
      <c r="D146" s="719"/>
      <c r="E146" s="24">
        <f t="shared" si="24"/>
        <v>0.06</v>
      </c>
      <c r="F146" s="719"/>
      <c r="G146" s="24">
        <f t="shared" si="25"/>
        <v>0.02</v>
      </c>
      <c r="H146" s="719"/>
      <c r="I146" s="24">
        <f t="shared" si="26"/>
        <v>0.09</v>
      </c>
      <c r="J146" s="719"/>
      <c r="K146" s="24">
        <f t="shared" si="27"/>
        <v>0</v>
      </c>
      <c r="L146" s="719"/>
      <c r="M146" s="24">
        <f t="shared" si="28"/>
        <v>0.2</v>
      </c>
      <c r="N146" s="719"/>
      <c r="O146" s="24">
        <f t="shared" si="29"/>
        <v>0.2</v>
      </c>
      <c r="P146" s="719"/>
      <c r="Q146" s="24">
        <f t="shared" si="30"/>
        <v>0</v>
      </c>
      <c r="R146" s="715">
        <f t="shared" si="31"/>
        <v>0</v>
      </c>
      <c r="S146" s="361">
        <f t="shared" si="32"/>
        <v>0</v>
      </c>
    </row>
    <row r="147" spans="1:19">
      <c r="A147" s="159"/>
      <c r="B147" s="59"/>
      <c r="C147" s="24">
        <f t="shared" si="23"/>
        <v>1</v>
      </c>
      <c r="D147" s="719"/>
      <c r="E147" s="24">
        <f t="shared" si="24"/>
        <v>0.06</v>
      </c>
      <c r="F147" s="719"/>
      <c r="G147" s="24">
        <f t="shared" si="25"/>
        <v>0.02</v>
      </c>
      <c r="H147" s="719"/>
      <c r="I147" s="24">
        <f t="shared" si="26"/>
        <v>0.09</v>
      </c>
      <c r="J147" s="719"/>
      <c r="K147" s="24">
        <f t="shared" si="27"/>
        <v>0</v>
      </c>
      <c r="L147" s="719"/>
      <c r="M147" s="24">
        <f t="shared" si="28"/>
        <v>0.2</v>
      </c>
      <c r="N147" s="719"/>
      <c r="O147" s="24">
        <f t="shared" si="29"/>
        <v>0.2</v>
      </c>
      <c r="P147" s="719"/>
      <c r="Q147" s="24">
        <f t="shared" si="30"/>
        <v>0</v>
      </c>
      <c r="R147" s="715">
        <f t="shared" si="31"/>
        <v>0</v>
      </c>
      <c r="S147" s="361">
        <f t="shared" si="32"/>
        <v>0</v>
      </c>
    </row>
    <row r="148" spans="1:19">
      <c r="A148" s="159"/>
      <c r="B148" s="59"/>
      <c r="C148" s="24">
        <f t="shared" si="23"/>
        <v>1</v>
      </c>
      <c r="D148" s="719"/>
      <c r="E148" s="24">
        <f t="shared" si="24"/>
        <v>0.06</v>
      </c>
      <c r="F148" s="719"/>
      <c r="G148" s="24">
        <f t="shared" si="25"/>
        <v>0.02</v>
      </c>
      <c r="H148" s="719"/>
      <c r="I148" s="24">
        <f t="shared" si="26"/>
        <v>0.09</v>
      </c>
      <c r="J148" s="719"/>
      <c r="K148" s="24">
        <f t="shared" si="27"/>
        <v>0</v>
      </c>
      <c r="L148" s="719"/>
      <c r="M148" s="24">
        <f t="shared" si="28"/>
        <v>0.2</v>
      </c>
      <c r="N148" s="719"/>
      <c r="O148" s="24">
        <f t="shared" si="29"/>
        <v>0.2</v>
      </c>
      <c r="P148" s="719"/>
      <c r="Q148" s="24">
        <f t="shared" si="30"/>
        <v>0</v>
      </c>
      <c r="R148" s="715">
        <f t="shared" si="31"/>
        <v>0</v>
      </c>
      <c r="S148" s="361">
        <f t="shared" si="32"/>
        <v>0</v>
      </c>
    </row>
    <row r="149" spans="1:19">
      <c r="A149" s="159"/>
      <c r="B149" s="59"/>
      <c r="C149" s="24">
        <f t="shared" si="23"/>
        <v>1</v>
      </c>
      <c r="D149" s="719"/>
      <c r="E149" s="24">
        <f t="shared" si="24"/>
        <v>0.06</v>
      </c>
      <c r="F149" s="719"/>
      <c r="G149" s="24">
        <f t="shared" si="25"/>
        <v>0.02</v>
      </c>
      <c r="H149" s="719"/>
      <c r="I149" s="24">
        <f t="shared" si="26"/>
        <v>0.09</v>
      </c>
      <c r="J149" s="719"/>
      <c r="K149" s="24">
        <f t="shared" si="27"/>
        <v>0</v>
      </c>
      <c r="L149" s="719"/>
      <c r="M149" s="24">
        <f t="shared" si="28"/>
        <v>0.2</v>
      </c>
      <c r="N149" s="719"/>
      <c r="O149" s="24">
        <f t="shared" si="29"/>
        <v>0.2</v>
      </c>
      <c r="P149" s="719"/>
      <c r="Q149" s="24">
        <f t="shared" si="30"/>
        <v>0</v>
      </c>
      <c r="R149" s="715">
        <f t="shared" si="31"/>
        <v>0</v>
      </c>
      <c r="S149" s="361">
        <f t="shared" si="32"/>
        <v>0</v>
      </c>
    </row>
    <row r="150" spans="1:19">
      <c r="A150" s="159"/>
      <c r="B150" s="59"/>
      <c r="C150" s="24">
        <f t="shared" si="23"/>
        <v>1</v>
      </c>
      <c r="D150" s="719"/>
      <c r="E150" s="24">
        <f t="shared" si="24"/>
        <v>0.06</v>
      </c>
      <c r="F150" s="719"/>
      <c r="G150" s="24">
        <f t="shared" si="25"/>
        <v>0.02</v>
      </c>
      <c r="H150" s="719"/>
      <c r="I150" s="24">
        <f t="shared" si="26"/>
        <v>0.09</v>
      </c>
      <c r="J150" s="719"/>
      <c r="K150" s="24">
        <f t="shared" si="27"/>
        <v>0</v>
      </c>
      <c r="L150" s="719"/>
      <c r="M150" s="24">
        <f t="shared" si="28"/>
        <v>0.2</v>
      </c>
      <c r="N150" s="719"/>
      <c r="O150" s="24">
        <f t="shared" si="29"/>
        <v>0.2</v>
      </c>
      <c r="P150" s="719"/>
      <c r="Q150" s="24">
        <f t="shared" si="30"/>
        <v>0</v>
      </c>
      <c r="R150" s="715">
        <f t="shared" si="31"/>
        <v>0</v>
      </c>
      <c r="S150" s="361">
        <f t="shared" si="32"/>
        <v>0</v>
      </c>
    </row>
    <row r="151" spans="1:19">
      <c r="A151" s="159"/>
      <c r="B151" s="59"/>
      <c r="C151" s="24">
        <f t="shared" si="23"/>
        <v>1</v>
      </c>
      <c r="D151" s="719"/>
      <c r="E151" s="24">
        <f t="shared" si="24"/>
        <v>0.06</v>
      </c>
      <c r="F151" s="719"/>
      <c r="G151" s="24">
        <f t="shared" si="25"/>
        <v>0.02</v>
      </c>
      <c r="H151" s="719"/>
      <c r="I151" s="24">
        <f t="shared" si="26"/>
        <v>0.09</v>
      </c>
      <c r="J151" s="719"/>
      <c r="K151" s="24">
        <f t="shared" si="27"/>
        <v>0</v>
      </c>
      <c r="L151" s="719"/>
      <c r="M151" s="24">
        <f t="shared" si="28"/>
        <v>0.2</v>
      </c>
      <c r="N151" s="719"/>
      <c r="O151" s="24">
        <f t="shared" si="29"/>
        <v>0.2</v>
      </c>
      <c r="P151" s="719"/>
      <c r="Q151" s="24">
        <f t="shared" si="30"/>
        <v>0</v>
      </c>
      <c r="R151" s="715">
        <f t="shared" si="31"/>
        <v>0</v>
      </c>
      <c r="S151" s="361">
        <f t="shared" si="32"/>
        <v>0</v>
      </c>
    </row>
    <row r="152" spans="1:19">
      <c r="A152" s="159"/>
      <c r="B152" s="59"/>
      <c r="C152" s="24">
        <f t="shared" si="23"/>
        <v>1</v>
      </c>
      <c r="D152" s="719"/>
      <c r="E152" s="24">
        <f t="shared" si="24"/>
        <v>0.06</v>
      </c>
      <c r="F152" s="719"/>
      <c r="G152" s="24">
        <f t="shared" si="25"/>
        <v>0.02</v>
      </c>
      <c r="H152" s="719"/>
      <c r="I152" s="24">
        <f t="shared" si="26"/>
        <v>0.09</v>
      </c>
      <c r="J152" s="719"/>
      <c r="K152" s="24">
        <f t="shared" si="27"/>
        <v>0</v>
      </c>
      <c r="L152" s="719"/>
      <c r="M152" s="24">
        <f t="shared" si="28"/>
        <v>0.2</v>
      </c>
      <c r="N152" s="719"/>
      <c r="O152" s="24">
        <f t="shared" si="29"/>
        <v>0.2</v>
      </c>
      <c r="P152" s="719"/>
      <c r="Q152" s="24">
        <f t="shared" si="30"/>
        <v>0</v>
      </c>
      <c r="R152" s="715">
        <f t="shared" si="31"/>
        <v>0</v>
      </c>
      <c r="S152" s="361">
        <f t="shared" si="32"/>
        <v>0</v>
      </c>
    </row>
    <row r="153" spans="1:19">
      <c r="A153" s="159"/>
      <c r="B153" s="59"/>
      <c r="C153" s="24">
        <f t="shared" si="23"/>
        <v>1</v>
      </c>
      <c r="D153" s="719"/>
      <c r="E153" s="24">
        <f t="shared" si="24"/>
        <v>0.06</v>
      </c>
      <c r="F153" s="719"/>
      <c r="G153" s="24">
        <f t="shared" si="25"/>
        <v>0.02</v>
      </c>
      <c r="H153" s="719"/>
      <c r="I153" s="24">
        <f t="shared" si="26"/>
        <v>0.09</v>
      </c>
      <c r="J153" s="719"/>
      <c r="K153" s="24">
        <f t="shared" si="27"/>
        <v>0</v>
      </c>
      <c r="L153" s="719"/>
      <c r="M153" s="24">
        <f t="shared" si="28"/>
        <v>0.2</v>
      </c>
      <c r="N153" s="719"/>
      <c r="O153" s="24">
        <f t="shared" si="29"/>
        <v>0.2</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0.06</v>
      </c>
      <c r="F154" s="719"/>
      <c r="G154" s="24">
        <f t="shared" ref="G154:G217" si="35">(SUMIF($7:$7,F154,$8:$8)-SUMIF($7:$7,$F$24,$8:$8)+100)/100</f>
        <v>0.02</v>
      </c>
      <c r="H154" s="719"/>
      <c r="I154" s="24">
        <f t="shared" ref="I154:I217" si="36">(SUMIF($9:$9,H154,$10:$10)-SUMIF($9:$9,$H$24,$10:$10)+100)/100</f>
        <v>0.09</v>
      </c>
      <c r="J154" s="719"/>
      <c r="K154" s="24">
        <f t="shared" ref="K154:K217" si="37">(SUMIF($11:$11,J154,$12:$12)-SUMIF($11:$11,$J$24,$12:$12)+100)/100</f>
        <v>0</v>
      </c>
      <c r="L154" s="719"/>
      <c r="M154" s="24">
        <f t="shared" ref="M154:M217" si="38">(SUMIF($13:$13,L154,$14:$14)-SUMIF($13:$13,$L$24,$14:$14)+100)/100</f>
        <v>0.2</v>
      </c>
      <c r="N154" s="719"/>
      <c r="O154" s="24">
        <f t="shared" ref="O154:O217" si="39">(SUMIF($15:$15,N154,$16:$16)-SUMIF($15:$15,$N$24,$16:$16)+100)/100</f>
        <v>0.2</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0.06</v>
      </c>
      <c r="F155" s="719"/>
      <c r="G155" s="24">
        <f t="shared" si="35"/>
        <v>0.02</v>
      </c>
      <c r="H155" s="719"/>
      <c r="I155" s="24">
        <f t="shared" si="36"/>
        <v>0.09</v>
      </c>
      <c r="J155" s="719"/>
      <c r="K155" s="24">
        <f t="shared" si="37"/>
        <v>0</v>
      </c>
      <c r="L155" s="719"/>
      <c r="M155" s="24">
        <f t="shared" si="38"/>
        <v>0.2</v>
      </c>
      <c r="N155" s="719"/>
      <c r="O155" s="24">
        <f t="shared" si="39"/>
        <v>0.2</v>
      </c>
      <c r="P155" s="719"/>
      <c r="Q155" s="24">
        <f t="shared" si="40"/>
        <v>0</v>
      </c>
      <c r="R155" s="715">
        <f t="shared" si="41"/>
        <v>0</v>
      </c>
      <c r="S155" s="361">
        <f t="shared" si="32"/>
        <v>0</v>
      </c>
    </row>
    <row r="156" spans="1:19">
      <c r="A156" s="159"/>
      <c r="B156" s="59"/>
      <c r="C156" s="24">
        <f t="shared" si="33"/>
        <v>1</v>
      </c>
      <c r="D156" s="719"/>
      <c r="E156" s="24">
        <f t="shared" si="34"/>
        <v>0.06</v>
      </c>
      <c r="F156" s="719"/>
      <c r="G156" s="24">
        <f t="shared" si="35"/>
        <v>0.02</v>
      </c>
      <c r="H156" s="719"/>
      <c r="I156" s="24">
        <f t="shared" si="36"/>
        <v>0.09</v>
      </c>
      <c r="J156" s="719"/>
      <c r="K156" s="24">
        <f t="shared" si="37"/>
        <v>0</v>
      </c>
      <c r="L156" s="719"/>
      <c r="M156" s="24">
        <f t="shared" si="38"/>
        <v>0.2</v>
      </c>
      <c r="N156" s="719"/>
      <c r="O156" s="24">
        <f t="shared" si="39"/>
        <v>0.2</v>
      </c>
      <c r="P156" s="719"/>
      <c r="Q156" s="24">
        <f t="shared" si="40"/>
        <v>0</v>
      </c>
      <c r="R156" s="715">
        <f t="shared" si="41"/>
        <v>0</v>
      </c>
      <c r="S156" s="361">
        <f t="shared" si="32"/>
        <v>0</v>
      </c>
    </row>
    <row r="157" spans="1:19">
      <c r="A157" s="159"/>
      <c r="B157" s="59"/>
      <c r="C157" s="24">
        <f t="shared" si="33"/>
        <v>1</v>
      </c>
      <c r="D157" s="719"/>
      <c r="E157" s="24">
        <f t="shared" si="34"/>
        <v>0.06</v>
      </c>
      <c r="F157" s="719"/>
      <c r="G157" s="24">
        <f t="shared" si="35"/>
        <v>0.02</v>
      </c>
      <c r="H157" s="719"/>
      <c r="I157" s="24">
        <f t="shared" si="36"/>
        <v>0.09</v>
      </c>
      <c r="J157" s="719"/>
      <c r="K157" s="24">
        <f t="shared" si="37"/>
        <v>0</v>
      </c>
      <c r="L157" s="719"/>
      <c r="M157" s="24">
        <f t="shared" si="38"/>
        <v>0.2</v>
      </c>
      <c r="N157" s="719"/>
      <c r="O157" s="24">
        <f t="shared" si="39"/>
        <v>0.2</v>
      </c>
      <c r="P157" s="719"/>
      <c r="Q157" s="24">
        <f t="shared" si="40"/>
        <v>0</v>
      </c>
      <c r="R157" s="715">
        <f t="shared" si="41"/>
        <v>0</v>
      </c>
      <c r="S157" s="361">
        <f t="shared" si="32"/>
        <v>0</v>
      </c>
    </row>
    <row r="158" spans="1:19">
      <c r="A158" s="159"/>
      <c r="B158" s="59"/>
      <c r="C158" s="24">
        <f t="shared" si="33"/>
        <v>1</v>
      </c>
      <c r="D158" s="719"/>
      <c r="E158" s="24">
        <f t="shared" si="34"/>
        <v>0.06</v>
      </c>
      <c r="F158" s="719"/>
      <c r="G158" s="24">
        <f t="shared" si="35"/>
        <v>0.02</v>
      </c>
      <c r="H158" s="719"/>
      <c r="I158" s="24">
        <f t="shared" si="36"/>
        <v>0.09</v>
      </c>
      <c r="J158" s="719"/>
      <c r="K158" s="24">
        <f t="shared" si="37"/>
        <v>0</v>
      </c>
      <c r="L158" s="719"/>
      <c r="M158" s="24">
        <f t="shared" si="38"/>
        <v>0.2</v>
      </c>
      <c r="N158" s="719"/>
      <c r="O158" s="24">
        <f t="shared" si="39"/>
        <v>0.2</v>
      </c>
      <c r="P158" s="719"/>
      <c r="Q158" s="24">
        <f t="shared" si="40"/>
        <v>0</v>
      </c>
      <c r="R158" s="715">
        <f t="shared" si="41"/>
        <v>0</v>
      </c>
      <c r="S158" s="361">
        <f t="shared" si="32"/>
        <v>0</v>
      </c>
    </row>
    <row r="159" spans="1:19">
      <c r="A159" s="159"/>
      <c r="B159" s="59"/>
      <c r="C159" s="24">
        <f t="shared" si="33"/>
        <v>1</v>
      </c>
      <c r="D159" s="719"/>
      <c r="E159" s="24">
        <f t="shared" si="34"/>
        <v>0.06</v>
      </c>
      <c r="F159" s="719"/>
      <c r="G159" s="24">
        <f t="shared" si="35"/>
        <v>0.02</v>
      </c>
      <c r="H159" s="719"/>
      <c r="I159" s="24">
        <f t="shared" si="36"/>
        <v>0.09</v>
      </c>
      <c r="J159" s="719"/>
      <c r="K159" s="24">
        <f t="shared" si="37"/>
        <v>0</v>
      </c>
      <c r="L159" s="719"/>
      <c r="M159" s="24">
        <f t="shared" si="38"/>
        <v>0.2</v>
      </c>
      <c r="N159" s="719"/>
      <c r="O159" s="24">
        <f t="shared" si="39"/>
        <v>0.2</v>
      </c>
      <c r="P159" s="719"/>
      <c r="Q159" s="24">
        <f t="shared" si="40"/>
        <v>0</v>
      </c>
      <c r="R159" s="715">
        <f t="shared" si="41"/>
        <v>0</v>
      </c>
      <c r="S159" s="361">
        <f t="shared" si="32"/>
        <v>0</v>
      </c>
    </row>
    <row r="160" spans="1:19">
      <c r="A160" s="159"/>
      <c r="B160" s="59"/>
      <c r="C160" s="24">
        <f t="shared" si="33"/>
        <v>1</v>
      </c>
      <c r="D160" s="719"/>
      <c r="E160" s="24">
        <f t="shared" si="34"/>
        <v>0.06</v>
      </c>
      <c r="F160" s="719"/>
      <c r="G160" s="24">
        <f t="shared" si="35"/>
        <v>0.02</v>
      </c>
      <c r="H160" s="719"/>
      <c r="I160" s="24">
        <f t="shared" si="36"/>
        <v>0.09</v>
      </c>
      <c r="J160" s="719"/>
      <c r="K160" s="24">
        <f t="shared" si="37"/>
        <v>0</v>
      </c>
      <c r="L160" s="719"/>
      <c r="M160" s="24">
        <f t="shared" si="38"/>
        <v>0.2</v>
      </c>
      <c r="N160" s="719"/>
      <c r="O160" s="24">
        <f t="shared" si="39"/>
        <v>0.2</v>
      </c>
      <c r="P160" s="719"/>
      <c r="Q160" s="24">
        <f t="shared" si="40"/>
        <v>0</v>
      </c>
      <c r="R160" s="715">
        <f t="shared" si="41"/>
        <v>0</v>
      </c>
      <c r="S160" s="361">
        <f t="shared" si="32"/>
        <v>0</v>
      </c>
    </row>
    <row r="161" spans="1:19">
      <c r="A161" s="159"/>
      <c r="B161" s="59"/>
      <c r="C161" s="24">
        <f t="shared" si="33"/>
        <v>1</v>
      </c>
      <c r="D161" s="719"/>
      <c r="E161" s="24">
        <f t="shared" si="34"/>
        <v>0.06</v>
      </c>
      <c r="F161" s="719"/>
      <c r="G161" s="24">
        <f t="shared" si="35"/>
        <v>0.02</v>
      </c>
      <c r="H161" s="719"/>
      <c r="I161" s="24">
        <f t="shared" si="36"/>
        <v>0.09</v>
      </c>
      <c r="J161" s="719"/>
      <c r="K161" s="24">
        <f t="shared" si="37"/>
        <v>0</v>
      </c>
      <c r="L161" s="719"/>
      <c r="M161" s="24">
        <f t="shared" si="38"/>
        <v>0.2</v>
      </c>
      <c r="N161" s="719"/>
      <c r="O161" s="24">
        <f t="shared" si="39"/>
        <v>0.2</v>
      </c>
      <c r="P161" s="719"/>
      <c r="Q161" s="24">
        <f t="shared" si="40"/>
        <v>0</v>
      </c>
      <c r="R161" s="715">
        <f t="shared" si="41"/>
        <v>0</v>
      </c>
      <c r="S161" s="361">
        <f t="shared" si="32"/>
        <v>0</v>
      </c>
    </row>
    <row r="162" spans="1:19">
      <c r="A162" s="159"/>
      <c r="B162" s="59"/>
      <c r="C162" s="24">
        <f t="shared" si="33"/>
        <v>1</v>
      </c>
      <c r="D162" s="719"/>
      <c r="E162" s="24">
        <f t="shared" si="34"/>
        <v>0.06</v>
      </c>
      <c r="F162" s="719"/>
      <c r="G162" s="24">
        <f t="shared" si="35"/>
        <v>0.02</v>
      </c>
      <c r="H162" s="719"/>
      <c r="I162" s="24">
        <f t="shared" si="36"/>
        <v>0.09</v>
      </c>
      <c r="J162" s="719"/>
      <c r="K162" s="24">
        <f t="shared" si="37"/>
        <v>0</v>
      </c>
      <c r="L162" s="719"/>
      <c r="M162" s="24">
        <f t="shared" si="38"/>
        <v>0.2</v>
      </c>
      <c r="N162" s="719"/>
      <c r="O162" s="24">
        <f t="shared" si="39"/>
        <v>0.2</v>
      </c>
      <c r="P162" s="719"/>
      <c r="Q162" s="24">
        <f t="shared" si="40"/>
        <v>0</v>
      </c>
      <c r="R162" s="715">
        <f t="shared" si="41"/>
        <v>0</v>
      </c>
      <c r="S162" s="361">
        <f t="shared" si="32"/>
        <v>0</v>
      </c>
    </row>
    <row r="163" spans="1:19">
      <c r="A163" s="159"/>
      <c r="B163" s="59"/>
      <c r="C163" s="24">
        <f t="shared" si="33"/>
        <v>1</v>
      </c>
      <c r="D163" s="719"/>
      <c r="E163" s="24">
        <f t="shared" si="34"/>
        <v>0.06</v>
      </c>
      <c r="F163" s="719"/>
      <c r="G163" s="24">
        <f t="shared" si="35"/>
        <v>0.02</v>
      </c>
      <c r="H163" s="719"/>
      <c r="I163" s="24">
        <f t="shared" si="36"/>
        <v>0.09</v>
      </c>
      <c r="J163" s="719"/>
      <c r="K163" s="24">
        <f t="shared" si="37"/>
        <v>0</v>
      </c>
      <c r="L163" s="719"/>
      <c r="M163" s="24">
        <f t="shared" si="38"/>
        <v>0.2</v>
      </c>
      <c r="N163" s="719"/>
      <c r="O163" s="24">
        <f t="shared" si="39"/>
        <v>0.2</v>
      </c>
      <c r="P163" s="719"/>
      <c r="Q163" s="24">
        <f t="shared" si="40"/>
        <v>0</v>
      </c>
      <c r="R163" s="715">
        <f t="shared" si="41"/>
        <v>0</v>
      </c>
      <c r="S163" s="361">
        <f t="shared" si="32"/>
        <v>0</v>
      </c>
    </row>
    <row r="164" spans="1:19">
      <c r="A164" s="159"/>
      <c r="B164" s="59"/>
      <c r="C164" s="24">
        <f t="shared" si="33"/>
        <v>1</v>
      </c>
      <c r="D164" s="719"/>
      <c r="E164" s="24">
        <f t="shared" si="34"/>
        <v>0.06</v>
      </c>
      <c r="F164" s="719"/>
      <c r="G164" s="24">
        <f t="shared" si="35"/>
        <v>0.02</v>
      </c>
      <c r="H164" s="719"/>
      <c r="I164" s="24">
        <f t="shared" si="36"/>
        <v>0.09</v>
      </c>
      <c r="J164" s="719"/>
      <c r="K164" s="24">
        <f t="shared" si="37"/>
        <v>0</v>
      </c>
      <c r="L164" s="719"/>
      <c r="M164" s="24">
        <f t="shared" si="38"/>
        <v>0.2</v>
      </c>
      <c r="N164" s="719"/>
      <c r="O164" s="24">
        <f t="shared" si="39"/>
        <v>0.2</v>
      </c>
      <c r="P164" s="719"/>
      <c r="Q164" s="24">
        <f t="shared" si="40"/>
        <v>0</v>
      </c>
      <c r="R164" s="715">
        <f t="shared" si="41"/>
        <v>0</v>
      </c>
      <c r="S164" s="361">
        <f t="shared" si="32"/>
        <v>0</v>
      </c>
    </row>
    <row r="165" spans="1:19">
      <c r="A165" s="159"/>
      <c r="B165" s="59"/>
      <c r="C165" s="24">
        <f t="shared" si="33"/>
        <v>1</v>
      </c>
      <c r="D165" s="719"/>
      <c r="E165" s="24">
        <f t="shared" si="34"/>
        <v>0.06</v>
      </c>
      <c r="F165" s="719"/>
      <c r="G165" s="24">
        <f t="shared" si="35"/>
        <v>0.02</v>
      </c>
      <c r="H165" s="719"/>
      <c r="I165" s="24">
        <f t="shared" si="36"/>
        <v>0.09</v>
      </c>
      <c r="J165" s="719"/>
      <c r="K165" s="24">
        <f t="shared" si="37"/>
        <v>0</v>
      </c>
      <c r="L165" s="719"/>
      <c r="M165" s="24">
        <f t="shared" si="38"/>
        <v>0.2</v>
      </c>
      <c r="N165" s="719"/>
      <c r="O165" s="24">
        <f t="shared" si="39"/>
        <v>0.2</v>
      </c>
      <c r="P165" s="719"/>
      <c r="Q165" s="24">
        <f t="shared" si="40"/>
        <v>0</v>
      </c>
      <c r="R165" s="715">
        <f t="shared" si="41"/>
        <v>0</v>
      </c>
      <c r="S165" s="361">
        <f t="shared" si="32"/>
        <v>0</v>
      </c>
    </row>
    <row r="166" spans="1:19">
      <c r="A166" s="159"/>
      <c r="B166" s="59"/>
      <c r="C166" s="24">
        <f t="shared" si="33"/>
        <v>1</v>
      </c>
      <c r="D166" s="719"/>
      <c r="E166" s="24">
        <f t="shared" si="34"/>
        <v>0.06</v>
      </c>
      <c r="F166" s="719"/>
      <c r="G166" s="24">
        <f t="shared" si="35"/>
        <v>0.02</v>
      </c>
      <c r="H166" s="719"/>
      <c r="I166" s="24">
        <f t="shared" si="36"/>
        <v>0.09</v>
      </c>
      <c r="J166" s="719"/>
      <c r="K166" s="24">
        <f t="shared" si="37"/>
        <v>0</v>
      </c>
      <c r="L166" s="719"/>
      <c r="M166" s="24">
        <f t="shared" si="38"/>
        <v>0.2</v>
      </c>
      <c r="N166" s="719"/>
      <c r="O166" s="24">
        <f t="shared" si="39"/>
        <v>0.2</v>
      </c>
      <c r="P166" s="719"/>
      <c r="Q166" s="24">
        <f t="shared" si="40"/>
        <v>0</v>
      </c>
      <c r="R166" s="715">
        <f t="shared" si="41"/>
        <v>0</v>
      </c>
      <c r="S166" s="361">
        <f t="shared" si="32"/>
        <v>0</v>
      </c>
    </row>
    <row r="167" spans="1:19">
      <c r="A167" s="159"/>
      <c r="B167" s="59"/>
      <c r="C167" s="24">
        <f t="shared" si="33"/>
        <v>1</v>
      </c>
      <c r="D167" s="719"/>
      <c r="E167" s="24">
        <f t="shared" si="34"/>
        <v>0.06</v>
      </c>
      <c r="F167" s="719"/>
      <c r="G167" s="24">
        <f t="shared" si="35"/>
        <v>0.02</v>
      </c>
      <c r="H167" s="719"/>
      <c r="I167" s="24">
        <f t="shared" si="36"/>
        <v>0.09</v>
      </c>
      <c r="J167" s="719"/>
      <c r="K167" s="24">
        <f t="shared" si="37"/>
        <v>0</v>
      </c>
      <c r="L167" s="719"/>
      <c r="M167" s="24">
        <f t="shared" si="38"/>
        <v>0.2</v>
      </c>
      <c r="N167" s="719"/>
      <c r="O167" s="24">
        <f t="shared" si="39"/>
        <v>0.2</v>
      </c>
      <c r="P167" s="719"/>
      <c r="Q167" s="24">
        <f t="shared" si="40"/>
        <v>0</v>
      </c>
      <c r="R167" s="715">
        <f t="shared" si="41"/>
        <v>0</v>
      </c>
      <c r="S167" s="361">
        <f t="shared" si="32"/>
        <v>0</v>
      </c>
    </row>
    <row r="168" spans="1:19">
      <c r="A168" s="159"/>
      <c r="B168" s="59"/>
      <c r="C168" s="24">
        <f t="shared" si="33"/>
        <v>1</v>
      </c>
      <c r="D168" s="719"/>
      <c r="E168" s="24">
        <f t="shared" si="34"/>
        <v>0.06</v>
      </c>
      <c r="F168" s="719"/>
      <c r="G168" s="24">
        <f t="shared" si="35"/>
        <v>0.02</v>
      </c>
      <c r="H168" s="719"/>
      <c r="I168" s="24">
        <f t="shared" si="36"/>
        <v>0.09</v>
      </c>
      <c r="J168" s="719"/>
      <c r="K168" s="24">
        <f t="shared" si="37"/>
        <v>0</v>
      </c>
      <c r="L168" s="719"/>
      <c r="M168" s="24">
        <f t="shared" si="38"/>
        <v>0.2</v>
      </c>
      <c r="N168" s="719"/>
      <c r="O168" s="24">
        <f t="shared" si="39"/>
        <v>0.2</v>
      </c>
      <c r="P168" s="719"/>
      <c r="Q168" s="24">
        <f t="shared" si="40"/>
        <v>0</v>
      </c>
      <c r="R168" s="715">
        <f t="shared" si="41"/>
        <v>0</v>
      </c>
      <c r="S168" s="361">
        <f t="shared" si="32"/>
        <v>0</v>
      </c>
    </row>
    <row r="169" spans="1:19">
      <c r="A169" s="159"/>
      <c r="B169" s="59"/>
      <c r="C169" s="24">
        <f t="shared" si="33"/>
        <v>1</v>
      </c>
      <c r="D169" s="719"/>
      <c r="E169" s="24">
        <f t="shared" si="34"/>
        <v>0.06</v>
      </c>
      <c r="F169" s="719"/>
      <c r="G169" s="24">
        <f t="shared" si="35"/>
        <v>0.02</v>
      </c>
      <c r="H169" s="719"/>
      <c r="I169" s="24">
        <f t="shared" si="36"/>
        <v>0.09</v>
      </c>
      <c r="J169" s="719"/>
      <c r="K169" s="24">
        <f t="shared" si="37"/>
        <v>0</v>
      </c>
      <c r="L169" s="719"/>
      <c r="M169" s="24">
        <f t="shared" si="38"/>
        <v>0.2</v>
      </c>
      <c r="N169" s="719"/>
      <c r="O169" s="24">
        <f t="shared" si="39"/>
        <v>0.2</v>
      </c>
      <c r="P169" s="719"/>
      <c r="Q169" s="24">
        <f t="shared" si="40"/>
        <v>0</v>
      </c>
      <c r="R169" s="715">
        <f t="shared" si="41"/>
        <v>0</v>
      </c>
      <c r="S169" s="361">
        <f t="shared" si="32"/>
        <v>0</v>
      </c>
    </row>
    <row r="170" spans="1:19">
      <c r="A170" s="159"/>
      <c r="B170" s="59"/>
      <c r="C170" s="24">
        <f t="shared" si="33"/>
        <v>1</v>
      </c>
      <c r="D170" s="719"/>
      <c r="E170" s="24">
        <f t="shared" si="34"/>
        <v>0.06</v>
      </c>
      <c r="F170" s="719"/>
      <c r="G170" s="24">
        <f t="shared" si="35"/>
        <v>0.02</v>
      </c>
      <c r="H170" s="719"/>
      <c r="I170" s="24">
        <f t="shared" si="36"/>
        <v>0.09</v>
      </c>
      <c r="J170" s="719"/>
      <c r="K170" s="24">
        <f t="shared" si="37"/>
        <v>0</v>
      </c>
      <c r="L170" s="719"/>
      <c r="M170" s="24">
        <f t="shared" si="38"/>
        <v>0.2</v>
      </c>
      <c r="N170" s="719"/>
      <c r="O170" s="24">
        <f t="shared" si="39"/>
        <v>0.2</v>
      </c>
      <c r="P170" s="719"/>
      <c r="Q170" s="24">
        <f t="shared" si="40"/>
        <v>0</v>
      </c>
      <c r="R170" s="715">
        <f t="shared" si="41"/>
        <v>0</v>
      </c>
      <c r="S170" s="361">
        <f t="shared" si="32"/>
        <v>0</v>
      </c>
    </row>
    <row r="171" spans="1:19">
      <c r="A171" s="159"/>
      <c r="B171" s="59"/>
      <c r="C171" s="24">
        <f t="shared" si="33"/>
        <v>1</v>
      </c>
      <c r="D171" s="719"/>
      <c r="E171" s="24">
        <f t="shared" si="34"/>
        <v>0.06</v>
      </c>
      <c r="F171" s="719"/>
      <c r="G171" s="24">
        <f t="shared" si="35"/>
        <v>0.02</v>
      </c>
      <c r="H171" s="719"/>
      <c r="I171" s="24">
        <f t="shared" si="36"/>
        <v>0.09</v>
      </c>
      <c r="J171" s="719"/>
      <c r="K171" s="24">
        <f t="shared" si="37"/>
        <v>0</v>
      </c>
      <c r="L171" s="719"/>
      <c r="M171" s="24">
        <f t="shared" si="38"/>
        <v>0.2</v>
      </c>
      <c r="N171" s="719"/>
      <c r="O171" s="24">
        <f t="shared" si="39"/>
        <v>0.2</v>
      </c>
      <c r="P171" s="719"/>
      <c r="Q171" s="24">
        <f t="shared" si="40"/>
        <v>0</v>
      </c>
      <c r="R171" s="715">
        <f t="shared" si="41"/>
        <v>0</v>
      </c>
      <c r="S171" s="361">
        <f t="shared" si="32"/>
        <v>0</v>
      </c>
    </row>
    <row r="172" spans="1:19">
      <c r="A172" s="159"/>
      <c r="B172" s="59"/>
      <c r="C172" s="24">
        <f t="shared" si="33"/>
        <v>1</v>
      </c>
      <c r="D172" s="719"/>
      <c r="E172" s="24">
        <f t="shared" si="34"/>
        <v>0.06</v>
      </c>
      <c r="F172" s="719"/>
      <c r="G172" s="24">
        <f t="shared" si="35"/>
        <v>0.02</v>
      </c>
      <c r="H172" s="719"/>
      <c r="I172" s="24">
        <f t="shared" si="36"/>
        <v>0.09</v>
      </c>
      <c r="J172" s="719"/>
      <c r="K172" s="24">
        <f t="shared" si="37"/>
        <v>0</v>
      </c>
      <c r="L172" s="719"/>
      <c r="M172" s="24">
        <f t="shared" si="38"/>
        <v>0.2</v>
      </c>
      <c r="N172" s="719"/>
      <c r="O172" s="24">
        <f t="shared" si="39"/>
        <v>0.2</v>
      </c>
      <c r="P172" s="719"/>
      <c r="Q172" s="24">
        <f t="shared" si="40"/>
        <v>0</v>
      </c>
      <c r="R172" s="715">
        <f t="shared" si="41"/>
        <v>0</v>
      </c>
      <c r="S172" s="361">
        <f t="shared" si="32"/>
        <v>0</v>
      </c>
    </row>
    <row r="173" spans="1:19">
      <c r="A173" s="159"/>
      <c r="B173" s="59"/>
      <c r="C173" s="24">
        <f t="shared" si="33"/>
        <v>1</v>
      </c>
      <c r="D173" s="719"/>
      <c r="E173" s="24">
        <f t="shared" si="34"/>
        <v>0.06</v>
      </c>
      <c r="F173" s="719"/>
      <c r="G173" s="24">
        <f t="shared" si="35"/>
        <v>0.02</v>
      </c>
      <c r="H173" s="719"/>
      <c r="I173" s="24">
        <f t="shared" si="36"/>
        <v>0.09</v>
      </c>
      <c r="J173" s="719"/>
      <c r="K173" s="24">
        <f t="shared" si="37"/>
        <v>0</v>
      </c>
      <c r="L173" s="719"/>
      <c r="M173" s="24">
        <f t="shared" si="38"/>
        <v>0.2</v>
      </c>
      <c r="N173" s="719"/>
      <c r="O173" s="24">
        <f t="shared" si="39"/>
        <v>0.2</v>
      </c>
      <c r="P173" s="719"/>
      <c r="Q173" s="24">
        <f t="shared" si="40"/>
        <v>0</v>
      </c>
      <c r="R173" s="715">
        <f t="shared" si="41"/>
        <v>0</v>
      </c>
      <c r="S173" s="361">
        <f t="shared" si="32"/>
        <v>0</v>
      </c>
    </row>
    <row r="174" spans="1:19">
      <c r="A174" s="159"/>
      <c r="B174" s="59"/>
      <c r="C174" s="24">
        <f t="shared" si="33"/>
        <v>1</v>
      </c>
      <c r="D174" s="719"/>
      <c r="E174" s="24">
        <f t="shared" si="34"/>
        <v>0.06</v>
      </c>
      <c r="F174" s="719"/>
      <c r="G174" s="24">
        <f t="shared" si="35"/>
        <v>0.02</v>
      </c>
      <c r="H174" s="719"/>
      <c r="I174" s="24">
        <f t="shared" si="36"/>
        <v>0.09</v>
      </c>
      <c r="J174" s="719"/>
      <c r="K174" s="24">
        <f t="shared" si="37"/>
        <v>0</v>
      </c>
      <c r="L174" s="719"/>
      <c r="M174" s="24">
        <f t="shared" si="38"/>
        <v>0.2</v>
      </c>
      <c r="N174" s="719"/>
      <c r="O174" s="24">
        <f t="shared" si="39"/>
        <v>0.2</v>
      </c>
      <c r="P174" s="719"/>
      <c r="Q174" s="24">
        <f t="shared" si="40"/>
        <v>0</v>
      </c>
      <c r="R174" s="715">
        <f t="shared" si="41"/>
        <v>0</v>
      </c>
      <c r="S174" s="361">
        <f t="shared" si="32"/>
        <v>0</v>
      </c>
    </row>
    <row r="175" spans="1:19">
      <c r="A175" s="159"/>
      <c r="B175" s="59"/>
      <c r="C175" s="24">
        <f t="shared" si="33"/>
        <v>1</v>
      </c>
      <c r="D175" s="719"/>
      <c r="E175" s="24">
        <f t="shared" si="34"/>
        <v>0.06</v>
      </c>
      <c r="F175" s="719"/>
      <c r="G175" s="24">
        <f t="shared" si="35"/>
        <v>0.02</v>
      </c>
      <c r="H175" s="719"/>
      <c r="I175" s="24">
        <f t="shared" si="36"/>
        <v>0.09</v>
      </c>
      <c r="J175" s="719"/>
      <c r="K175" s="24">
        <f t="shared" si="37"/>
        <v>0</v>
      </c>
      <c r="L175" s="719"/>
      <c r="M175" s="24">
        <f t="shared" si="38"/>
        <v>0.2</v>
      </c>
      <c r="N175" s="719"/>
      <c r="O175" s="24">
        <f t="shared" si="39"/>
        <v>0.2</v>
      </c>
      <c r="P175" s="719"/>
      <c r="Q175" s="24">
        <f t="shared" si="40"/>
        <v>0</v>
      </c>
      <c r="R175" s="715">
        <f t="shared" si="41"/>
        <v>0</v>
      </c>
      <c r="S175" s="361">
        <f t="shared" si="32"/>
        <v>0</v>
      </c>
    </row>
    <row r="176" spans="1:19">
      <c r="A176" s="159"/>
      <c r="B176" s="59"/>
      <c r="C176" s="24">
        <f t="shared" si="33"/>
        <v>1</v>
      </c>
      <c r="D176" s="719"/>
      <c r="E176" s="24">
        <f t="shared" si="34"/>
        <v>0.06</v>
      </c>
      <c r="F176" s="719"/>
      <c r="G176" s="24">
        <f t="shared" si="35"/>
        <v>0.02</v>
      </c>
      <c r="H176" s="719"/>
      <c r="I176" s="24">
        <f t="shared" si="36"/>
        <v>0.09</v>
      </c>
      <c r="J176" s="719"/>
      <c r="K176" s="24">
        <f t="shared" si="37"/>
        <v>0</v>
      </c>
      <c r="L176" s="719"/>
      <c r="M176" s="24">
        <f t="shared" si="38"/>
        <v>0.2</v>
      </c>
      <c r="N176" s="719"/>
      <c r="O176" s="24">
        <f t="shared" si="39"/>
        <v>0.2</v>
      </c>
      <c r="P176" s="719"/>
      <c r="Q176" s="24">
        <f t="shared" si="40"/>
        <v>0</v>
      </c>
      <c r="R176" s="715">
        <f t="shared" si="41"/>
        <v>0</v>
      </c>
      <c r="S176" s="361">
        <f t="shared" si="32"/>
        <v>0</v>
      </c>
    </row>
    <row r="177" spans="1:19">
      <c r="A177" s="159"/>
      <c r="B177" s="59"/>
      <c r="C177" s="24">
        <f t="shared" si="33"/>
        <v>1</v>
      </c>
      <c r="D177" s="719"/>
      <c r="E177" s="24">
        <f t="shared" si="34"/>
        <v>0.06</v>
      </c>
      <c r="F177" s="719"/>
      <c r="G177" s="24">
        <f t="shared" si="35"/>
        <v>0.02</v>
      </c>
      <c r="H177" s="719"/>
      <c r="I177" s="24">
        <f t="shared" si="36"/>
        <v>0.09</v>
      </c>
      <c r="J177" s="719"/>
      <c r="K177" s="24">
        <f t="shared" si="37"/>
        <v>0</v>
      </c>
      <c r="L177" s="719"/>
      <c r="M177" s="24">
        <f t="shared" si="38"/>
        <v>0.2</v>
      </c>
      <c r="N177" s="719"/>
      <c r="O177" s="24">
        <f t="shared" si="39"/>
        <v>0.2</v>
      </c>
      <c r="P177" s="719"/>
      <c r="Q177" s="24">
        <f t="shared" si="40"/>
        <v>0</v>
      </c>
      <c r="R177" s="715">
        <f t="shared" si="41"/>
        <v>0</v>
      </c>
      <c r="S177" s="361">
        <f t="shared" si="32"/>
        <v>0</v>
      </c>
    </row>
    <row r="178" spans="1:19">
      <c r="A178" s="159"/>
      <c r="B178" s="59"/>
      <c r="C178" s="24">
        <f t="shared" si="33"/>
        <v>1</v>
      </c>
      <c r="D178" s="719"/>
      <c r="E178" s="24">
        <f t="shared" si="34"/>
        <v>0.06</v>
      </c>
      <c r="F178" s="719"/>
      <c r="G178" s="24">
        <f t="shared" si="35"/>
        <v>0.02</v>
      </c>
      <c r="H178" s="719"/>
      <c r="I178" s="24">
        <f t="shared" si="36"/>
        <v>0.09</v>
      </c>
      <c r="J178" s="719"/>
      <c r="K178" s="24">
        <f t="shared" si="37"/>
        <v>0</v>
      </c>
      <c r="L178" s="719"/>
      <c r="M178" s="24">
        <f t="shared" si="38"/>
        <v>0.2</v>
      </c>
      <c r="N178" s="719"/>
      <c r="O178" s="24">
        <f t="shared" si="39"/>
        <v>0.2</v>
      </c>
      <c r="P178" s="719"/>
      <c r="Q178" s="24">
        <f t="shared" si="40"/>
        <v>0</v>
      </c>
      <c r="R178" s="715">
        <f t="shared" si="41"/>
        <v>0</v>
      </c>
      <c r="S178" s="361">
        <f t="shared" si="32"/>
        <v>0</v>
      </c>
    </row>
    <row r="179" spans="1:19">
      <c r="A179" s="159"/>
      <c r="B179" s="59"/>
      <c r="C179" s="24">
        <f t="shared" si="33"/>
        <v>1</v>
      </c>
      <c r="D179" s="719"/>
      <c r="E179" s="24">
        <f t="shared" si="34"/>
        <v>0.06</v>
      </c>
      <c r="F179" s="719"/>
      <c r="G179" s="24">
        <f t="shared" si="35"/>
        <v>0.02</v>
      </c>
      <c r="H179" s="719"/>
      <c r="I179" s="24">
        <f t="shared" si="36"/>
        <v>0.09</v>
      </c>
      <c r="J179" s="719"/>
      <c r="K179" s="24">
        <f t="shared" si="37"/>
        <v>0</v>
      </c>
      <c r="L179" s="719"/>
      <c r="M179" s="24">
        <f t="shared" si="38"/>
        <v>0.2</v>
      </c>
      <c r="N179" s="719"/>
      <c r="O179" s="24">
        <f t="shared" si="39"/>
        <v>0.2</v>
      </c>
      <c r="P179" s="719"/>
      <c r="Q179" s="24">
        <f t="shared" si="40"/>
        <v>0</v>
      </c>
      <c r="R179" s="715">
        <f t="shared" si="41"/>
        <v>0</v>
      </c>
      <c r="S179" s="361">
        <f t="shared" si="32"/>
        <v>0</v>
      </c>
    </row>
    <row r="180" spans="1:19">
      <c r="A180" s="159"/>
      <c r="B180" s="59"/>
      <c r="C180" s="24">
        <f t="shared" si="33"/>
        <v>1</v>
      </c>
      <c r="D180" s="719"/>
      <c r="E180" s="24">
        <f t="shared" si="34"/>
        <v>0.06</v>
      </c>
      <c r="F180" s="719"/>
      <c r="G180" s="24">
        <f t="shared" si="35"/>
        <v>0.02</v>
      </c>
      <c r="H180" s="719"/>
      <c r="I180" s="24">
        <f t="shared" si="36"/>
        <v>0.09</v>
      </c>
      <c r="J180" s="719"/>
      <c r="K180" s="24">
        <f t="shared" si="37"/>
        <v>0</v>
      </c>
      <c r="L180" s="719"/>
      <c r="M180" s="24">
        <f t="shared" si="38"/>
        <v>0.2</v>
      </c>
      <c r="N180" s="719"/>
      <c r="O180" s="24">
        <f t="shared" si="39"/>
        <v>0.2</v>
      </c>
      <c r="P180" s="719"/>
      <c r="Q180" s="24">
        <f t="shared" si="40"/>
        <v>0</v>
      </c>
      <c r="R180" s="715">
        <f t="shared" si="41"/>
        <v>0</v>
      </c>
      <c r="S180" s="361">
        <f t="shared" si="32"/>
        <v>0</v>
      </c>
    </row>
    <row r="181" spans="1:19">
      <c r="A181" s="159"/>
      <c r="B181" s="59"/>
      <c r="C181" s="24">
        <f t="shared" si="33"/>
        <v>1</v>
      </c>
      <c r="D181" s="719"/>
      <c r="E181" s="24">
        <f t="shared" si="34"/>
        <v>0.06</v>
      </c>
      <c r="F181" s="719"/>
      <c r="G181" s="24">
        <f t="shared" si="35"/>
        <v>0.02</v>
      </c>
      <c r="H181" s="719"/>
      <c r="I181" s="24">
        <f t="shared" si="36"/>
        <v>0.09</v>
      </c>
      <c r="J181" s="719"/>
      <c r="K181" s="24">
        <f t="shared" si="37"/>
        <v>0</v>
      </c>
      <c r="L181" s="719"/>
      <c r="M181" s="24">
        <f t="shared" si="38"/>
        <v>0.2</v>
      </c>
      <c r="N181" s="719"/>
      <c r="O181" s="24">
        <f t="shared" si="39"/>
        <v>0.2</v>
      </c>
      <c r="P181" s="719"/>
      <c r="Q181" s="24">
        <f t="shared" si="40"/>
        <v>0</v>
      </c>
      <c r="R181" s="715">
        <f t="shared" si="41"/>
        <v>0</v>
      </c>
      <c r="S181" s="361">
        <f t="shared" si="32"/>
        <v>0</v>
      </c>
    </row>
    <row r="182" spans="1:19">
      <c r="A182" s="159"/>
      <c r="B182" s="59"/>
      <c r="C182" s="24">
        <f t="shared" si="33"/>
        <v>1</v>
      </c>
      <c r="D182" s="719"/>
      <c r="E182" s="24">
        <f t="shared" si="34"/>
        <v>0.06</v>
      </c>
      <c r="F182" s="719"/>
      <c r="G182" s="24">
        <f t="shared" si="35"/>
        <v>0.02</v>
      </c>
      <c r="H182" s="719"/>
      <c r="I182" s="24">
        <f t="shared" si="36"/>
        <v>0.09</v>
      </c>
      <c r="J182" s="719"/>
      <c r="K182" s="24">
        <f t="shared" si="37"/>
        <v>0</v>
      </c>
      <c r="L182" s="719"/>
      <c r="M182" s="24">
        <f t="shared" si="38"/>
        <v>0.2</v>
      </c>
      <c r="N182" s="719"/>
      <c r="O182" s="24">
        <f t="shared" si="39"/>
        <v>0.2</v>
      </c>
      <c r="P182" s="719"/>
      <c r="Q182" s="24">
        <f t="shared" si="40"/>
        <v>0</v>
      </c>
      <c r="R182" s="715">
        <f t="shared" si="41"/>
        <v>0</v>
      </c>
      <c r="S182" s="361">
        <f t="shared" si="32"/>
        <v>0</v>
      </c>
    </row>
    <row r="183" spans="1:19">
      <c r="A183" s="159"/>
      <c r="B183" s="59"/>
      <c r="C183" s="24">
        <f t="shared" si="33"/>
        <v>1</v>
      </c>
      <c r="D183" s="719"/>
      <c r="E183" s="24">
        <f t="shared" si="34"/>
        <v>0.06</v>
      </c>
      <c r="F183" s="719"/>
      <c r="G183" s="24">
        <f t="shared" si="35"/>
        <v>0.02</v>
      </c>
      <c r="H183" s="719"/>
      <c r="I183" s="24">
        <f t="shared" si="36"/>
        <v>0.09</v>
      </c>
      <c r="J183" s="719"/>
      <c r="K183" s="24">
        <f t="shared" si="37"/>
        <v>0</v>
      </c>
      <c r="L183" s="719"/>
      <c r="M183" s="24">
        <f t="shared" si="38"/>
        <v>0.2</v>
      </c>
      <c r="N183" s="719"/>
      <c r="O183" s="24">
        <f t="shared" si="39"/>
        <v>0.2</v>
      </c>
      <c r="P183" s="719"/>
      <c r="Q183" s="24">
        <f t="shared" si="40"/>
        <v>0</v>
      </c>
      <c r="R183" s="715">
        <f t="shared" si="41"/>
        <v>0</v>
      </c>
      <c r="S183" s="361">
        <f t="shared" si="32"/>
        <v>0</v>
      </c>
    </row>
    <row r="184" spans="1:19">
      <c r="A184" s="159"/>
      <c r="B184" s="59"/>
      <c r="C184" s="24">
        <f t="shared" si="33"/>
        <v>1</v>
      </c>
      <c r="D184" s="719"/>
      <c r="E184" s="24">
        <f t="shared" si="34"/>
        <v>0.06</v>
      </c>
      <c r="F184" s="719"/>
      <c r="G184" s="24">
        <f t="shared" si="35"/>
        <v>0.02</v>
      </c>
      <c r="H184" s="719"/>
      <c r="I184" s="24">
        <f t="shared" si="36"/>
        <v>0.09</v>
      </c>
      <c r="J184" s="719"/>
      <c r="K184" s="24">
        <f t="shared" si="37"/>
        <v>0</v>
      </c>
      <c r="L184" s="719"/>
      <c r="M184" s="24">
        <f t="shared" si="38"/>
        <v>0.2</v>
      </c>
      <c r="N184" s="719"/>
      <c r="O184" s="24">
        <f t="shared" si="39"/>
        <v>0.2</v>
      </c>
      <c r="P184" s="719"/>
      <c r="Q184" s="24">
        <f t="shared" si="40"/>
        <v>0</v>
      </c>
      <c r="R184" s="715">
        <f t="shared" si="41"/>
        <v>0</v>
      </c>
      <c r="S184" s="361">
        <f t="shared" si="32"/>
        <v>0</v>
      </c>
    </row>
    <row r="185" spans="1:19">
      <c r="A185" s="159"/>
      <c r="B185" s="59"/>
      <c r="C185" s="24">
        <f t="shared" si="33"/>
        <v>1</v>
      </c>
      <c r="D185" s="719"/>
      <c r="E185" s="24">
        <f t="shared" si="34"/>
        <v>0.06</v>
      </c>
      <c r="F185" s="719"/>
      <c r="G185" s="24">
        <f t="shared" si="35"/>
        <v>0.02</v>
      </c>
      <c r="H185" s="719"/>
      <c r="I185" s="24">
        <f t="shared" si="36"/>
        <v>0.09</v>
      </c>
      <c r="J185" s="719"/>
      <c r="K185" s="24">
        <f t="shared" si="37"/>
        <v>0</v>
      </c>
      <c r="L185" s="719"/>
      <c r="M185" s="24">
        <f t="shared" si="38"/>
        <v>0.2</v>
      </c>
      <c r="N185" s="719"/>
      <c r="O185" s="24">
        <f t="shared" si="39"/>
        <v>0.2</v>
      </c>
      <c r="P185" s="719"/>
      <c r="Q185" s="24">
        <f t="shared" si="40"/>
        <v>0</v>
      </c>
      <c r="R185" s="715">
        <f t="shared" si="41"/>
        <v>0</v>
      </c>
      <c r="S185" s="361">
        <f t="shared" si="32"/>
        <v>0</v>
      </c>
    </row>
    <row r="186" spans="1:19">
      <c r="A186" s="159"/>
      <c r="B186" s="59"/>
      <c r="C186" s="24">
        <f t="shared" si="33"/>
        <v>1</v>
      </c>
      <c r="D186" s="719"/>
      <c r="E186" s="24">
        <f t="shared" si="34"/>
        <v>0.06</v>
      </c>
      <c r="F186" s="719"/>
      <c r="G186" s="24">
        <f t="shared" si="35"/>
        <v>0.02</v>
      </c>
      <c r="H186" s="719"/>
      <c r="I186" s="24">
        <f t="shared" si="36"/>
        <v>0.09</v>
      </c>
      <c r="J186" s="719"/>
      <c r="K186" s="24">
        <f t="shared" si="37"/>
        <v>0</v>
      </c>
      <c r="L186" s="719"/>
      <c r="M186" s="24">
        <f t="shared" si="38"/>
        <v>0.2</v>
      </c>
      <c r="N186" s="719"/>
      <c r="O186" s="24">
        <f t="shared" si="39"/>
        <v>0.2</v>
      </c>
      <c r="P186" s="719"/>
      <c r="Q186" s="24">
        <f t="shared" si="40"/>
        <v>0</v>
      </c>
      <c r="R186" s="715">
        <f t="shared" si="41"/>
        <v>0</v>
      </c>
      <c r="S186" s="361">
        <f t="shared" si="32"/>
        <v>0</v>
      </c>
    </row>
    <row r="187" spans="1:19">
      <c r="A187" s="159"/>
      <c r="B187" s="59"/>
      <c r="C187" s="24">
        <f t="shared" si="33"/>
        <v>1</v>
      </c>
      <c r="D187" s="719"/>
      <c r="E187" s="24">
        <f t="shared" si="34"/>
        <v>0.06</v>
      </c>
      <c r="F187" s="719"/>
      <c r="G187" s="24">
        <f t="shared" si="35"/>
        <v>0.02</v>
      </c>
      <c r="H187" s="719"/>
      <c r="I187" s="24">
        <f t="shared" si="36"/>
        <v>0.09</v>
      </c>
      <c r="J187" s="719"/>
      <c r="K187" s="24">
        <f t="shared" si="37"/>
        <v>0</v>
      </c>
      <c r="L187" s="719"/>
      <c r="M187" s="24">
        <f t="shared" si="38"/>
        <v>0.2</v>
      </c>
      <c r="N187" s="719"/>
      <c r="O187" s="24">
        <f t="shared" si="39"/>
        <v>0.2</v>
      </c>
      <c r="P187" s="719"/>
      <c r="Q187" s="24">
        <f t="shared" si="40"/>
        <v>0</v>
      </c>
      <c r="R187" s="715">
        <f t="shared" si="41"/>
        <v>0</v>
      </c>
      <c r="S187" s="361">
        <f t="shared" ref="S187:S222" si="42">ROUND(R187*B187/10000,0)</f>
        <v>0</v>
      </c>
    </row>
    <row r="188" spans="1:19">
      <c r="A188" s="159"/>
      <c r="B188" s="59"/>
      <c r="C188" s="24">
        <f t="shared" si="33"/>
        <v>1</v>
      </c>
      <c r="D188" s="719"/>
      <c r="E188" s="24">
        <f t="shared" si="34"/>
        <v>0.06</v>
      </c>
      <c r="F188" s="719"/>
      <c r="G188" s="24">
        <f t="shared" si="35"/>
        <v>0.02</v>
      </c>
      <c r="H188" s="719"/>
      <c r="I188" s="24">
        <f t="shared" si="36"/>
        <v>0.09</v>
      </c>
      <c r="J188" s="719"/>
      <c r="K188" s="24">
        <f t="shared" si="37"/>
        <v>0</v>
      </c>
      <c r="L188" s="719"/>
      <c r="M188" s="24">
        <f t="shared" si="38"/>
        <v>0.2</v>
      </c>
      <c r="N188" s="719"/>
      <c r="O188" s="24">
        <f t="shared" si="39"/>
        <v>0.2</v>
      </c>
      <c r="P188" s="719"/>
      <c r="Q188" s="24">
        <f t="shared" si="40"/>
        <v>0</v>
      </c>
      <c r="R188" s="715">
        <f t="shared" si="41"/>
        <v>0</v>
      </c>
      <c r="S188" s="361">
        <f t="shared" si="42"/>
        <v>0</v>
      </c>
    </row>
    <row r="189" spans="1:19">
      <c r="A189" s="159"/>
      <c r="B189" s="59"/>
      <c r="C189" s="24">
        <f t="shared" si="33"/>
        <v>1</v>
      </c>
      <c r="D189" s="719"/>
      <c r="E189" s="24">
        <f t="shared" si="34"/>
        <v>0.06</v>
      </c>
      <c r="F189" s="719"/>
      <c r="G189" s="24">
        <f t="shared" si="35"/>
        <v>0.02</v>
      </c>
      <c r="H189" s="719"/>
      <c r="I189" s="24">
        <f t="shared" si="36"/>
        <v>0.09</v>
      </c>
      <c r="J189" s="719"/>
      <c r="K189" s="24">
        <f t="shared" si="37"/>
        <v>0</v>
      </c>
      <c r="L189" s="719"/>
      <c r="M189" s="24">
        <f t="shared" si="38"/>
        <v>0.2</v>
      </c>
      <c r="N189" s="719"/>
      <c r="O189" s="24">
        <f t="shared" si="39"/>
        <v>0.2</v>
      </c>
      <c r="P189" s="719"/>
      <c r="Q189" s="24">
        <f t="shared" si="40"/>
        <v>0</v>
      </c>
      <c r="R189" s="715">
        <f t="shared" si="41"/>
        <v>0</v>
      </c>
      <c r="S189" s="361">
        <f t="shared" si="42"/>
        <v>0</v>
      </c>
    </row>
    <row r="190" spans="1:19">
      <c r="A190" s="159"/>
      <c r="B190" s="59"/>
      <c r="C190" s="24">
        <f t="shared" si="33"/>
        <v>1</v>
      </c>
      <c r="D190" s="719"/>
      <c r="E190" s="24">
        <f t="shared" si="34"/>
        <v>0.06</v>
      </c>
      <c r="F190" s="719"/>
      <c r="G190" s="24">
        <f t="shared" si="35"/>
        <v>0.02</v>
      </c>
      <c r="H190" s="719"/>
      <c r="I190" s="24">
        <f t="shared" si="36"/>
        <v>0.09</v>
      </c>
      <c r="J190" s="719"/>
      <c r="K190" s="24">
        <f t="shared" si="37"/>
        <v>0</v>
      </c>
      <c r="L190" s="719"/>
      <c r="M190" s="24">
        <f t="shared" si="38"/>
        <v>0.2</v>
      </c>
      <c r="N190" s="719"/>
      <c r="O190" s="24">
        <f t="shared" si="39"/>
        <v>0.2</v>
      </c>
      <c r="P190" s="719"/>
      <c r="Q190" s="24">
        <f t="shared" si="40"/>
        <v>0</v>
      </c>
      <c r="R190" s="715">
        <f t="shared" si="41"/>
        <v>0</v>
      </c>
      <c r="S190" s="361">
        <f t="shared" si="42"/>
        <v>0</v>
      </c>
    </row>
    <row r="191" spans="1:19">
      <c r="A191" s="159"/>
      <c r="B191" s="59"/>
      <c r="C191" s="24">
        <f t="shared" si="33"/>
        <v>1</v>
      </c>
      <c r="D191" s="719"/>
      <c r="E191" s="24">
        <f t="shared" si="34"/>
        <v>0.06</v>
      </c>
      <c r="F191" s="719"/>
      <c r="G191" s="24">
        <f t="shared" si="35"/>
        <v>0.02</v>
      </c>
      <c r="H191" s="719"/>
      <c r="I191" s="24">
        <f t="shared" si="36"/>
        <v>0.09</v>
      </c>
      <c r="J191" s="719"/>
      <c r="K191" s="24">
        <f t="shared" si="37"/>
        <v>0</v>
      </c>
      <c r="L191" s="719"/>
      <c r="M191" s="24">
        <f t="shared" si="38"/>
        <v>0.2</v>
      </c>
      <c r="N191" s="719"/>
      <c r="O191" s="24">
        <f t="shared" si="39"/>
        <v>0.2</v>
      </c>
      <c r="P191" s="719"/>
      <c r="Q191" s="24">
        <f t="shared" si="40"/>
        <v>0</v>
      </c>
      <c r="R191" s="715">
        <f t="shared" si="41"/>
        <v>0</v>
      </c>
      <c r="S191" s="361">
        <f t="shared" si="42"/>
        <v>0</v>
      </c>
    </row>
    <row r="192" spans="1:19">
      <c r="A192" s="159"/>
      <c r="B192" s="59"/>
      <c r="C192" s="24">
        <f t="shared" si="33"/>
        <v>1</v>
      </c>
      <c r="D192" s="719"/>
      <c r="E192" s="24">
        <f t="shared" si="34"/>
        <v>0.06</v>
      </c>
      <c r="F192" s="719"/>
      <c r="G192" s="24">
        <f t="shared" si="35"/>
        <v>0.02</v>
      </c>
      <c r="H192" s="719"/>
      <c r="I192" s="24">
        <f t="shared" si="36"/>
        <v>0.09</v>
      </c>
      <c r="J192" s="719"/>
      <c r="K192" s="24">
        <f t="shared" si="37"/>
        <v>0</v>
      </c>
      <c r="L192" s="719"/>
      <c r="M192" s="24">
        <f t="shared" si="38"/>
        <v>0.2</v>
      </c>
      <c r="N192" s="719"/>
      <c r="O192" s="24">
        <f t="shared" si="39"/>
        <v>0.2</v>
      </c>
      <c r="P192" s="719"/>
      <c r="Q192" s="24">
        <f t="shared" si="40"/>
        <v>0</v>
      </c>
      <c r="R192" s="715">
        <f t="shared" si="41"/>
        <v>0</v>
      </c>
      <c r="S192" s="361">
        <f t="shared" si="42"/>
        <v>0</v>
      </c>
    </row>
    <row r="193" spans="1:19">
      <c r="A193" s="159"/>
      <c r="B193" s="59"/>
      <c r="C193" s="24">
        <f t="shared" si="33"/>
        <v>1</v>
      </c>
      <c r="D193" s="719"/>
      <c r="E193" s="24">
        <f t="shared" si="34"/>
        <v>0.06</v>
      </c>
      <c r="F193" s="719"/>
      <c r="G193" s="24">
        <f t="shared" si="35"/>
        <v>0.02</v>
      </c>
      <c r="H193" s="719"/>
      <c r="I193" s="24">
        <f t="shared" si="36"/>
        <v>0.09</v>
      </c>
      <c r="J193" s="719"/>
      <c r="K193" s="24">
        <f t="shared" si="37"/>
        <v>0</v>
      </c>
      <c r="L193" s="719"/>
      <c r="M193" s="24">
        <f t="shared" si="38"/>
        <v>0.2</v>
      </c>
      <c r="N193" s="719"/>
      <c r="O193" s="24">
        <f t="shared" si="39"/>
        <v>0.2</v>
      </c>
      <c r="P193" s="719"/>
      <c r="Q193" s="24">
        <f t="shared" si="40"/>
        <v>0</v>
      </c>
      <c r="R193" s="715">
        <f t="shared" si="41"/>
        <v>0</v>
      </c>
      <c r="S193" s="361">
        <f t="shared" si="42"/>
        <v>0</v>
      </c>
    </row>
    <row r="194" spans="1:19">
      <c r="A194" s="159"/>
      <c r="B194" s="59"/>
      <c r="C194" s="24">
        <f t="shared" si="33"/>
        <v>1</v>
      </c>
      <c r="D194" s="719"/>
      <c r="E194" s="24">
        <f t="shared" si="34"/>
        <v>0.06</v>
      </c>
      <c r="F194" s="719"/>
      <c r="G194" s="24">
        <f t="shared" si="35"/>
        <v>0.02</v>
      </c>
      <c r="H194" s="719"/>
      <c r="I194" s="24">
        <f t="shared" si="36"/>
        <v>0.09</v>
      </c>
      <c r="J194" s="719"/>
      <c r="K194" s="24">
        <f t="shared" si="37"/>
        <v>0</v>
      </c>
      <c r="L194" s="719"/>
      <c r="M194" s="24">
        <f t="shared" si="38"/>
        <v>0.2</v>
      </c>
      <c r="N194" s="719"/>
      <c r="O194" s="24">
        <f t="shared" si="39"/>
        <v>0.2</v>
      </c>
      <c r="P194" s="719"/>
      <c r="Q194" s="24">
        <f t="shared" si="40"/>
        <v>0</v>
      </c>
      <c r="R194" s="715">
        <f t="shared" si="41"/>
        <v>0</v>
      </c>
      <c r="S194" s="361">
        <f t="shared" si="42"/>
        <v>0</v>
      </c>
    </row>
    <row r="195" spans="1:19">
      <c r="A195" s="159"/>
      <c r="B195" s="59"/>
      <c r="C195" s="24">
        <f t="shared" si="33"/>
        <v>1</v>
      </c>
      <c r="D195" s="719"/>
      <c r="E195" s="24">
        <f t="shared" si="34"/>
        <v>0.06</v>
      </c>
      <c r="F195" s="719"/>
      <c r="G195" s="24">
        <f t="shared" si="35"/>
        <v>0.02</v>
      </c>
      <c r="H195" s="719"/>
      <c r="I195" s="24">
        <f t="shared" si="36"/>
        <v>0.09</v>
      </c>
      <c r="J195" s="719"/>
      <c r="K195" s="24">
        <f t="shared" si="37"/>
        <v>0</v>
      </c>
      <c r="L195" s="719"/>
      <c r="M195" s="24">
        <f t="shared" si="38"/>
        <v>0.2</v>
      </c>
      <c r="N195" s="719"/>
      <c r="O195" s="24">
        <f t="shared" si="39"/>
        <v>0.2</v>
      </c>
      <c r="P195" s="719"/>
      <c r="Q195" s="24">
        <f t="shared" si="40"/>
        <v>0</v>
      </c>
      <c r="R195" s="715">
        <f t="shared" si="41"/>
        <v>0</v>
      </c>
      <c r="S195" s="361">
        <f t="shared" si="42"/>
        <v>0</v>
      </c>
    </row>
    <row r="196" spans="1:19">
      <c r="A196" s="159"/>
      <c r="B196" s="59"/>
      <c r="C196" s="24">
        <f t="shared" si="33"/>
        <v>1</v>
      </c>
      <c r="D196" s="719"/>
      <c r="E196" s="24">
        <f t="shared" si="34"/>
        <v>0.06</v>
      </c>
      <c r="F196" s="719"/>
      <c r="G196" s="24">
        <f t="shared" si="35"/>
        <v>0.02</v>
      </c>
      <c r="H196" s="719"/>
      <c r="I196" s="24">
        <f t="shared" si="36"/>
        <v>0.09</v>
      </c>
      <c r="J196" s="719"/>
      <c r="K196" s="24">
        <f t="shared" si="37"/>
        <v>0</v>
      </c>
      <c r="L196" s="719"/>
      <c r="M196" s="24">
        <f t="shared" si="38"/>
        <v>0.2</v>
      </c>
      <c r="N196" s="719"/>
      <c r="O196" s="24">
        <f t="shared" si="39"/>
        <v>0.2</v>
      </c>
      <c r="P196" s="719"/>
      <c r="Q196" s="24">
        <f t="shared" si="40"/>
        <v>0</v>
      </c>
      <c r="R196" s="715">
        <f t="shared" si="41"/>
        <v>0</v>
      </c>
      <c r="S196" s="361">
        <f t="shared" si="42"/>
        <v>0</v>
      </c>
    </row>
    <row r="197" spans="1:19">
      <c r="A197" s="159"/>
      <c r="B197" s="59"/>
      <c r="C197" s="24">
        <f t="shared" si="33"/>
        <v>1</v>
      </c>
      <c r="D197" s="719"/>
      <c r="E197" s="24">
        <f t="shared" si="34"/>
        <v>0.06</v>
      </c>
      <c r="F197" s="719"/>
      <c r="G197" s="24">
        <f t="shared" si="35"/>
        <v>0.02</v>
      </c>
      <c r="H197" s="719"/>
      <c r="I197" s="24">
        <f t="shared" si="36"/>
        <v>0.09</v>
      </c>
      <c r="J197" s="719"/>
      <c r="K197" s="24">
        <f t="shared" si="37"/>
        <v>0</v>
      </c>
      <c r="L197" s="719"/>
      <c r="M197" s="24">
        <f t="shared" si="38"/>
        <v>0.2</v>
      </c>
      <c r="N197" s="719"/>
      <c r="O197" s="24">
        <f t="shared" si="39"/>
        <v>0.2</v>
      </c>
      <c r="P197" s="719"/>
      <c r="Q197" s="24">
        <f t="shared" si="40"/>
        <v>0</v>
      </c>
      <c r="R197" s="715">
        <f t="shared" si="41"/>
        <v>0</v>
      </c>
      <c r="S197" s="361">
        <f t="shared" si="42"/>
        <v>0</v>
      </c>
    </row>
    <row r="198" spans="1:19">
      <c r="A198" s="159"/>
      <c r="B198" s="59"/>
      <c r="C198" s="24">
        <f t="shared" si="33"/>
        <v>1</v>
      </c>
      <c r="D198" s="719"/>
      <c r="E198" s="24">
        <f t="shared" si="34"/>
        <v>0.06</v>
      </c>
      <c r="F198" s="719"/>
      <c r="G198" s="24">
        <f t="shared" si="35"/>
        <v>0.02</v>
      </c>
      <c r="H198" s="719"/>
      <c r="I198" s="24">
        <f t="shared" si="36"/>
        <v>0.09</v>
      </c>
      <c r="J198" s="719"/>
      <c r="K198" s="24">
        <f t="shared" si="37"/>
        <v>0</v>
      </c>
      <c r="L198" s="719"/>
      <c r="M198" s="24">
        <f t="shared" si="38"/>
        <v>0.2</v>
      </c>
      <c r="N198" s="719"/>
      <c r="O198" s="24">
        <f t="shared" si="39"/>
        <v>0.2</v>
      </c>
      <c r="P198" s="719"/>
      <c r="Q198" s="24">
        <f t="shared" si="40"/>
        <v>0</v>
      </c>
      <c r="R198" s="715">
        <f t="shared" si="41"/>
        <v>0</v>
      </c>
      <c r="S198" s="361">
        <f t="shared" si="42"/>
        <v>0</v>
      </c>
    </row>
    <row r="199" spans="1:19">
      <c r="A199" s="159"/>
      <c r="B199" s="59"/>
      <c r="C199" s="24">
        <f t="shared" si="33"/>
        <v>1</v>
      </c>
      <c r="D199" s="719"/>
      <c r="E199" s="24">
        <f t="shared" si="34"/>
        <v>0.06</v>
      </c>
      <c r="F199" s="719"/>
      <c r="G199" s="24">
        <f t="shared" si="35"/>
        <v>0.02</v>
      </c>
      <c r="H199" s="719"/>
      <c r="I199" s="24">
        <f t="shared" si="36"/>
        <v>0.09</v>
      </c>
      <c r="J199" s="719"/>
      <c r="K199" s="24">
        <f t="shared" si="37"/>
        <v>0</v>
      </c>
      <c r="L199" s="719"/>
      <c r="M199" s="24">
        <f t="shared" si="38"/>
        <v>0.2</v>
      </c>
      <c r="N199" s="719"/>
      <c r="O199" s="24">
        <f t="shared" si="39"/>
        <v>0.2</v>
      </c>
      <c r="P199" s="719"/>
      <c r="Q199" s="24">
        <f t="shared" si="40"/>
        <v>0</v>
      </c>
      <c r="R199" s="715">
        <f t="shared" si="41"/>
        <v>0</v>
      </c>
      <c r="S199" s="361">
        <f t="shared" si="42"/>
        <v>0</v>
      </c>
    </row>
    <row r="200" spans="1:19">
      <c r="A200" s="159"/>
      <c r="B200" s="59"/>
      <c r="C200" s="24">
        <f t="shared" si="33"/>
        <v>1</v>
      </c>
      <c r="D200" s="719"/>
      <c r="E200" s="24">
        <f t="shared" si="34"/>
        <v>0.06</v>
      </c>
      <c r="F200" s="719"/>
      <c r="G200" s="24">
        <f t="shared" si="35"/>
        <v>0.02</v>
      </c>
      <c r="H200" s="719"/>
      <c r="I200" s="24">
        <f t="shared" si="36"/>
        <v>0.09</v>
      </c>
      <c r="J200" s="719"/>
      <c r="K200" s="24">
        <f t="shared" si="37"/>
        <v>0</v>
      </c>
      <c r="L200" s="719"/>
      <c r="M200" s="24">
        <f t="shared" si="38"/>
        <v>0.2</v>
      </c>
      <c r="N200" s="719"/>
      <c r="O200" s="24">
        <f t="shared" si="39"/>
        <v>0.2</v>
      </c>
      <c r="P200" s="719"/>
      <c r="Q200" s="24">
        <f t="shared" si="40"/>
        <v>0</v>
      </c>
      <c r="R200" s="715">
        <f t="shared" si="41"/>
        <v>0</v>
      </c>
      <c r="S200" s="361">
        <f t="shared" si="42"/>
        <v>0</v>
      </c>
    </row>
    <row r="201" spans="1:19">
      <c r="A201" s="159"/>
      <c r="B201" s="59"/>
      <c r="C201" s="24">
        <f t="shared" si="33"/>
        <v>1</v>
      </c>
      <c r="D201" s="719"/>
      <c r="E201" s="24">
        <f t="shared" si="34"/>
        <v>0.06</v>
      </c>
      <c r="F201" s="719"/>
      <c r="G201" s="24">
        <f t="shared" si="35"/>
        <v>0.02</v>
      </c>
      <c r="H201" s="719"/>
      <c r="I201" s="24">
        <f t="shared" si="36"/>
        <v>0.09</v>
      </c>
      <c r="J201" s="719"/>
      <c r="K201" s="24">
        <f t="shared" si="37"/>
        <v>0</v>
      </c>
      <c r="L201" s="719"/>
      <c r="M201" s="24">
        <f t="shared" si="38"/>
        <v>0.2</v>
      </c>
      <c r="N201" s="719"/>
      <c r="O201" s="24">
        <f t="shared" si="39"/>
        <v>0.2</v>
      </c>
      <c r="P201" s="719"/>
      <c r="Q201" s="24">
        <f t="shared" si="40"/>
        <v>0</v>
      </c>
      <c r="R201" s="715">
        <f t="shared" si="41"/>
        <v>0</v>
      </c>
      <c r="S201" s="361">
        <f t="shared" si="42"/>
        <v>0</v>
      </c>
    </row>
    <row r="202" spans="1:19">
      <c r="A202" s="159"/>
      <c r="B202" s="59"/>
      <c r="C202" s="24">
        <f t="shared" si="33"/>
        <v>1</v>
      </c>
      <c r="D202" s="719"/>
      <c r="E202" s="24">
        <f t="shared" si="34"/>
        <v>0.06</v>
      </c>
      <c r="F202" s="719"/>
      <c r="G202" s="24">
        <f t="shared" si="35"/>
        <v>0.02</v>
      </c>
      <c r="H202" s="719"/>
      <c r="I202" s="24">
        <f t="shared" si="36"/>
        <v>0.09</v>
      </c>
      <c r="J202" s="719"/>
      <c r="K202" s="24">
        <f t="shared" si="37"/>
        <v>0</v>
      </c>
      <c r="L202" s="719"/>
      <c r="M202" s="24">
        <f t="shared" si="38"/>
        <v>0.2</v>
      </c>
      <c r="N202" s="719"/>
      <c r="O202" s="24">
        <f t="shared" si="39"/>
        <v>0.2</v>
      </c>
      <c r="P202" s="719"/>
      <c r="Q202" s="24">
        <f t="shared" si="40"/>
        <v>0</v>
      </c>
      <c r="R202" s="715">
        <f t="shared" si="41"/>
        <v>0</v>
      </c>
      <c r="S202" s="361">
        <f t="shared" si="42"/>
        <v>0</v>
      </c>
    </row>
    <row r="203" spans="1:19">
      <c r="A203" s="159"/>
      <c r="B203" s="59"/>
      <c r="C203" s="24">
        <f t="shared" si="33"/>
        <v>1</v>
      </c>
      <c r="D203" s="719"/>
      <c r="E203" s="24">
        <f t="shared" si="34"/>
        <v>0.06</v>
      </c>
      <c r="F203" s="719"/>
      <c r="G203" s="24">
        <f t="shared" si="35"/>
        <v>0.02</v>
      </c>
      <c r="H203" s="719"/>
      <c r="I203" s="24">
        <f t="shared" si="36"/>
        <v>0.09</v>
      </c>
      <c r="J203" s="719"/>
      <c r="K203" s="24">
        <f t="shared" si="37"/>
        <v>0</v>
      </c>
      <c r="L203" s="719"/>
      <c r="M203" s="24">
        <f t="shared" si="38"/>
        <v>0.2</v>
      </c>
      <c r="N203" s="719"/>
      <c r="O203" s="24">
        <f t="shared" si="39"/>
        <v>0.2</v>
      </c>
      <c r="P203" s="719"/>
      <c r="Q203" s="24">
        <f t="shared" si="40"/>
        <v>0</v>
      </c>
      <c r="R203" s="715">
        <f t="shared" si="41"/>
        <v>0</v>
      </c>
      <c r="S203" s="361">
        <f t="shared" si="42"/>
        <v>0</v>
      </c>
    </row>
    <row r="204" spans="1:19">
      <c r="A204" s="159"/>
      <c r="B204" s="59"/>
      <c r="C204" s="24">
        <f t="shared" si="33"/>
        <v>1</v>
      </c>
      <c r="D204" s="719"/>
      <c r="E204" s="24">
        <f t="shared" si="34"/>
        <v>0.06</v>
      </c>
      <c r="F204" s="719"/>
      <c r="G204" s="24">
        <f t="shared" si="35"/>
        <v>0.02</v>
      </c>
      <c r="H204" s="719"/>
      <c r="I204" s="24">
        <f t="shared" si="36"/>
        <v>0.09</v>
      </c>
      <c r="J204" s="719"/>
      <c r="K204" s="24">
        <f t="shared" si="37"/>
        <v>0</v>
      </c>
      <c r="L204" s="719"/>
      <c r="M204" s="24">
        <f t="shared" si="38"/>
        <v>0.2</v>
      </c>
      <c r="N204" s="719"/>
      <c r="O204" s="24">
        <f t="shared" si="39"/>
        <v>0.2</v>
      </c>
      <c r="P204" s="719"/>
      <c r="Q204" s="24">
        <f t="shared" si="40"/>
        <v>0</v>
      </c>
      <c r="R204" s="715">
        <f t="shared" si="41"/>
        <v>0</v>
      </c>
      <c r="S204" s="361">
        <f t="shared" si="42"/>
        <v>0</v>
      </c>
    </row>
    <row r="205" spans="1:19">
      <c r="A205" s="159"/>
      <c r="B205" s="59"/>
      <c r="C205" s="24">
        <f t="shared" si="33"/>
        <v>1</v>
      </c>
      <c r="D205" s="719"/>
      <c r="E205" s="24">
        <f t="shared" si="34"/>
        <v>0.06</v>
      </c>
      <c r="F205" s="719"/>
      <c r="G205" s="24">
        <f t="shared" si="35"/>
        <v>0.02</v>
      </c>
      <c r="H205" s="719"/>
      <c r="I205" s="24">
        <f t="shared" si="36"/>
        <v>0.09</v>
      </c>
      <c r="J205" s="719"/>
      <c r="K205" s="24">
        <f t="shared" si="37"/>
        <v>0</v>
      </c>
      <c r="L205" s="719"/>
      <c r="M205" s="24">
        <f t="shared" si="38"/>
        <v>0.2</v>
      </c>
      <c r="N205" s="719"/>
      <c r="O205" s="24">
        <f t="shared" si="39"/>
        <v>0.2</v>
      </c>
      <c r="P205" s="719"/>
      <c r="Q205" s="24">
        <f t="shared" si="40"/>
        <v>0</v>
      </c>
      <c r="R205" s="715">
        <f t="shared" si="41"/>
        <v>0</v>
      </c>
      <c r="S205" s="361">
        <f t="shared" si="42"/>
        <v>0</v>
      </c>
    </row>
    <row r="206" spans="1:19">
      <c r="A206" s="159"/>
      <c r="B206" s="59"/>
      <c r="C206" s="24">
        <f t="shared" si="33"/>
        <v>1</v>
      </c>
      <c r="D206" s="719"/>
      <c r="E206" s="24">
        <f t="shared" si="34"/>
        <v>0.06</v>
      </c>
      <c r="F206" s="719"/>
      <c r="G206" s="24">
        <f t="shared" si="35"/>
        <v>0.02</v>
      </c>
      <c r="H206" s="719"/>
      <c r="I206" s="24">
        <f t="shared" si="36"/>
        <v>0.09</v>
      </c>
      <c r="J206" s="719"/>
      <c r="K206" s="24">
        <f t="shared" si="37"/>
        <v>0</v>
      </c>
      <c r="L206" s="719"/>
      <c r="M206" s="24">
        <f t="shared" si="38"/>
        <v>0.2</v>
      </c>
      <c r="N206" s="719"/>
      <c r="O206" s="24">
        <f t="shared" si="39"/>
        <v>0.2</v>
      </c>
      <c r="P206" s="719"/>
      <c r="Q206" s="24">
        <f t="shared" si="40"/>
        <v>0</v>
      </c>
      <c r="R206" s="715">
        <f t="shared" si="41"/>
        <v>0</v>
      </c>
      <c r="S206" s="361">
        <f t="shared" si="42"/>
        <v>0</v>
      </c>
    </row>
    <row r="207" spans="1:19">
      <c r="A207" s="159"/>
      <c r="B207" s="59"/>
      <c r="C207" s="24">
        <f t="shared" si="33"/>
        <v>1</v>
      </c>
      <c r="D207" s="719"/>
      <c r="E207" s="24">
        <f t="shared" si="34"/>
        <v>0.06</v>
      </c>
      <c r="F207" s="719"/>
      <c r="G207" s="24">
        <f t="shared" si="35"/>
        <v>0.02</v>
      </c>
      <c r="H207" s="719"/>
      <c r="I207" s="24">
        <f t="shared" si="36"/>
        <v>0.09</v>
      </c>
      <c r="J207" s="719"/>
      <c r="K207" s="24">
        <f t="shared" si="37"/>
        <v>0</v>
      </c>
      <c r="L207" s="719"/>
      <c r="M207" s="24">
        <f t="shared" si="38"/>
        <v>0.2</v>
      </c>
      <c r="N207" s="719"/>
      <c r="O207" s="24">
        <f t="shared" si="39"/>
        <v>0.2</v>
      </c>
      <c r="P207" s="719"/>
      <c r="Q207" s="24">
        <f t="shared" si="40"/>
        <v>0</v>
      </c>
      <c r="R207" s="715">
        <f t="shared" si="41"/>
        <v>0</v>
      </c>
      <c r="S207" s="361">
        <f t="shared" si="42"/>
        <v>0</v>
      </c>
    </row>
    <row r="208" spans="1:19">
      <c r="A208" s="159"/>
      <c r="B208" s="59"/>
      <c r="C208" s="24">
        <f t="shared" si="33"/>
        <v>1</v>
      </c>
      <c r="D208" s="719"/>
      <c r="E208" s="24">
        <f t="shared" si="34"/>
        <v>0.06</v>
      </c>
      <c r="F208" s="719"/>
      <c r="G208" s="24">
        <f t="shared" si="35"/>
        <v>0.02</v>
      </c>
      <c r="H208" s="719"/>
      <c r="I208" s="24">
        <f t="shared" si="36"/>
        <v>0.09</v>
      </c>
      <c r="J208" s="719"/>
      <c r="K208" s="24">
        <f t="shared" si="37"/>
        <v>0</v>
      </c>
      <c r="L208" s="719"/>
      <c r="M208" s="24">
        <f t="shared" si="38"/>
        <v>0.2</v>
      </c>
      <c r="N208" s="719"/>
      <c r="O208" s="24">
        <f t="shared" si="39"/>
        <v>0.2</v>
      </c>
      <c r="P208" s="719"/>
      <c r="Q208" s="24">
        <f t="shared" si="40"/>
        <v>0</v>
      </c>
      <c r="R208" s="715">
        <f t="shared" si="41"/>
        <v>0</v>
      </c>
      <c r="S208" s="361">
        <f t="shared" si="42"/>
        <v>0</v>
      </c>
    </row>
    <row r="209" spans="1:19">
      <c r="A209" s="159"/>
      <c r="B209" s="59"/>
      <c r="C209" s="24">
        <f t="shared" si="33"/>
        <v>1</v>
      </c>
      <c r="D209" s="719"/>
      <c r="E209" s="24">
        <f t="shared" si="34"/>
        <v>0.06</v>
      </c>
      <c r="F209" s="719"/>
      <c r="G209" s="24">
        <f t="shared" si="35"/>
        <v>0.02</v>
      </c>
      <c r="H209" s="719"/>
      <c r="I209" s="24">
        <f t="shared" si="36"/>
        <v>0.09</v>
      </c>
      <c r="J209" s="719"/>
      <c r="K209" s="24">
        <f t="shared" si="37"/>
        <v>0</v>
      </c>
      <c r="L209" s="719"/>
      <c r="M209" s="24">
        <f t="shared" si="38"/>
        <v>0.2</v>
      </c>
      <c r="N209" s="719"/>
      <c r="O209" s="24">
        <f t="shared" si="39"/>
        <v>0.2</v>
      </c>
      <c r="P209" s="719"/>
      <c r="Q209" s="24">
        <f t="shared" si="40"/>
        <v>0</v>
      </c>
      <c r="R209" s="715">
        <f t="shared" si="41"/>
        <v>0</v>
      </c>
      <c r="S209" s="361">
        <f t="shared" si="42"/>
        <v>0</v>
      </c>
    </row>
    <row r="210" spans="1:19">
      <c r="A210" s="159"/>
      <c r="B210" s="59"/>
      <c r="C210" s="24">
        <f t="shared" si="33"/>
        <v>1</v>
      </c>
      <c r="D210" s="719"/>
      <c r="E210" s="24">
        <f t="shared" si="34"/>
        <v>0.06</v>
      </c>
      <c r="F210" s="719"/>
      <c r="G210" s="24">
        <f t="shared" si="35"/>
        <v>0.02</v>
      </c>
      <c r="H210" s="719"/>
      <c r="I210" s="24">
        <f t="shared" si="36"/>
        <v>0.09</v>
      </c>
      <c r="J210" s="719"/>
      <c r="K210" s="24">
        <f t="shared" si="37"/>
        <v>0</v>
      </c>
      <c r="L210" s="719"/>
      <c r="M210" s="24">
        <f t="shared" si="38"/>
        <v>0.2</v>
      </c>
      <c r="N210" s="719"/>
      <c r="O210" s="24">
        <f t="shared" si="39"/>
        <v>0.2</v>
      </c>
      <c r="P210" s="719"/>
      <c r="Q210" s="24">
        <f t="shared" si="40"/>
        <v>0</v>
      </c>
      <c r="R210" s="715">
        <f t="shared" si="41"/>
        <v>0</v>
      </c>
      <c r="S210" s="361">
        <f t="shared" si="42"/>
        <v>0</v>
      </c>
    </row>
    <row r="211" spans="1:19">
      <c r="A211" s="159"/>
      <c r="B211" s="59"/>
      <c r="C211" s="24">
        <f t="shared" si="33"/>
        <v>1</v>
      </c>
      <c r="D211" s="719"/>
      <c r="E211" s="24">
        <f t="shared" si="34"/>
        <v>0.06</v>
      </c>
      <c r="F211" s="719"/>
      <c r="G211" s="24">
        <f t="shared" si="35"/>
        <v>0.02</v>
      </c>
      <c r="H211" s="719"/>
      <c r="I211" s="24">
        <f t="shared" si="36"/>
        <v>0.09</v>
      </c>
      <c r="J211" s="719"/>
      <c r="K211" s="24">
        <f t="shared" si="37"/>
        <v>0</v>
      </c>
      <c r="L211" s="719"/>
      <c r="M211" s="24">
        <f t="shared" si="38"/>
        <v>0.2</v>
      </c>
      <c r="N211" s="719"/>
      <c r="O211" s="24">
        <f t="shared" si="39"/>
        <v>0.2</v>
      </c>
      <c r="P211" s="719"/>
      <c r="Q211" s="24">
        <f t="shared" si="40"/>
        <v>0</v>
      </c>
      <c r="R211" s="715">
        <f t="shared" si="41"/>
        <v>0</v>
      </c>
      <c r="S211" s="361">
        <f t="shared" si="42"/>
        <v>0</v>
      </c>
    </row>
    <row r="212" spans="1:19">
      <c r="A212" s="159"/>
      <c r="B212" s="59"/>
      <c r="C212" s="24">
        <f t="shared" si="33"/>
        <v>1</v>
      </c>
      <c r="D212" s="719"/>
      <c r="E212" s="24">
        <f t="shared" si="34"/>
        <v>0.06</v>
      </c>
      <c r="F212" s="719"/>
      <c r="G212" s="24">
        <f t="shared" si="35"/>
        <v>0.02</v>
      </c>
      <c r="H212" s="719"/>
      <c r="I212" s="24">
        <f t="shared" si="36"/>
        <v>0.09</v>
      </c>
      <c r="J212" s="719"/>
      <c r="K212" s="24">
        <f t="shared" si="37"/>
        <v>0</v>
      </c>
      <c r="L212" s="719"/>
      <c r="M212" s="24">
        <f t="shared" si="38"/>
        <v>0.2</v>
      </c>
      <c r="N212" s="719"/>
      <c r="O212" s="24">
        <f t="shared" si="39"/>
        <v>0.2</v>
      </c>
      <c r="P212" s="719"/>
      <c r="Q212" s="24">
        <f t="shared" si="40"/>
        <v>0</v>
      </c>
      <c r="R212" s="715">
        <f t="shared" si="41"/>
        <v>0</v>
      </c>
      <c r="S212" s="361">
        <f t="shared" si="42"/>
        <v>0</v>
      </c>
    </row>
    <row r="213" spans="1:19">
      <c r="A213" s="159"/>
      <c r="B213" s="59"/>
      <c r="C213" s="24">
        <f t="shared" si="33"/>
        <v>1</v>
      </c>
      <c r="D213" s="719"/>
      <c r="E213" s="24">
        <f t="shared" si="34"/>
        <v>0.06</v>
      </c>
      <c r="F213" s="719"/>
      <c r="G213" s="24">
        <f t="shared" si="35"/>
        <v>0.02</v>
      </c>
      <c r="H213" s="719"/>
      <c r="I213" s="24">
        <f t="shared" si="36"/>
        <v>0.09</v>
      </c>
      <c r="J213" s="719"/>
      <c r="K213" s="24">
        <f t="shared" si="37"/>
        <v>0</v>
      </c>
      <c r="L213" s="719"/>
      <c r="M213" s="24">
        <f t="shared" si="38"/>
        <v>0.2</v>
      </c>
      <c r="N213" s="719"/>
      <c r="O213" s="24">
        <f t="shared" si="39"/>
        <v>0.2</v>
      </c>
      <c r="P213" s="719"/>
      <c r="Q213" s="24">
        <f t="shared" si="40"/>
        <v>0</v>
      </c>
      <c r="R213" s="715">
        <f t="shared" si="41"/>
        <v>0</v>
      </c>
      <c r="S213" s="361">
        <f t="shared" si="42"/>
        <v>0</v>
      </c>
    </row>
    <row r="214" spans="1:19">
      <c r="A214" s="159"/>
      <c r="B214" s="59"/>
      <c r="C214" s="24">
        <f t="shared" si="33"/>
        <v>1</v>
      </c>
      <c r="D214" s="719"/>
      <c r="E214" s="24">
        <f t="shared" si="34"/>
        <v>0.06</v>
      </c>
      <c r="F214" s="719"/>
      <c r="G214" s="24">
        <f t="shared" si="35"/>
        <v>0.02</v>
      </c>
      <c r="H214" s="719"/>
      <c r="I214" s="24">
        <f t="shared" si="36"/>
        <v>0.09</v>
      </c>
      <c r="J214" s="719"/>
      <c r="K214" s="24">
        <f t="shared" si="37"/>
        <v>0</v>
      </c>
      <c r="L214" s="719"/>
      <c r="M214" s="24">
        <f t="shared" si="38"/>
        <v>0.2</v>
      </c>
      <c r="N214" s="719"/>
      <c r="O214" s="24">
        <f t="shared" si="39"/>
        <v>0.2</v>
      </c>
      <c r="P214" s="719"/>
      <c r="Q214" s="24">
        <f t="shared" si="40"/>
        <v>0</v>
      </c>
      <c r="R214" s="715">
        <f t="shared" si="41"/>
        <v>0</v>
      </c>
      <c r="S214" s="361">
        <f t="shared" si="42"/>
        <v>0</v>
      </c>
    </row>
    <row r="215" spans="1:19">
      <c r="A215" s="159"/>
      <c r="B215" s="59"/>
      <c r="C215" s="24">
        <f t="shared" si="33"/>
        <v>1</v>
      </c>
      <c r="D215" s="719"/>
      <c r="E215" s="24">
        <f t="shared" si="34"/>
        <v>0.06</v>
      </c>
      <c r="F215" s="719"/>
      <c r="G215" s="24">
        <f t="shared" si="35"/>
        <v>0.02</v>
      </c>
      <c r="H215" s="719"/>
      <c r="I215" s="24">
        <f t="shared" si="36"/>
        <v>0.09</v>
      </c>
      <c r="J215" s="719"/>
      <c r="K215" s="24">
        <f t="shared" si="37"/>
        <v>0</v>
      </c>
      <c r="L215" s="719"/>
      <c r="M215" s="24">
        <f t="shared" si="38"/>
        <v>0.2</v>
      </c>
      <c r="N215" s="719"/>
      <c r="O215" s="24">
        <f t="shared" si="39"/>
        <v>0.2</v>
      </c>
      <c r="P215" s="719"/>
      <c r="Q215" s="24">
        <f t="shared" si="40"/>
        <v>0</v>
      </c>
      <c r="R215" s="715">
        <f t="shared" si="41"/>
        <v>0</v>
      </c>
      <c r="S215" s="361">
        <f t="shared" si="42"/>
        <v>0</v>
      </c>
    </row>
    <row r="216" spans="1:19">
      <c r="A216" s="159"/>
      <c r="B216" s="59"/>
      <c r="C216" s="24">
        <f t="shared" si="33"/>
        <v>1</v>
      </c>
      <c r="D216" s="719"/>
      <c r="E216" s="24">
        <f t="shared" si="34"/>
        <v>0.06</v>
      </c>
      <c r="F216" s="719"/>
      <c r="G216" s="24">
        <f t="shared" si="35"/>
        <v>0.02</v>
      </c>
      <c r="H216" s="719"/>
      <c r="I216" s="24">
        <f t="shared" si="36"/>
        <v>0.09</v>
      </c>
      <c r="J216" s="719"/>
      <c r="K216" s="24">
        <f t="shared" si="37"/>
        <v>0</v>
      </c>
      <c r="L216" s="719"/>
      <c r="M216" s="24">
        <f t="shared" si="38"/>
        <v>0.2</v>
      </c>
      <c r="N216" s="719"/>
      <c r="O216" s="24">
        <f t="shared" si="39"/>
        <v>0.2</v>
      </c>
      <c r="P216" s="719"/>
      <c r="Q216" s="24">
        <f t="shared" si="40"/>
        <v>0</v>
      </c>
      <c r="R216" s="715">
        <f t="shared" si="41"/>
        <v>0</v>
      </c>
      <c r="S216" s="361">
        <f t="shared" si="42"/>
        <v>0</v>
      </c>
    </row>
    <row r="217" spans="1:19">
      <c r="A217" s="159"/>
      <c r="B217" s="59"/>
      <c r="C217" s="24">
        <f t="shared" si="33"/>
        <v>1</v>
      </c>
      <c r="D217" s="719"/>
      <c r="E217" s="24">
        <f t="shared" si="34"/>
        <v>0.06</v>
      </c>
      <c r="F217" s="719"/>
      <c r="G217" s="24">
        <f t="shared" si="35"/>
        <v>0.02</v>
      </c>
      <c r="H217" s="719"/>
      <c r="I217" s="24">
        <f t="shared" si="36"/>
        <v>0.09</v>
      </c>
      <c r="J217" s="719"/>
      <c r="K217" s="24">
        <f t="shared" si="37"/>
        <v>0</v>
      </c>
      <c r="L217" s="719"/>
      <c r="M217" s="24">
        <f t="shared" si="38"/>
        <v>0.2</v>
      </c>
      <c r="N217" s="719"/>
      <c r="O217" s="24">
        <f t="shared" si="39"/>
        <v>0.2</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0.06</v>
      </c>
      <c r="F218" s="719"/>
      <c r="G218" s="24">
        <f t="shared" ref="G218:G281" si="45">(SUMIF($7:$7,F218,$8:$8)-SUMIF($7:$7,$F$24,$8:$8)+100)/100</f>
        <v>0.02</v>
      </c>
      <c r="H218" s="719"/>
      <c r="I218" s="24">
        <f t="shared" ref="I218:I281" si="46">(SUMIF($9:$9,H218,$10:$10)-SUMIF($9:$9,$H$24,$10:$10)+100)/100</f>
        <v>0.09</v>
      </c>
      <c r="J218" s="719"/>
      <c r="K218" s="24">
        <f t="shared" ref="K218:K281" si="47">(SUMIF($11:$11,J218,$12:$12)-SUMIF($11:$11,$J$24,$12:$12)+100)/100</f>
        <v>0</v>
      </c>
      <c r="L218" s="719"/>
      <c r="M218" s="24">
        <f t="shared" ref="M218:M281" si="48">(SUMIF($13:$13,L218,$14:$14)-SUMIF($13:$13,$L$24,$14:$14)+100)/100</f>
        <v>0.2</v>
      </c>
      <c r="N218" s="719"/>
      <c r="O218" s="24">
        <f t="shared" ref="O218:O281" si="49">(SUMIF($15:$15,N218,$16:$16)-SUMIF($15:$15,$N$24,$16:$16)+100)/100</f>
        <v>0.2</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0.06</v>
      </c>
      <c r="F219" s="719"/>
      <c r="G219" s="24">
        <f t="shared" si="45"/>
        <v>0.02</v>
      </c>
      <c r="H219" s="719"/>
      <c r="I219" s="24">
        <f t="shared" si="46"/>
        <v>0.09</v>
      </c>
      <c r="J219" s="719"/>
      <c r="K219" s="24">
        <f t="shared" si="47"/>
        <v>0</v>
      </c>
      <c r="L219" s="719"/>
      <c r="M219" s="24">
        <f t="shared" si="48"/>
        <v>0.2</v>
      </c>
      <c r="N219" s="719"/>
      <c r="O219" s="24">
        <f t="shared" si="49"/>
        <v>0.2</v>
      </c>
      <c r="P219" s="719"/>
      <c r="Q219" s="24">
        <f t="shared" si="50"/>
        <v>0</v>
      </c>
      <c r="R219" s="715">
        <f t="shared" si="51"/>
        <v>0</v>
      </c>
      <c r="S219" s="361">
        <f t="shared" si="42"/>
        <v>0</v>
      </c>
    </row>
    <row r="220" spans="1:19">
      <c r="A220" s="159"/>
      <c r="B220" s="59"/>
      <c r="C220" s="24">
        <f t="shared" si="43"/>
        <v>1</v>
      </c>
      <c r="D220" s="719"/>
      <c r="E220" s="24">
        <f t="shared" si="44"/>
        <v>0.06</v>
      </c>
      <c r="F220" s="719"/>
      <c r="G220" s="24">
        <f t="shared" si="45"/>
        <v>0.02</v>
      </c>
      <c r="H220" s="719"/>
      <c r="I220" s="24">
        <f t="shared" si="46"/>
        <v>0.09</v>
      </c>
      <c r="J220" s="719"/>
      <c r="K220" s="24">
        <f t="shared" si="47"/>
        <v>0</v>
      </c>
      <c r="L220" s="719"/>
      <c r="M220" s="24">
        <f t="shared" si="48"/>
        <v>0.2</v>
      </c>
      <c r="N220" s="719"/>
      <c r="O220" s="24">
        <f t="shared" si="49"/>
        <v>0.2</v>
      </c>
      <c r="P220" s="719"/>
      <c r="Q220" s="24">
        <f t="shared" si="50"/>
        <v>0</v>
      </c>
      <c r="R220" s="715">
        <f t="shared" si="51"/>
        <v>0</v>
      </c>
      <c r="S220" s="361">
        <f t="shared" si="42"/>
        <v>0</v>
      </c>
    </row>
    <row r="221" spans="1:19">
      <c r="A221" s="159"/>
      <c r="B221" s="59"/>
      <c r="C221" s="24">
        <f t="shared" si="43"/>
        <v>1</v>
      </c>
      <c r="D221" s="719"/>
      <c r="E221" s="24">
        <f t="shared" si="44"/>
        <v>0.06</v>
      </c>
      <c r="F221" s="719"/>
      <c r="G221" s="24">
        <f t="shared" si="45"/>
        <v>0.02</v>
      </c>
      <c r="H221" s="719"/>
      <c r="I221" s="24">
        <f t="shared" si="46"/>
        <v>0.09</v>
      </c>
      <c r="J221" s="719"/>
      <c r="K221" s="24">
        <f t="shared" si="47"/>
        <v>0</v>
      </c>
      <c r="L221" s="719"/>
      <c r="M221" s="24">
        <f t="shared" si="48"/>
        <v>0.2</v>
      </c>
      <c r="N221" s="719"/>
      <c r="O221" s="24">
        <f t="shared" si="49"/>
        <v>0.2</v>
      </c>
      <c r="P221" s="719"/>
      <c r="Q221" s="24">
        <f t="shared" si="50"/>
        <v>0</v>
      </c>
      <c r="R221" s="715">
        <f t="shared" si="51"/>
        <v>0</v>
      </c>
      <c r="S221" s="361">
        <f t="shared" si="42"/>
        <v>0</v>
      </c>
    </row>
    <row r="222" spans="1:19">
      <c r="A222" s="159"/>
      <c r="B222" s="59"/>
      <c r="C222" s="24">
        <f t="shared" si="43"/>
        <v>1</v>
      </c>
      <c r="D222" s="719"/>
      <c r="E222" s="24">
        <f t="shared" si="44"/>
        <v>0.06</v>
      </c>
      <c r="F222" s="719"/>
      <c r="G222" s="24">
        <f t="shared" si="45"/>
        <v>0.02</v>
      </c>
      <c r="H222" s="719"/>
      <c r="I222" s="24">
        <f t="shared" si="46"/>
        <v>0.09</v>
      </c>
      <c r="J222" s="719"/>
      <c r="K222" s="24">
        <f t="shared" si="47"/>
        <v>0</v>
      </c>
      <c r="L222" s="719"/>
      <c r="M222" s="24">
        <f t="shared" si="48"/>
        <v>0.2</v>
      </c>
      <c r="N222" s="719"/>
      <c r="O222" s="24">
        <f t="shared" si="49"/>
        <v>0.2</v>
      </c>
      <c r="P222" s="719"/>
      <c r="Q222" s="24">
        <f t="shared" si="50"/>
        <v>0</v>
      </c>
      <c r="R222" s="715">
        <f t="shared" si="51"/>
        <v>0</v>
      </c>
      <c r="S222" s="361">
        <f t="shared" si="42"/>
        <v>0</v>
      </c>
    </row>
    <row r="223" spans="1:19">
      <c r="A223" s="159"/>
      <c r="B223" s="59"/>
      <c r="C223" s="24">
        <f t="shared" si="43"/>
        <v>1</v>
      </c>
      <c r="D223" s="719"/>
      <c r="E223" s="24">
        <f t="shared" si="44"/>
        <v>0.06</v>
      </c>
      <c r="F223" s="719"/>
      <c r="G223" s="24">
        <f t="shared" si="45"/>
        <v>0.02</v>
      </c>
      <c r="H223" s="719"/>
      <c r="I223" s="24">
        <f t="shared" si="46"/>
        <v>0.09</v>
      </c>
      <c r="J223" s="719"/>
      <c r="K223" s="24">
        <f t="shared" si="47"/>
        <v>0</v>
      </c>
      <c r="L223" s="719"/>
      <c r="M223" s="24">
        <f t="shared" si="48"/>
        <v>0.2</v>
      </c>
      <c r="N223" s="719"/>
      <c r="O223" s="24">
        <f t="shared" si="49"/>
        <v>0.2</v>
      </c>
      <c r="P223" s="719"/>
      <c r="Q223" s="24">
        <f t="shared" si="50"/>
        <v>0</v>
      </c>
      <c r="R223" s="715">
        <f t="shared" si="51"/>
        <v>0</v>
      </c>
      <c r="S223" s="361">
        <f t="shared" ref="S223:S286" si="52">ROUND(R223*B223/10000,0)</f>
        <v>0</v>
      </c>
    </row>
    <row r="224" spans="1:19">
      <c r="A224" s="159"/>
      <c r="B224" s="59"/>
      <c r="C224" s="24">
        <f t="shared" si="43"/>
        <v>1</v>
      </c>
      <c r="D224" s="719"/>
      <c r="E224" s="24">
        <f t="shared" si="44"/>
        <v>0.06</v>
      </c>
      <c r="F224" s="719"/>
      <c r="G224" s="24">
        <f t="shared" si="45"/>
        <v>0.02</v>
      </c>
      <c r="H224" s="719"/>
      <c r="I224" s="24">
        <f t="shared" si="46"/>
        <v>0.09</v>
      </c>
      <c r="J224" s="719"/>
      <c r="K224" s="24">
        <f t="shared" si="47"/>
        <v>0</v>
      </c>
      <c r="L224" s="719"/>
      <c r="M224" s="24">
        <f t="shared" si="48"/>
        <v>0.2</v>
      </c>
      <c r="N224" s="719"/>
      <c r="O224" s="24">
        <f t="shared" si="49"/>
        <v>0.2</v>
      </c>
      <c r="P224" s="719"/>
      <c r="Q224" s="24">
        <f t="shared" si="50"/>
        <v>0</v>
      </c>
      <c r="R224" s="715">
        <f t="shared" si="51"/>
        <v>0</v>
      </c>
      <c r="S224" s="361">
        <f t="shared" si="52"/>
        <v>0</v>
      </c>
    </row>
    <row r="225" spans="1:19">
      <c r="A225" s="159"/>
      <c r="B225" s="59"/>
      <c r="C225" s="24">
        <f t="shared" si="43"/>
        <v>1</v>
      </c>
      <c r="D225" s="719"/>
      <c r="E225" s="24">
        <f t="shared" si="44"/>
        <v>0.06</v>
      </c>
      <c r="F225" s="719"/>
      <c r="G225" s="24">
        <f t="shared" si="45"/>
        <v>0.02</v>
      </c>
      <c r="H225" s="719"/>
      <c r="I225" s="24">
        <f t="shared" si="46"/>
        <v>0.09</v>
      </c>
      <c r="J225" s="719"/>
      <c r="K225" s="24">
        <f t="shared" si="47"/>
        <v>0</v>
      </c>
      <c r="L225" s="719"/>
      <c r="M225" s="24">
        <f t="shared" si="48"/>
        <v>0.2</v>
      </c>
      <c r="N225" s="719"/>
      <c r="O225" s="24">
        <f t="shared" si="49"/>
        <v>0.2</v>
      </c>
      <c r="P225" s="719"/>
      <c r="Q225" s="24">
        <f t="shared" si="50"/>
        <v>0</v>
      </c>
      <c r="R225" s="715">
        <f t="shared" si="51"/>
        <v>0</v>
      </c>
      <c r="S225" s="361">
        <f t="shared" si="52"/>
        <v>0</v>
      </c>
    </row>
    <row r="226" spans="1:19">
      <c r="A226" s="159"/>
      <c r="B226" s="59"/>
      <c r="C226" s="24">
        <f t="shared" si="43"/>
        <v>1</v>
      </c>
      <c r="D226" s="719"/>
      <c r="E226" s="24">
        <f t="shared" si="44"/>
        <v>0.06</v>
      </c>
      <c r="F226" s="719"/>
      <c r="G226" s="24">
        <f t="shared" si="45"/>
        <v>0.02</v>
      </c>
      <c r="H226" s="719"/>
      <c r="I226" s="24">
        <f t="shared" si="46"/>
        <v>0.09</v>
      </c>
      <c r="J226" s="719"/>
      <c r="K226" s="24">
        <f t="shared" si="47"/>
        <v>0</v>
      </c>
      <c r="L226" s="719"/>
      <c r="M226" s="24">
        <f t="shared" si="48"/>
        <v>0.2</v>
      </c>
      <c r="N226" s="719"/>
      <c r="O226" s="24">
        <f t="shared" si="49"/>
        <v>0.2</v>
      </c>
      <c r="P226" s="719"/>
      <c r="Q226" s="24">
        <f t="shared" si="50"/>
        <v>0</v>
      </c>
      <c r="R226" s="715">
        <f t="shared" si="51"/>
        <v>0</v>
      </c>
      <c r="S226" s="361">
        <f t="shared" si="52"/>
        <v>0</v>
      </c>
    </row>
    <row r="227" spans="1:19">
      <c r="A227" s="159"/>
      <c r="B227" s="59"/>
      <c r="C227" s="24">
        <f t="shared" si="43"/>
        <v>1</v>
      </c>
      <c r="D227" s="719"/>
      <c r="E227" s="24">
        <f t="shared" si="44"/>
        <v>0.06</v>
      </c>
      <c r="F227" s="719"/>
      <c r="G227" s="24">
        <f t="shared" si="45"/>
        <v>0.02</v>
      </c>
      <c r="H227" s="719"/>
      <c r="I227" s="24">
        <f t="shared" si="46"/>
        <v>0.09</v>
      </c>
      <c r="J227" s="719"/>
      <c r="K227" s="24">
        <f t="shared" si="47"/>
        <v>0</v>
      </c>
      <c r="L227" s="719"/>
      <c r="M227" s="24">
        <f t="shared" si="48"/>
        <v>0.2</v>
      </c>
      <c r="N227" s="719"/>
      <c r="O227" s="24">
        <f t="shared" si="49"/>
        <v>0.2</v>
      </c>
      <c r="P227" s="719"/>
      <c r="Q227" s="24">
        <f t="shared" si="50"/>
        <v>0</v>
      </c>
      <c r="R227" s="715">
        <f t="shared" si="51"/>
        <v>0</v>
      </c>
      <c r="S227" s="361">
        <f t="shared" si="52"/>
        <v>0</v>
      </c>
    </row>
    <row r="228" spans="1:19">
      <c r="A228" s="159"/>
      <c r="B228" s="59"/>
      <c r="C228" s="24">
        <f t="shared" si="43"/>
        <v>1</v>
      </c>
      <c r="D228" s="719"/>
      <c r="E228" s="24">
        <f t="shared" si="44"/>
        <v>0.06</v>
      </c>
      <c r="F228" s="719"/>
      <c r="G228" s="24">
        <f t="shared" si="45"/>
        <v>0.02</v>
      </c>
      <c r="H228" s="719"/>
      <c r="I228" s="24">
        <f t="shared" si="46"/>
        <v>0.09</v>
      </c>
      <c r="J228" s="719"/>
      <c r="K228" s="24">
        <f t="shared" si="47"/>
        <v>0</v>
      </c>
      <c r="L228" s="719"/>
      <c r="M228" s="24">
        <f t="shared" si="48"/>
        <v>0.2</v>
      </c>
      <c r="N228" s="719"/>
      <c r="O228" s="24">
        <f t="shared" si="49"/>
        <v>0.2</v>
      </c>
      <c r="P228" s="719"/>
      <c r="Q228" s="24">
        <f t="shared" si="50"/>
        <v>0</v>
      </c>
      <c r="R228" s="715">
        <f t="shared" si="51"/>
        <v>0</v>
      </c>
      <c r="S228" s="361">
        <f t="shared" si="52"/>
        <v>0</v>
      </c>
    </row>
    <row r="229" spans="1:19">
      <c r="A229" s="159"/>
      <c r="B229" s="59"/>
      <c r="C229" s="24">
        <f t="shared" si="43"/>
        <v>1</v>
      </c>
      <c r="D229" s="719"/>
      <c r="E229" s="24">
        <f t="shared" si="44"/>
        <v>0.06</v>
      </c>
      <c r="F229" s="719"/>
      <c r="G229" s="24">
        <f t="shared" si="45"/>
        <v>0.02</v>
      </c>
      <c r="H229" s="719"/>
      <c r="I229" s="24">
        <f t="shared" si="46"/>
        <v>0.09</v>
      </c>
      <c r="J229" s="719"/>
      <c r="K229" s="24">
        <f t="shared" si="47"/>
        <v>0</v>
      </c>
      <c r="L229" s="719"/>
      <c r="M229" s="24">
        <f t="shared" si="48"/>
        <v>0.2</v>
      </c>
      <c r="N229" s="719"/>
      <c r="O229" s="24">
        <f t="shared" si="49"/>
        <v>0.2</v>
      </c>
      <c r="P229" s="719"/>
      <c r="Q229" s="24">
        <f t="shared" si="50"/>
        <v>0</v>
      </c>
      <c r="R229" s="715">
        <f t="shared" si="51"/>
        <v>0</v>
      </c>
      <c r="S229" s="361">
        <f t="shared" si="52"/>
        <v>0</v>
      </c>
    </row>
    <row r="230" spans="1:19">
      <c r="A230" s="159"/>
      <c r="B230" s="59"/>
      <c r="C230" s="24">
        <f t="shared" si="43"/>
        <v>1</v>
      </c>
      <c r="D230" s="719"/>
      <c r="E230" s="24">
        <f t="shared" si="44"/>
        <v>0.06</v>
      </c>
      <c r="F230" s="719"/>
      <c r="G230" s="24">
        <f t="shared" si="45"/>
        <v>0.02</v>
      </c>
      <c r="H230" s="719"/>
      <c r="I230" s="24">
        <f t="shared" si="46"/>
        <v>0.09</v>
      </c>
      <c r="J230" s="719"/>
      <c r="K230" s="24">
        <f t="shared" si="47"/>
        <v>0</v>
      </c>
      <c r="L230" s="719"/>
      <c r="M230" s="24">
        <f t="shared" si="48"/>
        <v>0.2</v>
      </c>
      <c r="N230" s="719"/>
      <c r="O230" s="24">
        <f t="shared" si="49"/>
        <v>0.2</v>
      </c>
      <c r="P230" s="719"/>
      <c r="Q230" s="24">
        <f t="shared" si="50"/>
        <v>0</v>
      </c>
      <c r="R230" s="715">
        <f t="shared" si="51"/>
        <v>0</v>
      </c>
      <c r="S230" s="361">
        <f t="shared" si="52"/>
        <v>0</v>
      </c>
    </row>
    <row r="231" spans="1:19">
      <c r="A231" s="159"/>
      <c r="B231" s="59"/>
      <c r="C231" s="24">
        <f t="shared" si="43"/>
        <v>1</v>
      </c>
      <c r="D231" s="719"/>
      <c r="E231" s="24">
        <f t="shared" si="44"/>
        <v>0.06</v>
      </c>
      <c r="F231" s="719"/>
      <c r="G231" s="24">
        <f t="shared" si="45"/>
        <v>0.02</v>
      </c>
      <c r="H231" s="719"/>
      <c r="I231" s="24">
        <f t="shared" si="46"/>
        <v>0.09</v>
      </c>
      <c r="J231" s="719"/>
      <c r="K231" s="24">
        <f t="shared" si="47"/>
        <v>0</v>
      </c>
      <c r="L231" s="719"/>
      <c r="M231" s="24">
        <f t="shared" si="48"/>
        <v>0.2</v>
      </c>
      <c r="N231" s="719"/>
      <c r="O231" s="24">
        <f t="shared" si="49"/>
        <v>0.2</v>
      </c>
      <c r="P231" s="719"/>
      <c r="Q231" s="24">
        <f t="shared" si="50"/>
        <v>0</v>
      </c>
      <c r="R231" s="715">
        <f t="shared" si="51"/>
        <v>0</v>
      </c>
      <c r="S231" s="361">
        <f t="shared" si="52"/>
        <v>0</v>
      </c>
    </row>
    <row r="232" spans="1:19">
      <c r="A232" s="159"/>
      <c r="B232" s="59"/>
      <c r="C232" s="24">
        <f t="shared" si="43"/>
        <v>1</v>
      </c>
      <c r="D232" s="719"/>
      <c r="E232" s="24">
        <f t="shared" si="44"/>
        <v>0.06</v>
      </c>
      <c r="F232" s="719"/>
      <c r="G232" s="24">
        <f t="shared" si="45"/>
        <v>0.02</v>
      </c>
      <c r="H232" s="719"/>
      <c r="I232" s="24">
        <f t="shared" si="46"/>
        <v>0.09</v>
      </c>
      <c r="J232" s="719"/>
      <c r="K232" s="24">
        <f t="shared" si="47"/>
        <v>0</v>
      </c>
      <c r="L232" s="719"/>
      <c r="M232" s="24">
        <f t="shared" si="48"/>
        <v>0.2</v>
      </c>
      <c r="N232" s="719"/>
      <c r="O232" s="24">
        <f t="shared" si="49"/>
        <v>0.2</v>
      </c>
      <c r="P232" s="719"/>
      <c r="Q232" s="24">
        <f t="shared" si="50"/>
        <v>0</v>
      </c>
      <c r="R232" s="715">
        <f t="shared" si="51"/>
        <v>0</v>
      </c>
      <c r="S232" s="361">
        <f t="shared" si="52"/>
        <v>0</v>
      </c>
    </row>
    <row r="233" spans="1:19">
      <c r="A233" s="159"/>
      <c r="B233" s="59"/>
      <c r="C233" s="24">
        <f t="shared" si="43"/>
        <v>1</v>
      </c>
      <c r="D233" s="719"/>
      <c r="E233" s="24">
        <f t="shared" si="44"/>
        <v>0.06</v>
      </c>
      <c r="F233" s="719"/>
      <c r="G233" s="24">
        <f t="shared" si="45"/>
        <v>0.02</v>
      </c>
      <c r="H233" s="719"/>
      <c r="I233" s="24">
        <f t="shared" si="46"/>
        <v>0.09</v>
      </c>
      <c r="J233" s="719"/>
      <c r="K233" s="24">
        <f t="shared" si="47"/>
        <v>0</v>
      </c>
      <c r="L233" s="719"/>
      <c r="M233" s="24">
        <f t="shared" si="48"/>
        <v>0.2</v>
      </c>
      <c r="N233" s="719"/>
      <c r="O233" s="24">
        <f t="shared" si="49"/>
        <v>0.2</v>
      </c>
      <c r="P233" s="719"/>
      <c r="Q233" s="24">
        <f t="shared" si="50"/>
        <v>0</v>
      </c>
      <c r="R233" s="715">
        <f t="shared" si="51"/>
        <v>0</v>
      </c>
      <c r="S233" s="361">
        <f t="shared" si="52"/>
        <v>0</v>
      </c>
    </row>
    <row r="234" spans="1:19">
      <c r="A234" s="159"/>
      <c r="B234" s="59"/>
      <c r="C234" s="24">
        <f t="shared" si="43"/>
        <v>1</v>
      </c>
      <c r="D234" s="719"/>
      <c r="E234" s="24">
        <f t="shared" si="44"/>
        <v>0.06</v>
      </c>
      <c r="F234" s="719"/>
      <c r="G234" s="24">
        <f t="shared" si="45"/>
        <v>0.02</v>
      </c>
      <c r="H234" s="719"/>
      <c r="I234" s="24">
        <f t="shared" si="46"/>
        <v>0.09</v>
      </c>
      <c r="J234" s="719"/>
      <c r="K234" s="24">
        <f t="shared" si="47"/>
        <v>0</v>
      </c>
      <c r="L234" s="719"/>
      <c r="M234" s="24">
        <f t="shared" si="48"/>
        <v>0.2</v>
      </c>
      <c r="N234" s="719"/>
      <c r="O234" s="24">
        <f t="shared" si="49"/>
        <v>0.2</v>
      </c>
      <c r="P234" s="719"/>
      <c r="Q234" s="24">
        <f t="shared" si="50"/>
        <v>0</v>
      </c>
      <c r="R234" s="715">
        <f t="shared" si="51"/>
        <v>0</v>
      </c>
      <c r="S234" s="361">
        <f t="shared" si="52"/>
        <v>0</v>
      </c>
    </row>
    <row r="235" spans="1:19">
      <c r="A235" s="159"/>
      <c r="B235" s="59"/>
      <c r="C235" s="24">
        <f t="shared" si="43"/>
        <v>1</v>
      </c>
      <c r="D235" s="719"/>
      <c r="E235" s="24">
        <f t="shared" si="44"/>
        <v>0.06</v>
      </c>
      <c r="F235" s="719"/>
      <c r="G235" s="24">
        <f t="shared" si="45"/>
        <v>0.02</v>
      </c>
      <c r="H235" s="719"/>
      <c r="I235" s="24">
        <f t="shared" si="46"/>
        <v>0.09</v>
      </c>
      <c r="J235" s="719"/>
      <c r="K235" s="24">
        <f t="shared" si="47"/>
        <v>0</v>
      </c>
      <c r="L235" s="719"/>
      <c r="M235" s="24">
        <f t="shared" si="48"/>
        <v>0.2</v>
      </c>
      <c r="N235" s="719"/>
      <c r="O235" s="24">
        <f t="shared" si="49"/>
        <v>0.2</v>
      </c>
      <c r="P235" s="719"/>
      <c r="Q235" s="24">
        <f t="shared" si="50"/>
        <v>0</v>
      </c>
      <c r="R235" s="715">
        <f t="shared" si="51"/>
        <v>0</v>
      </c>
      <c r="S235" s="361">
        <f t="shared" si="52"/>
        <v>0</v>
      </c>
    </row>
    <row r="236" spans="1:19">
      <c r="A236" s="159"/>
      <c r="B236" s="59"/>
      <c r="C236" s="24">
        <f t="shared" si="43"/>
        <v>1</v>
      </c>
      <c r="D236" s="719"/>
      <c r="E236" s="24">
        <f t="shared" si="44"/>
        <v>0.06</v>
      </c>
      <c r="F236" s="719"/>
      <c r="G236" s="24">
        <f t="shared" si="45"/>
        <v>0.02</v>
      </c>
      <c r="H236" s="719"/>
      <c r="I236" s="24">
        <f t="shared" si="46"/>
        <v>0.09</v>
      </c>
      <c r="J236" s="719"/>
      <c r="K236" s="24">
        <f t="shared" si="47"/>
        <v>0</v>
      </c>
      <c r="L236" s="719"/>
      <c r="M236" s="24">
        <f t="shared" si="48"/>
        <v>0.2</v>
      </c>
      <c r="N236" s="719"/>
      <c r="O236" s="24">
        <f t="shared" si="49"/>
        <v>0.2</v>
      </c>
      <c r="P236" s="719"/>
      <c r="Q236" s="24">
        <f t="shared" si="50"/>
        <v>0</v>
      </c>
      <c r="R236" s="715">
        <f t="shared" si="51"/>
        <v>0</v>
      </c>
      <c r="S236" s="361">
        <f t="shared" si="52"/>
        <v>0</v>
      </c>
    </row>
    <row r="237" spans="1:19">
      <c r="A237" s="159"/>
      <c r="B237" s="59"/>
      <c r="C237" s="24">
        <f t="shared" si="43"/>
        <v>1</v>
      </c>
      <c r="D237" s="719"/>
      <c r="E237" s="24">
        <f t="shared" si="44"/>
        <v>0.06</v>
      </c>
      <c r="F237" s="719"/>
      <c r="G237" s="24">
        <f t="shared" si="45"/>
        <v>0.02</v>
      </c>
      <c r="H237" s="719"/>
      <c r="I237" s="24">
        <f t="shared" si="46"/>
        <v>0.09</v>
      </c>
      <c r="J237" s="719"/>
      <c r="K237" s="24">
        <f t="shared" si="47"/>
        <v>0</v>
      </c>
      <c r="L237" s="719"/>
      <c r="M237" s="24">
        <f t="shared" si="48"/>
        <v>0.2</v>
      </c>
      <c r="N237" s="719"/>
      <c r="O237" s="24">
        <f t="shared" si="49"/>
        <v>0.2</v>
      </c>
      <c r="P237" s="719"/>
      <c r="Q237" s="24">
        <f t="shared" si="50"/>
        <v>0</v>
      </c>
      <c r="R237" s="715">
        <f t="shared" si="51"/>
        <v>0</v>
      </c>
      <c r="S237" s="361">
        <f t="shared" si="52"/>
        <v>0</v>
      </c>
    </row>
    <row r="238" spans="1:19">
      <c r="A238" s="159"/>
      <c r="B238" s="59"/>
      <c r="C238" s="24">
        <f t="shared" si="43"/>
        <v>1</v>
      </c>
      <c r="D238" s="719"/>
      <c r="E238" s="24">
        <f t="shared" si="44"/>
        <v>0.06</v>
      </c>
      <c r="F238" s="719"/>
      <c r="G238" s="24">
        <f t="shared" si="45"/>
        <v>0.02</v>
      </c>
      <c r="H238" s="719"/>
      <c r="I238" s="24">
        <f t="shared" si="46"/>
        <v>0.09</v>
      </c>
      <c r="J238" s="719"/>
      <c r="K238" s="24">
        <f t="shared" si="47"/>
        <v>0</v>
      </c>
      <c r="L238" s="719"/>
      <c r="M238" s="24">
        <f t="shared" si="48"/>
        <v>0.2</v>
      </c>
      <c r="N238" s="719"/>
      <c r="O238" s="24">
        <f t="shared" si="49"/>
        <v>0.2</v>
      </c>
      <c r="P238" s="719"/>
      <c r="Q238" s="24">
        <f t="shared" si="50"/>
        <v>0</v>
      </c>
      <c r="R238" s="715">
        <f t="shared" si="51"/>
        <v>0</v>
      </c>
      <c r="S238" s="361">
        <f t="shared" si="52"/>
        <v>0</v>
      </c>
    </row>
    <row r="239" spans="1:19">
      <c r="A239" s="159"/>
      <c r="B239" s="59"/>
      <c r="C239" s="24">
        <f t="shared" si="43"/>
        <v>1</v>
      </c>
      <c r="D239" s="719"/>
      <c r="E239" s="24">
        <f t="shared" si="44"/>
        <v>0.06</v>
      </c>
      <c r="F239" s="719"/>
      <c r="G239" s="24">
        <f t="shared" si="45"/>
        <v>0.02</v>
      </c>
      <c r="H239" s="719"/>
      <c r="I239" s="24">
        <f t="shared" si="46"/>
        <v>0.09</v>
      </c>
      <c r="J239" s="719"/>
      <c r="K239" s="24">
        <f t="shared" si="47"/>
        <v>0</v>
      </c>
      <c r="L239" s="719"/>
      <c r="M239" s="24">
        <f t="shared" si="48"/>
        <v>0.2</v>
      </c>
      <c r="N239" s="719"/>
      <c r="O239" s="24">
        <f t="shared" si="49"/>
        <v>0.2</v>
      </c>
      <c r="P239" s="719"/>
      <c r="Q239" s="24">
        <f t="shared" si="50"/>
        <v>0</v>
      </c>
      <c r="R239" s="715">
        <f t="shared" si="51"/>
        <v>0</v>
      </c>
      <c r="S239" s="361">
        <f t="shared" si="52"/>
        <v>0</v>
      </c>
    </row>
    <row r="240" spans="1:19">
      <c r="A240" s="159"/>
      <c r="B240" s="59"/>
      <c r="C240" s="24">
        <f t="shared" si="43"/>
        <v>1</v>
      </c>
      <c r="D240" s="719"/>
      <c r="E240" s="24">
        <f t="shared" si="44"/>
        <v>0.06</v>
      </c>
      <c r="F240" s="719"/>
      <c r="G240" s="24">
        <f t="shared" si="45"/>
        <v>0.02</v>
      </c>
      <c r="H240" s="719"/>
      <c r="I240" s="24">
        <f t="shared" si="46"/>
        <v>0.09</v>
      </c>
      <c r="J240" s="719"/>
      <c r="K240" s="24">
        <f t="shared" si="47"/>
        <v>0</v>
      </c>
      <c r="L240" s="719"/>
      <c r="M240" s="24">
        <f t="shared" si="48"/>
        <v>0.2</v>
      </c>
      <c r="N240" s="719"/>
      <c r="O240" s="24">
        <f t="shared" si="49"/>
        <v>0.2</v>
      </c>
      <c r="P240" s="719"/>
      <c r="Q240" s="24">
        <f t="shared" si="50"/>
        <v>0</v>
      </c>
      <c r="R240" s="715">
        <f t="shared" si="51"/>
        <v>0</v>
      </c>
      <c r="S240" s="361">
        <f t="shared" si="52"/>
        <v>0</v>
      </c>
    </row>
    <row r="241" spans="1:19">
      <c r="A241" s="159"/>
      <c r="B241" s="59"/>
      <c r="C241" s="24">
        <f t="shared" si="43"/>
        <v>1</v>
      </c>
      <c r="D241" s="719"/>
      <c r="E241" s="24">
        <f t="shared" si="44"/>
        <v>0.06</v>
      </c>
      <c r="F241" s="719"/>
      <c r="G241" s="24">
        <f t="shared" si="45"/>
        <v>0.02</v>
      </c>
      <c r="H241" s="719"/>
      <c r="I241" s="24">
        <f t="shared" si="46"/>
        <v>0.09</v>
      </c>
      <c r="J241" s="719"/>
      <c r="K241" s="24">
        <f t="shared" si="47"/>
        <v>0</v>
      </c>
      <c r="L241" s="719"/>
      <c r="M241" s="24">
        <f t="shared" si="48"/>
        <v>0.2</v>
      </c>
      <c r="N241" s="719"/>
      <c r="O241" s="24">
        <f t="shared" si="49"/>
        <v>0.2</v>
      </c>
      <c r="P241" s="719"/>
      <c r="Q241" s="24">
        <f t="shared" si="50"/>
        <v>0</v>
      </c>
      <c r="R241" s="715">
        <f t="shared" si="51"/>
        <v>0</v>
      </c>
      <c r="S241" s="361">
        <f t="shared" si="52"/>
        <v>0</v>
      </c>
    </row>
    <row r="242" spans="1:19">
      <c r="A242" s="159"/>
      <c r="B242" s="59"/>
      <c r="C242" s="24">
        <f t="shared" si="43"/>
        <v>1</v>
      </c>
      <c r="D242" s="719"/>
      <c r="E242" s="24">
        <f t="shared" si="44"/>
        <v>0.06</v>
      </c>
      <c r="F242" s="719"/>
      <c r="G242" s="24">
        <f t="shared" si="45"/>
        <v>0.02</v>
      </c>
      <c r="H242" s="719"/>
      <c r="I242" s="24">
        <f t="shared" si="46"/>
        <v>0.09</v>
      </c>
      <c r="J242" s="719"/>
      <c r="K242" s="24">
        <f t="shared" si="47"/>
        <v>0</v>
      </c>
      <c r="L242" s="719"/>
      <c r="M242" s="24">
        <f t="shared" si="48"/>
        <v>0.2</v>
      </c>
      <c r="N242" s="719"/>
      <c r="O242" s="24">
        <f t="shared" si="49"/>
        <v>0.2</v>
      </c>
      <c r="P242" s="719"/>
      <c r="Q242" s="24">
        <f t="shared" si="50"/>
        <v>0</v>
      </c>
      <c r="R242" s="715">
        <f t="shared" si="51"/>
        <v>0</v>
      </c>
      <c r="S242" s="361">
        <f t="shared" si="52"/>
        <v>0</v>
      </c>
    </row>
    <row r="243" spans="1:19">
      <c r="A243" s="159"/>
      <c r="B243" s="59"/>
      <c r="C243" s="24">
        <f t="shared" si="43"/>
        <v>1</v>
      </c>
      <c r="D243" s="719"/>
      <c r="E243" s="24">
        <f t="shared" si="44"/>
        <v>0.06</v>
      </c>
      <c r="F243" s="719"/>
      <c r="G243" s="24">
        <f t="shared" si="45"/>
        <v>0.02</v>
      </c>
      <c r="H243" s="719"/>
      <c r="I243" s="24">
        <f t="shared" si="46"/>
        <v>0.09</v>
      </c>
      <c r="J243" s="719"/>
      <c r="K243" s="24">
        <f t="shared" si="47"/>
        <v>0</v>
      </c>
      <c r="L243" s="719"/>
      <c r="M243" s="24">
        <f t="shared" si="48"/>
        <v>0.2</v>
      </c>
      <c r="N243" s="719"/>
      <c r="O243" s="24">
        <f t="shared" si="49"/>
        <v>0.2</v>
      </c>
      <c r="P243" s="719"/>
      <c r="Q243" s="24">
        <f t="shared" si="50"/>
        <v>0</v>
      </c>
      <c r="R243" s="715">
        <f t="shared" si="51"/>
        <v>0</v>
      </c>
      <c r="S243" s="361">
        <f t="shared" si="52"/>
        <v>0</v>
      </c>
    </row>
    <row r="244" spans="1:19">
      <c r="A244" s="159"/>
      <c r="B244" s="59"/>
      <c r="C244" s="24">
        <f t="shared" si="43"/>
        <v>1</v>
      </c>
      <c r="D244" s="719"/>
      <c r="E244" s="24">
        <f t="shared" si="44"/>
        <v>0.06</v>
      </c>
      <c r="F244" s="719"/>
      <c r="G244" s="24">
        <f t="shared" si="45"/>
        <v>0.02</v>
      </c>
      <c r="H244" s="719"/>
      <c r="I244" s="24">
        <f t="shared" si="46"/>
        <v>0.09</v>
      </c>
      <c r="J244" s="719"/>
      <c r="K244" s="24">
        <f t="shared" si="47"/>
        <v>0</v>
      </c>
      <c r="L244" s="719"/>
      <c r="M244" s="24">
        <f t="shared" si="48"/>
        <v>0.2</v>
      </c>
      <c r="N244" s="719"/>
      <c r="O244" s="24">
        <f t="shared" si="49"/>
        <v>0.2</v>
      </c>
      <c r="P244" s="719"/>
      <c r="Q244" s="24">
        <f t="shared" si="50"/>
        <v>0</v>
      </c>
      <c r="R244" s="715">
        <f t="shared" si="51"/>
        <v>0</v>
      </c>
      <c r="S244" s="361">
        <f t="shared" si="52"/>
        <v>0</v>
      </c>
    </row>
    <row r="245" spans="1:19">
      <c r="A245" s="159"/>
      <c r="B245" s="59"/>
      <c r="C245" s="24">
        <f t="shared" si="43"/>
        <v>1</v>
      </c>
      <c r="D245" s="719"/>
      <c r="E245" s="24">
        <f t="shared" si="44"/>
        <v>0.06</v>
      </c>
      <c r="F245" s="719"/>
      <c r="G245" s="24">
        <f t="shared" si="45"/>
        <v>0.02</v>
      </c>
      <c r="H245" s="719"/>
      <c r="I245" s="24">
        <f t="shared" si="46"/>
        <v>0.09</v>
      </c>
      <c r="J245" s="719"/>
      <c r="K245" s="24">
        <f t="shared" si="47"/>
        <v>0</v>
      </c>
      <c r="L245" s="719"/>
      <c r="M245" s="24">
        <f t="shared" si="48"/>
        <v>0.2</v>
      </c>
      <c r="N245" s="719"/>
      <c r="O245" s="24">
        <f t="shared" si="49"/>
        <v>0.2</v>
      </c>
      <c r="P245" s="719"/>
      <c r="Q245" s="24">
        <f t="shared" si="50"/>
        <v>0</v>
      </c>
      <c r="R245" s="715">
        <f t="shared" si="51"/>
        <v>0</v>
      </c>
      <c r="S245" s="361">
        <f t="shared" si="52"/>
        <v>0</v>
      </c>
    </row>
    <row r="246" spans="1:19">
      <c r="A246" s="159"/>
      <c r="B246" s="59"/>
      <c r="C246" s="24">
        <f t="shared" si="43"/>
        <v>1</v>
      </c>
      <c r="D246" s="719"/>
      <c r="E246" s="24">
        <f t="shared" si="44"/>
        <v>0.06</v>
      </c>
      <c r="F246" s="719"/>
      <c r="G246" s="24">
        <f t="shared" si="45"/>
        <v>0.02</v>
      </c>
      <c r="H246" s="719"/>
      <c r="I246" s="24">
        <f t="shared" si="46"/>
        <v>0.09</v>
      </c>
      <c r="J246" s="719"/>
      <c r="K246" s="24">
        <f t="shared" si="47"/>
        <v>0</v>
      </c>
      <c r="L246" s="719"/>
      <c r="M246" s="24">
        <f t="shared" si="48"/>
        <v>0.2</v>
      </c>
      <c r="N246" s="719"/>
      <c r="O246" s="24">
        <f t="shared" si="49"/>
        <v>0.2</v>
      </c>
      <c r="P246" s="719"/>
      <c r="Q246" s="24">
        <f t="shared" si="50"/>
        <v>0</v>
      </c>
      <c r="R246" s="715">
        <f t="shared" si="51"/>
        <v>0</v>
      </c>
      <c r="S246" s="361">
        <f t="shared" si="52"/>
        <v>0</v>
      </c>
    </row>
    <row r="247" spans="1:19">
      <c r="A247" s="159"/>
      <c r="B247" s="59"/>
      <c r="C247" s="24">
        <f t="shared" si="43"/>
        <v>1</v>
      </c>
      <c r="D247" s="719"/>
      <c r="E247" s="24">
        <f t="shared" si="44"/>
        <v>0.06</v>
      </c>
      <c r="F247" s="719"/>
      <c r="G247" s="24">
        <f t="shared" si="45"/>
        <v>0.02</v>
      </c>
      <c r="H247" s="719"/>
      <c r="I247" s="24">
        <f t="shared" si="46"/>
        <v>0.09</v>
      </c>
      <c r="J247" s="719"/>
      <c r="K247" s="24">
        <f t="shared" si="47"/>
        <v>0</v>
      </c>
      <c r="L247" s="719"/>
      <c r="M247" s="24">
        <f t="shared" si="48"/>
        <v>0.2</v>
      </c>
      <c r="N247" s="719"/>
      <c r="O247" s="24">
        <f t="shared" si="49"/>
        <v>0.2</v>
      </c>
      <c r="P247" s="719"/>
      <c r="Q247" s="24">
        <f t="shared" si="50"/>
        <v>0</v>
      </c>
      <c r="R247" s="715">
        <f t="shared" si="51"/>
        <v>0</v>
      </c>
      <c r="S247" s="361">
        <f t="shared" si="52"/>
        <v>0</v>
      </c>
    </row>
    <row r="248" spans="1:19">
      <c r="A248" s="159"/>
      <c r="B248" s="59"/>
      <c r="C248" s="24">
        <f t="shared" si="43"/>
        <v>1</v>
      </c>
      <c r="D248" s="719"/>
      <c r="E248" s="24">
        <f t="shared" si="44"/>
        <v>0.06</v>
      </c>
      <c r="F248" s="719"/>
      <c r="G248" s="24">
        <f t="shared" si="45"/>
        <v>0.02</v>
      </c>
      <c r="H248" s="719"/>
      <c r="I248" s="24">
        <f t="shared" si="46"/>
        <v>0.09</v>
      </c>
      <c r="J248" s="719"/>
      <c r="K248" s="24">
        <f t="shared" si="47"/>
        <v>0</v>
      </c>
      <c r="L248" s="719"/>
      <c r="M248" s="24">
        <f t="shared" si="48"/>
        <v>0.2</v>
      </c>
      <c r="N248" s="719"/>
      <c r="O248" s="24">
        <f t="shared" si="49"/>
        <v>0.2</v>
      </c>
      <c r="P248" s="719"/>
      <c r="Q248" s="24">
        <f t="shared" si="50"/>
        <v>0</v>
      </c>
      <c r="R248" s="715">
        <f t="shared" si="51"/>
        <v>0</v>
      </c>
      <c r="S248" s="361">
        <f t="shared" si="52"/>
        <v>0</v>
      </c>
    </row>
    <row r="249" spans="1:19">
      <c r="A249" s="159"/>
      <c r="B249" s="59"/>
      <c r="C249" s="24">
        <f t="shared" si="43"/>
        <v>1</v>
      </c>
      <c r="D249" s="719"/>
      <c r="E249" s="24">
        <f t="shared" si="44"/>
        <v>0.06</v>
      </c>
      <c r="F249" s="719"/>
      <c r="G249" s="24">
        <f t="shared" si="45"/>
        <v>0.02</v>
      </c>
      <c r="H249" s="719"/>
      <c r="I249" s="24">
        <f t="shared" si="46"/>
        <v>0.09</v>
      </c>
      <c r="J249" s="719"/>
      <c r="K249" s="24">
        <f t="shared" si="47"/>
        <v>0</v>
      </c>
      <c r="L249" s="719"/>
      <c r="M249" s="24">
        <f t="shared" si="48"/>
        <v>0.2</v>
      </c>
      <c r="N249" s="719"/>
      <c r="O249" s="24">
        <f t="shared" si="49"/>
        <v>0.2</v>
      </c>
      <c r="P249" s="719"/>
      <c r="Q249" s="24">
        <f t="shared" si="50"/>
        <v>0</v>
      </c>
      <c r="R249" s="715">
        <f t="shared" si="51"/>
        <v>0</v>
      </c>
      <c r="S249" s="361">
        <f t="shared" si="52"/>
        <v>0</v>
      </c>
    </row>
    <row r="250" spans="1:19">
      <c r="A250" s="159"/>
      <c r="B250" s="59"/>
      <c r="C250" s="24">
        <f t="shared" si="43"/>
        <v>1</v>
      </c>
      <c r="D250" s="719"/>
      <c r="E250" s="24">
        <f t="shared" si="44"/>
        <v>0.06</v>
      </c>
      <c r="F250" s="719"/>
      <c r="G250" s="24">
        <f t="shared" si="45"/>
        <v>0.02</v>
      </c>
      <c r="H250" s="719"/>
      <c r="I250" s="24">
        <f t="shared" si="46"/>
        <v>0.09</v>
      </c>
      <c r="J250" s="719"/>
      <c r="K250" s="24">
        <f t="shared" si="47"/>
        <v>0</v>
      </c>
      <c r="L250" s="719"/>
      <c r="M250" s="24">
        <f t="shared" si="48"/>
        <v>0.2</v>
      </c>
      <c r="N250" s="719"/>
      <c r="O250" s="24">
        <f t="shared" si="49"/>
        <v>0.2</v>
      </c>
      <c r="P250" s="719"/>
      <c r="Q250" s="24">
        <f t="shared" si="50"/>
        <v>0</v>
      </c>
      <c r="R250" s="715">
        <f t="shared" si="51"/>
        <v>0</v>
      </c>
      <c r="S250" s="361">
        <f t="shared" si="52"/>
        <v>0</v>
      </c>
    </row>
    <row r="251" spans="1:19">
      <c r="A251" s="159"/>
      <c r="B251" s="59"/>
      <c r="C251" s="24">
        <f t="shared" si="43"/>
        <v>1</v>
      </c>
      <c r="D251" s="719"/>
      <c r="E251" s="24">
        <f t="shared" si="44"/>
        <v>0.06</v>
      </c>
      <c r="F251" s="719"/>
      <c r="G251" s="24">
        <f t="shared" si="45"/>
        <v>0.02</v>
      </c>
      <c r="H251" s="719"/>
      <c r="I251" s="24">
        <f t="shared" si="46"/>
        <v>0.09</v>
      </c>
      <c r="J251" s="719"/>
      <c r="K251" s="24">
        <f t="shared" si="47"/>
        <v>0</v>
      </c>
      <c r="L251" s="719"/>
      <c r="M251" s="24">
        <f t="shared" si="48"/>
        <v>0.2</v>
      </c>
      <c r="N251" s="719"/>
      <c r="O251" s="24">
        <f t="shared" si="49"/>
        <v>0.2</v>
      </c>
      <c r="P251" s="719"/>
      <c r="Q251" s="24">
        <f t="shared" si="50"/>
        <v>0</v>
      </c>
      <c r="R251" s="715">
        <f t="shared" si="51"/>
        <v>0</v>
      </c>
      <c r="S251" s="361">
        <f t="shared" si="52"/>
        <v>0</v>
      </c>
    </row>
    <row r="252" spans="1:19">
      <c r="A252" s="159"/>
      <c r="B252" s="59"/>
      <c r="C252" s="24">
        <f t="shared" si="43"/>
        <v>1</v>
      </c>
      <c r="D252" s="719"/>
      <c r="E252" s="24">
        <f t="shared" si="44"/>
        <v>0.06</v>
      </c>
      <c r="F252" s="719"/>
      <c r="G252" s="24">
        <f t="shared" si="45"/>
        <v>0.02</v>
      </c>
      <c r="H252" s="719"/>
      <c r="I252" s="24">
        <f t="shared" si="46"/>
        <v>0.09</v>
      </c>
      <c r="J252" s="719"/>
      <c r="K252" s="24">
        <f t="shared" si="47"/>
        <v>0</v>
      </c>
      <c r="L252" s="719"/>
      <c r="M252" s="24">
        <f t="shared" si="48"/>
        <v>0.2</v>
      </c>
      <c r="N252" s="719"/>
      <c r="O252" s="24">
        <f t="shared" si="49"/>
        <v>0.2</v>
      </c>
      <c r="P252" s="719"/>
      <c r="Q252" s="24">
        <f t="shared" si="50"/>
        <v>0</v>
      </c>
      <c r="R252" s="715">
        <f t="shared" si="51"/>
        <v>0</v>
      </c>
      <c r="S252" s="361">
        <f t="shared" si="52"/>
        <v>0</v>
      </c>
    </row>
    <row r="253" spans="1:19">
      <c r="A253" s="159"/>
      <c r="B253" s="59"/>
      <c r="C253" s="24">
        <f t="shared" si="43"/>
        <v>1</v>
      </c>
      <c r="D253" s="719"/>
      <c r="E253" s="24">
        <f t="shared" si="44"/>
        <v>0.06</v>
      </c>
      <c r="F253" s="719"/>
      <c r="G253" s="24">
        <f t="shared" si="45"/>
        <v>0.02</v>
      </c>
      <c r="H253" s="719"/>
      <c r="I253" s="24">
        <f t="shared" si="46"/>
        <v>0.09</v>
      </c>
      <c r="J253" s="719"/>
      <c r="K253" s="24">
        <f t="shared" si="47"/>
        <v>0</v>
      </c>
      <c r="L253" s="719"/>
      <c r="M253" s="24">
        <f t="shared" si="48"/>
        <v>0.2</v>
      </c>
      <c r="N253" s="719"/>
      <c r="O253" s="24">
        <f t="shared" si="49"/>
        <v>0.2</v>
      </c>
      <c r="P253" s="719"/>
      <c r="Q253" s="24">
        <f t="shared" si="50"/>
        <v>0</v>
      </c>
      <c r="R253" s="715">
        <f t="shared" si="51"/>
        <v>0</v>
      </c>
      <c r="S253" s="361">
        <f t="shared" si="52"/>
        <v>0</v>
      </c>
    </row>
    <row r="254" spans="1:19">
      <c r="A254" s="159"/>
      <c r="B254" s="59"/>
      <c r="C254" s="24">
        <f t="shared" si="43"/>
        <v>1</v>
      </c>
      <c r="D254" s="719"/>
      <c r="E254" s="24">
        <f t="shared" si="44"/>
        <v>0.06</v>
      </c>
      <c r="F254" s="719"/>
      <c r="G254" s="24">
        <f t="shared" si="45"/>
        <v>0.02</v>
      </c>
      <c r="H254" s="719"/>
      <c r="I254" s="24">
        <f t="shared" si="46"/>
        <v>0.09</v>
      </c>
      <c r="J254" s="719"/>
      <c r="K254" s="24">
        <f t="shared" si="47"/>
        <v>0</v>
      </c>
      <c r="L254" s="719"/>
      <c r="M254" s="24">
        <f t="shared" si="48"/>
        <v>0.2</v>
      </c>
      <c r="N254" s="719"/>
      <c r="O254" s="24">
        <f t="shared" si="49"/>
        <v>0.2</v>
      </c>
      <c r="P254" s="719"/>
      <c r="Q254" s="24">
        <f t="shared" si="50"/>
        <v>0</v>
      </c>
      <c r="R254" s="715">
        <f t="shared" si="51"/>
        <v>0</v>
      </c>
      <c r="S254" s="361">
        <f t="shared" si="52"/>
        <v>0</v>
      </c>
    </row>
    <row r="255" spans="1:19">
      <c r="A255" s="159"/>
      <c r="B255" s="59"/>
      <c r="C255" s="24">
        <f t="shared" si="43"/>
        <v>1</v>
      </c>
      <c r="D255" s="719"/>
      <c r="E255" s="24">
        <f t="shared" si="44"/>
        <v>0.06</v>
      </c>
      <c r="F255" s="719"/>
      <c r="G255" s="24">
        <f t="shared" si="45"/>
        <v>0.02</v>
      </c>
      <c r="H255" s="719"/>
      <c r="I255" s="24">
        <f t="shared" si="46"/>
        <v>0.09</v>
      </c>
      <c r="J255" s="719"/>
      <c r="K255" s="24">
        <f t="shared" si="47"/>
        <v>0</v>
      </c>
      <c r="L255" s="719"/>
      <c r="M255" s="24">
        <f t="shared" si="48"/>
        <v>0.2</v>
      </c>
      <c r="N255" s="719"/>
      <c r="O255" s="24">
        <f t="shared" si="49"/>
        <v>0.2</v>
      </c>
      <c r="P255" s="719"/>
      <c r="Q255" s="24">
        <f t="shared" si="50"/>
        <v>0</v>
      </c>
      <c r="R255" s="715">
        <f t="shared" si="51"/>
        <v>0</v>
      </c>
      <c r="S255" s="361">
        <f t="shared" si="52"/>
        <v>0</v>
      </c>
    </row>
    <row r="256" spans="1:19">
      <c r="A256" s="159"/>
      <c r="B256" s="59"/>
      <c r="C256" s="24">
        <f t="shared" si="43"/>
        <v>1</v>
      </c>
      <c r="D256" s="719"/>
      <c r="E256" s="24">
        <f t="shared" si="44"/>
        <v>0.06</v>
      </c>
      <c r="F256" s="719"/>
      <c r="G256" s="24">
        <f t="shared" si="45"/>
        <v>0.02</v>
      </c>
      <c r="H256" s="719"/>
      <c r="I256" s="24">
        <f t="shared" si="46"/>
        <v>0.09</v>
      </c>
      <c r="J256" s="719"/>
      <c r="K256" s="24">
        <f t="shared" si="47"/>
        <v>0</v>
      </c>
      <c r="L256" s="719"/>
      <c r="M256" s="24">
        <f t="shared" si="48"/>
        <v>0.2</v>
      </c>
      <c r="N256" s="719"/>
      <c r="O256" s="24">
        <f t="shared" si="49"/>
        <v>0.2</v>
      </c>
      <c r="P256" s="719"/>
      <c r="Q256" s="24">
        <f t="shared" si="50"/>
        <v>0</v>
      </c>
      <c r="R256" s="715">
        <f t="shared" si="51"/>
        <v>0</v>
      </c>
      <c r="S256" s="361">
        <f t="shared" si="52"/>
        <v>0</v>
      </c>
    </row>
    <row r="257" spans="1:19">
      <c r="A257" s="159"/>
      <c r="B257" s="59"/>
      <c r="C257" s="24">
        <f t="shared" si="43"/>
        <v>1</v>
      </c>
      <c r="D257" s="719"/>
      <c r="E257" s="24">
        <f t="shared" si="44"/>
        <v>0.06</v>
      </c>
      <c r="F257" s="719"/>
      <c r="G257" s="24">
        <f t="shared" si="45"/>
        <v>0.02</v>
      </c>
      <c r="H257" s="719"/>
      <c r="I257" s="24">
        <f t="shared" si="46"/>
        <v>0.09</v>
      </c>
      <c r="J257" s="719"/>
      <c r="K257" s="24">
        <f t="shared" si="47"/>
        <v>0</v>
      </c>
      <c r="L257" s="719"/>
      <c r="M257" s="24">
        <f t="shared" si="48"/>
        <v>0.2</v>
      </c>
      <c r="N257" s="719"/>
      <c r="O257" s="24">
        <f t="shared" si="49"/>
        <v>0.2</v>
      </c>
      <c r="P257" s="719"/>
      <c r="Q257" s="24">
        <f t="shared" si="50"/>
        <v>0</v>
      </c>
      <c r="R257" s="715">
        <f t="shared" si="51"/>
        <v>0</v>
      </c>
      <c r="S257" s="361">
        <f t="shared" si="52"/>
        <v>0</v>
      </c>
    </row>
    <row r="258" spans="1:19">
      <c r="A258" s="159"/>
      <c r="B258" s="59"/>
      <c r="C258" s="24">
        <f t="shared" si="43"/>
        <v>1</v>
      </c>
      <c r="D258" s="719"/>
      <c r="E258" s="24">
        <f t="shared" si="44"/>
        <v>0.06</v>
      </c>
      <c r="F258" s="719"/>
      <c r="G258" s="24">
        <f t="shared" si="45"/>
        <v>0.02</v>
      </c>
      <c r="H258" s="719"/>
      <c r="I258" s="24">
        <f t="shared" si="46"/>
        <v>0.09</v>
      </c>
      <c r="J258" s="719"/>
      <c r="K258" s="24">
        <f t="shared" si="47"/>
        <v>0</v>
      </c>
      <c r="L258" s="719"/>
      <c r="M258" s="24">
        <f t="shared" si="48"/>
        <v>0.2</v>
      </c>
      <c r="N258" s="719"/>
      <c r="O258" s="24">
        <f t="shared" si="49"/>
        <v>0.2</v>
      </c>
      <c r="P258" s="719"/>
      <c r="Q258" s="24">
        <f t="shared" si="50"/>
        <v>0</v>
      </c>
      <c r="R258" s="715">
        <f t="shared" si="51"/>
        <v>0</v>
      </c>
      <c r="S258" s="361">
        <f t="shared" si="52"/>
        <v>0</v>
      </c>
    </row>
    <row r="259" spans="1:19">
      <c r="A259" s="159"/>
      <c r="B259" s="59"/>
      <c r="C259" s="24">
        <f t="shared" si="43"/>
        <v>1</v>
      </c>
      <c r="D259" s="719"/>
      <c r="E259" s="24">
        <f t="shared" si="44"/>
        <v>0.06</v>
      </c>
      <c r="F259" s="719"/>
      <c r="G259" s="24">
        <f t="shared" si="45"/>
        <v>0.02</v>
      </c>
      <c r="H259" s="719"/>
      <c r="I259" s="24">
        <f t="shared" si="46"/>
        <v>0.09</v>
      </c>
      <c r="J259" s="719"/>
      <c r="K259" s="24">
        <f t="shared" si="47"/>
        <v>0</v>
      </c>
      <c r="L259" s="719"/>
      <c r="M259" s="24">
        <f t="shared" si="48"/>
        <v>0.2</v>
      </c>
      <c r="N259" s="719"/>
      <c r="O259" s="24">
        <f t="shared" si="49"/>
        <v>0.2</v>
      </c>
      <c r="P259" s="719"/>
      <c r="Q259" s="24">
        <f t="shared" si="50"/>
        <v>0</v>
      </c>
      <c r="R259" s="715">
        <f t="shared" si="51"/>
        <v>0</v>
      </c>
      <c r="S259" s="361">
        <f t="shared" si="52"/>
        <v>0</v>
      </c>
    </row>
    <row r="260" spans="1:19">
      <c r="A260" s="159"/>
      <c r="B260" s="59"/>
      <c r="C260" s="24">
        <f t="shared" si="43"/>
        <v>1</v>
      </c>
      <c r="D260" s="719"/>
      <c r="E260" s="24">
        <f t="shared" si="44"/>
        <v>0.06</v>
      </c>
      <c r="F260" s="719"/>
      <c r="G260" s="24">
        <f t="shared" si="45"/>
        <v>0.02</v>
      </c>
      <c r="H260" s="719"/>
      <c r="I260" s="24">
        <f t="shared" si="46"/>
        <v>0.09</v>
      </c>
      <c r="J260" s="719"/>
      <c r="K260" s="24">
        <f t="shared" si="47"/>
        <v>0</v>
      </c>
      <c r="L260" s="719"/>
      <c r="M260" s="24">
        <f t="shared" si="48"/>
        <v>0.2</v>
      </c>
      <c r="N260" s="719"/>
      <c r="O260" s="24">
        <f t="shared" si="49"/>
        <v>0.2</v>
      </c>
      <c r="P260" s="719"/>
      <c r="Q260" s="24">
        <f t="shared" si="50"/>
        <v>0</v>
      </c>
      <c r="R260" s="715">
        <f t="shared" si="51"/>
        <v>0</v>
      </c>
      <c r="S260" s="361">
        <f t="shared" si="52"/>
        <v>0</v>
      </c>
    </row>
    <row r="261" spans="1:19">
      <c r="A261" s="159"/>
      <c r="B261" s="59"/>
      <c r="C261" s="24">
        <f t="shared" si="43"/>
        <v>1</v>
      </c>
      <c r="D261" s="719"/>
      <c r="E261" s="24">
        <f t="shared" si="44"/>
        <v>0.06</v>
      </c>
      <c r="F261" s="719"/>
      <c r="G261" s="24">
        <f t="shared" si="45"/>
        <v>0.02</v>
      </c>
      <c r="H261" s="719"/>
      <c r="I261" s="24">
        <f t="shared" si="46"/>
        <v>0.09</v>
      </c>
      <c r="J261" s="719"/>
      <c r="K261" s="24">
        <f t="shared" si="47"/>
        <v>0</v>
      </c>
      <c r="L261" s="719"/>
      <c r="M261" s="24">
        <f t="shared" si="48"/>
        <v>0.2</v>
      </c>
      <c r="N261" s="719"/>
      <c r="O261" s="24">
        <f t="shared" si="49"/>
        <v>0.2</v>
      </c>
      <c r="P261" s="719"/>
      <c r="Q261" s="24">
        <f t="shared" si="50"/>
        <v>0</v>
      </c>
      <c r="R261" s="715">
        <f t="shared" si="51"/>
        <v>0</v>
      </c>
      <c r="S261" s="361">
        <f t="shared" si="52"/>
        <v>0</v>
      </c>
    </row>
    <row r="262" spans="1:19">
      <c r="A262" s="159"/>
      <c r="B262" s="59"/>
      <c r="C262" s="24">
        <f t="shared" si="43"/>
        <v>1</v>
      </c>
      <c r="D262" s="719"/>
      <c r="E262" s="24">
        <f t="shared" si="44"/>
        <v>0.06</v>
      </c>
      <c r="F262" s="719"/>
      <c r="G262" s="24">
        <f t="shared" si="45"/>
        <v>0.02</v>
      </c>
      <c r="H262" s="719"/>
      <c r="I262" s="24">
        <f t="shared" si="46"/>
        <v>0.09</v>
      </c>
      <c r="J262" s="719"/>
      <c r="K262" s="24">
        <f t="shared" si="47"/>
        <v>0</v>
      </c>
      <c r="L262" s="719"/>
      <c r="M262" s="24">
        <f t="shared" si="48"/>
        <v>0.2</v>
      </c>
      <c r="N262" s="719"/>
      <c r="O262" s="24">
        <f t="shared" si="49"/>
        <v>0.2</v>
      </c>
      <c r="P262" s="719"/>
      <c r="Q262" s="24">
        <f t="shared" si="50"/>
        <v>0</v>
      </c>
      <c r="R262" s="715">
        <f t="shared" si="51"/>
        <v>0</v>
      </c>
      <c r="S262" s="361">
        <f t="shared" si="52"/>
        <v>0</v>
      </c>
    </row>
    <row r="263" spans="1:19">
      <c r="A263" s="159"/>
      <c r="B263" s="59"/>
      <c r="C263" s="24">
        <f t="shared" si="43"/>
        <v>1</v>
      </c>
      <c r="D263" s="719"/>
      <c r="E263" s="24">
        <f t="shared" si="44"/>
        <v>0.06</v>
      </c>
      <c r="F263" s="719"/>
      <c r="G263" s="24">
        <f t="shared" si="45"/>
        <v>0.02</v>
      </c>
      <c r="H263" s="719"/>
      <c r="I263" s="24">
        <f t="shared" si="46"/>
        <v>0.09</v>
      </c>
      <c r="J263" s="719"/>
      <c r="K263" s="24">
        <f t="shared" si="47"/>
        <v>0</v>
      </c>
      <c r="L263" s="719"/>
      <c r="M263" s="24">
        <f t="shared" si="48"/>
        <v>0.2</v>
      </c>
      <c r="N263" s="719"/>
      <c r="O263" s="24">
        <f t="shared" si="49"/>
        <v>0.2</v>
      </c>
      <c r="P263" s="719"/>
      <c r="Q263" s="24">
        <f t="shared" si="50"/>
        <v>0</v>
      </c>
      <c r="R263" s="715">
        <f t="shared" si="51"/>
        <v>0</v>
      </c>
      <c r="S263" s="361">
        <f t="shared" si="52"/>
        <v>0</v>
      </c>
    </row>
    <row r="264" spans="1:19">
      <c r="A264" s="159"/>
      <c r="B264" s="59"/>
      <c r="C264" s="24">
        <f t="shared" si="43"/>
        <v>1</v>
      </c>
      <c r="D264" s="719"/>
      <c r="E264" s="24">
        <f t="shared" si="44"/>
        <v>0.06</v>
      </c>
      <c r="F264" s="719"/>
      <c r="G264" s="24">
        <f t="shared" si="45"/>
        <v>0.02</v>
      </c>
      <c r="H264" s="719"/>
      <c r="I264" s="24">
        <f t="shared" si="46"/>
        <v>0.09</v>
      </c>
      <c r="J264" s="719"/>
      <c r="K264" s="24">
        <f t="shared" si="47"/>
        <v>0</v>
      </c>
      <c r="L264" s="719"/>
      <c r="M264" s="24">
        <f t="shared" si="48"/>
        <v>0.2</v>
      </c>
      <c r="N264" s="719"/>
      <c r="O264" s="24">
        <f t="shared" si="49"/>
        <v>0.2</v>
      </c>
      <c r="P264" s="719"/>
      <c r="Q264" s="24">
        <f t="shared" si="50"/>
        <v>0</v>
      </c>
      <c r="R264" s="715">
        <f t="shared" si="51"/>
        <v>0</v>
      </c>
      <c r="S264" s="361">
        <f t="shared" si="52"/>
        <v>0</v>
      </c>
    </row>
    <row r="265" spans="1:19">
      <c r="A265" s="159"/>
      <c r="B265" s="59"/>
      <c r="C265" s="24">
        <f t="shared" si="43"/>
        <v>1</v>
      </c>
      <c r="D265" s="719"/>
      <c r="E265" s="24">
        <f t="shared" si="44"/>
        <v>0.06</v>
      </c>
      <c r="F265" s="719"/>
      <c r="G265" s="24">
        <f t="shared" si="45"/>
        <v>0.02</v>
      </c>
      <c r="H265" s="719"/>
      <c r="I265" s="24">
        <f t="shared" si="46"/>
        <v>0.09</v>
      </c>
      <c r="J265" s="719"/>
      <c r="K265" s="24">
        <f t="shared" si="47"/>
        <v>0</v>
      </c>
      <c r="L265" s="719"/>
      <c r="M265" s="24">
        <f t="shared" si="48"/>
        <v>0.2</v>
      </c>
      <c r="N265" s="719"/>
      <c r="O265" s="24">
        <f t="shared" si="49"/>
        <v>0.2</v>
      </c>
      <c r="P265" s="719"/>
      <c r="Q265" s="24">
        <f t="shared" si="50"/>
        <v>0</v>
      </c>
      <c r="R265" s="715">
        <f t="shared" si="51"/>
        <v>0</v>
      </c>
      <c r="S265" s="361">
        <f t="shared" si="52"/>
        <v>0</v>
      </c>
    </row>
    <row r="266" spans="1:19">
      <c r="A266" s="159"/>
      <c r="B266" s="59"/>
      <c r="C266" s="24">
        <f t="shared" si="43"/>
        <v>1</v>
      </c>
      <c r="D266" s="719"/>
      <c r="E266" s="24">
        <f t="shared" si="44"/>
        <v>0.06</v>
      </c>
      <c r="F266" s="719"/>
      <c r="G266" s="24">
        <f t="shared" si="45"/>
        <v>0.02</v>
      </c>
      <c r="H266" s="719"/>
      <c r="I266" s="24">
        <f t="shared" si="46"/>
        <v>0.09</v>
      </c>
      <c r="J266" s="719"/>
      <c r="K266" s="24">
        <f t="shared" si="47"/>
        <v>0</v>
      </c>
      <c r="L266" s="719"/>
      <c r="M266" s="24">
        <f t="shared" si="48"/>
        <v>0.2</v>
      </c>
      <c r="N266" s="719"/>
      <c r="O266" s="24">
        <f t="shared" si="49"/>
        <v>0.2</v>
      </c>
      <c r="P266" s="719"/>
      <c r="Q266" s="24">
        <f t="shared" si="50"/>
        <v>0</v>
      </c>
      <c r="R266" s="715">
        <f t="shared" si="51"/>
        <v>0</v>
      </c>
      <c r="S266" s="361">
        <f t="shared" si="52"/>
        <v>0</v>
      </c>
    </row>
    <row r="267" spans="1:19">
      <c r="A267" s="159"/>
      <c r="B267" s="59"/>
      <c r="C267" s="24">
        <f t="shared" si="43"/>
        <v>1</v>
      </c>
      <c r="D267" s="719"/>
      <c r="E267" s="24">
        <f t="shared" si="44"/>
        <v>0.06</v>
      </c>
      <c r="F267" s="719"/>
      <c r="G267" s="24">
        <f t="shared" si="45"/>
        <v>0.02</v>
      </c>
      <c r="H267" s="719"/>
      <c r="I267" s="24">
        <f t="shared" si="46"/>
        <v>0.09</v>
      </c>
      <c r="J267" s="719"/>
      <c r="K267" s="24">
        <f t="shared" si="47"/>
        <v>0</v>
      </c>
      <c r="L267" s="719"/>
      <c r="M267" s="24">
        <f t="shared" si="48"/>
        <v>0.2</v>
      </c>
      <c r="N267" s="719"/>
      <c r="O267" s="24">
        <f t="shared" si="49"/>
        <v>0.2</v>
      </c>
      <c r="P267" s="719"/>
      <c r="Q267" s="24">
        <f t="shared" si="50"/>
        <v>0</v>
      </c>
      <c r="R267" s="715">
        <f t="shared" si="51"/>
        <v>0</v>
      </c>
      <c r="S267" s="361">
        <f t="shared" si="52"/>
        <v>0</v>
      </c>
    </row>
    <row r="268" spans="1:19">
      <c r="A268" s="159"/>
      <c r="B268" s="59"/>
      <c r="C268" s="24">
        <f t="shared" si="43"/>
        <v>1</v>
      </c>
      <c r="D268" s="719"/>
      <c r="E268" s="24">
        <f t="shared" si="44"/>
        <v>0.06</v>
      </c>
      <c r="F268" s="719"/>
      <c r="G268" s="24">
        <f t="shared" si="45"/>
        <v>0.02</v>
      </c>
      <c r="H268" s="719"/>
      <c r="I268" s="24">
        <f t="shared" si="46"/>
        <v>0.09</v>
      </c>
      <c r="J268" s="719"/>
      <c r="K268" s="24">
        <f t="shared" si="47"/>
        <v>0</v>
      </c>
      <c r="L268" s="719"/>
      <c r="M268" s="24">
        <f t="shared" si="48"/>
        <v>0.2</v>
      </c>
      <c r="N268" s="719"/>
      <c r="O268" s="24">
        <f t="shared" si="49"/>
        <v>0.2</v>
      </c>
      <c r="P268" s="719"/>
      <c r="Q268" s="24">
        <f t="shared" si="50"/>
        <v>0</v>
      </c>
      <c r="R268" s="715">
        <f t="shared" si="51"/>
        <v>0</v>
      </c>
      <c r="S268" s="361">
        <f t="shared" si="52"/>
        <v>0</v>
      </c>
    </row>
    <row r="269" spans="1:19">
      <c r="A269" s="159"/>
      <c r="B269" s="59"/>
      <c r="C269" s="24">
        <f t="shared" si="43"/>
        <v>1</v>
      </c>
      <c r="D269" s="719"/>
      <c r="E269" s="24">
        <f t="shared" si="44"/>
        <v>0.06</v>
      </c>
      <c r="F269" s="719"/>
      <c r="G269" s="24">
        <f t="shared" si="45"/>
        <v>0.02</v>
      </c>
      <c r="H269" s="719"/>
      <c r="I269" s="24">
        <f t="shared" si="46"/>
        <v>0.09</v>
      </c>
      <c r="J269" s="719"/>
      <c r="K269" s="24">
        <f t="shared" si="47"/>
        <v>0</v>
      </c>
      <c r="L269" s="719"/>
      <c r="M269" s="24">
        <f t="shared" si="48"/>
        <v>0.2</v>
      </c>
      <c r="N269" s="719"/>
      <c r="O269" s="24">
        <f t="shared" si="49"/>
        <v>0.2</v>
      </c>
      <c r="P269" s="719"/>
      <c r="Q269" s="24">
        <f t="shared" si="50"/>
        <v>0</v>
      </c>
      <c r="R269" s="715">
        <f t="shared" si="51"/>
        <v>0</v>
      </c>
      <c r="S269" s="361">
        <f t="shared" si="52"/>
        <v>0</v>
      </c>
    </row>
    <row r="270" spans="1:19">
      <c r="A270" s="159"/>
      <c r="B270" s="59"/>
      <c r="C270" s="24">
        <f t="shared" si="43"/>
        <v>1</v>
      </c>
      <c r="D270" s="719"/>
      <c r="E270" s="24">
        <f t="shared" si="44"/>
        <v>0.06</v>
      </c>
      <c r="F270" s="719"/>
      <c r="G270" s="24">
        <f t="shared" si="45"/>
        <v>0.02</v>
      </c>
      <c r="H270" s="719"/>
      <c r="I270" s="24">
        <f t="shared" si="46"/>
        <v>0.09</v>
      </c>
      <c r="J270" s="719"/>
      <c r="K270" s="24">
        <f t="shared" si="47"/>
        <v>0</v>
      </c>
      <c r="L270" s="719"/>
      <c r="M270" s="24">
        <f t="shared" si="48"/>
        <v>0.2</v>
      </c>
      <c r="N270" s="719"/>
      <c r="O270" s="24">
        <f t="shared" si="49"/>
        <v>0.2</v>
      </c>
      <c r="P270" s="719"/>
      <c r="Q270" s="24">
        <f t="shared" si="50"/>
        <v>0</v>
      </c>
      <c r="R270" s="715">
        <f t="shared" si="51"/>
        <v>0</v>
      </c>
      <c r="S270" s="361">
        <f t="shared" si="52"/>
        <v>0</v>
      </c>
    </row>
    <row r="271" spans="1:19">
      <c r="A271" s="159"/>
      <c r="B271" s="59"/>
      <c r="C271" s="24">
        <f t="shared" si="43"/>
        <v>1</v>
      </c>
      <c r="D271" s="719"/>
      <c r="E271" s="24">
        <f t="shared" si="44"/>
        <v>0.06</v>
      </c>
      <c r="F271" s="719"/>
      <c r="G271" s="24">
        <f t="shared" si="45"/>
        <v>0.02</v>
      </c>
      <c r="H271" s="719"/>
      <c r="I271" s="24">
        <f t="shared" si="46"/>
        <v>0.09</v>
      </c>
      <c r="J271" s="719"/>
      <c r="K271" s="24">
        <f t="shared" si="47"/>
        <v>0</v>
      </c>
      <c r="L271" s="719"/>
      <c r="M271" s="24">
        <f t="shared" si="48"/>
        <v>0.2</v>
      </c>
      <c r="N271" s="719"/>
      <c r="O271" s="24">
        <f t="shared" si="49"/>
        <v>0.2</v>
      </c>
      <c r="P271" s="719"/>
      <c r="Q271" s="24">
        <f t="shared" si="50"/>
        <v>0</v>
      </c>
      <c r="R271" s="715">
        <f t="shared" si="51"/>
        <v>0</v>
      </c>
      <c r="S271" s="361">
        <f t="shared" si="52"/>
        <v>0</v>
      </c>
    </row>
    <row r="272" spans="1:19">
      <c r="A272" s="159"/>
      <c r="B272" s="59"/>
      <c r="C272" s="24">
        <f t="shared" si="43"/>
        <v>1</v>
      </c>
      <c r="D272" s="719"/>
      <c r="E272" s="24">
        <f t="shared" si="44"/>
        <v>0.06</v>
      </c>
      <c r="F272" s="719"/>
      <c r="G272" s="24">
        <f t="shared" si="45"/>
        <v>0.02</v>
      </c>
      <c r="H272" s="719"/>
      <c r="I272" s="24">
        <f t="shared" si="46"/>
        <v>0.09</v>
      </c>
      <c r="J272" s="719"/>
      <c r="K272" s="24">
        <f t="shared" si="47"/>
        <v>0</v>
      </c>
      <c r="L272" s="719"/>
      <c r="M272" s="24">
        <f t="shared" si="48"/>
        <v>0.2</v>
      </c>
      <c r="N272" s="719"/>
      <c r="O272" s="24">
        <f t="shared" si="49"/>
        <v>0.2</v>
      </c>
      <c r="P272" s="719"/>
      <c r="Q272" s="24">
        <f t="shared" si="50"/>
        <v>0</v>
      </c>
      <c r="R272" s="715">
        <f t="shared" si="51"/>
        <v>0</v>
      </c>
      <c r="S272" s="361">
        <f t="shared" si="52"/>
        <v>0</v>
      </c>
    </row>
    <row r="273" spans="1:19">
      <c r="A273" s="159"/>
      <c r="B273" s="59"/>
      <c r="C273" s="24">
        <f t="shared" si="43"/>
        <v>1</v>
      </c>
      <c r="D273" s="719"/>
      <c r="E273" s="24">
        <f t="shared" si="44"/>
        <v>0.06</v>
      </c>
      <c r="F273" s="719"/>
      <c r="G273" s="24">
        <f t="shared" si="45"/>
        <v>0.02</v>
      </c>
      <c r="H273" s="719"/>
      <c r="I273" s="24">
        <f t="shared" si="46"/>
        <v>0.09</v>
      </c>
      <c r="J273" s="719"/>
      <c r="K273" s="24">
        <f t="shared" si="47"/>
        <v>0</v>
      </c>
      <c r="L273" s="719"/>
      <c r="M273" s="24">
        <f t="shared" si="48"/>
        <v>0.2</v>
      </c>
      <c r="N273" s="719"/>
      <c r="O273" s="24">
        <f t="shared" si="49"/>
        <v>0.2</v>
      </c>
      <c r="P273" s="719"/>
      <c r="Q273" s="24">
        <f t="shared" si="50"/>
        <v>0</v>
      </c>
      <c r="R273" s="715">
        <f t="shared" si="51"/>
        <v>0</v>
      </c>
      <c r="S273" s="361">
        <f t="shared" si="52"/>
        <v>0</v>
      </c>
    </row>
    <row r="274" spans="1:19">
      <c r="A274" s="159"/>
      <c r="B274" s="59"/>
      <c r="C274" s="24">
        <f t="shared" si="43"/>
        <v>1</v>
      </c>
      <c r="D274" s="719"/>
      <c r="E274" s="24">
        <f t="shared" si="44"/>
        <v>0.06</v>
      </c>
      <c r="F274" s="719"/>
      <c r="G274" s="24">
        <f t="shared" si="45"/>
        <v>0.02</v>
      </c>
      <c r="H274" s="719"/>
      <c r="I274" s="24">
        <f t="shared" si="46"/>
        <v>0.09</v>
      </c>
      <c r="J274" s="719"/>
      <c r="K274" s="24">
        <f t="shared" si="47"/>
        <v>0</v>
      </c>
      <c r="L274" s="719"/>
      <c r="M274" s="24">
        <f t="shared" si="48"/>
        <v>0.2</v>
      </c>
      <c r="N274" s="719"/>
      <c r="O274" s="24">
        <f t="shared" si="49"/>
        <v>0.2</v>
      </c>
      <c r="P274" s="719"/>
      <c r="Q274" s="24">
        <f t="shared" si="50"/>
        <v>0</v>
      </c>
      <c r="R274" s="715">
        <f t="shared" si="51"/>
        <v>0</v>
      </c>
      <c r="S274" s="361">
        <f t="shared" si="52"/>
        <v>0</v>
      </c>
    </row>
    <row r="275" spans="1:19">
      <c r="A275" s="159"/>
      <c r="B275" s="59"/>
      <c r="C275" s="24">
        <f t="shared" si="43"/>
        <v>1</v>
      </c>
      <c r="D275" s="719"/>
      <c r="E275" s="24">
        <f t="shared" si="44"/>
        <v>0.06</v>
      </c>
      <c r="F275" s="719"/>
      <c r="G275" s="24">
        <f t="shared" si="45"/>
        <v>0.02</v>
      </c>
      <c r="H275" s="719"/>
      <c r="I275" s="24">
        <f t="shared" si="46"/>
        <v>0.09</v>
      </c>
      <c r="J275" s="719"/>
      <c r="K275" s="24">
        <f t="shared" si="47"/>
        <v>0</v>
      </c>
      <c r="L275" s="719"/>
      <c r="M275" s="24">
        <f t="shared" si="48"/>
        <v>0.2</v>
      </c>
      <c r="N275" s="719"/>
      <c r="O275" s="24">
        <f t="shared" si="49"/>
        <v>0.2</v>
      </c>
      <c r="P275" s="719"/>
      <c r="Q275" s="24">
        <f t="shared" si="50"/>
        <v>0</v>
      </c>
      <c r="R275" s="715">
        <f t="shared" si="51"/>
        <v>0</v>
      </c>
      <c r="S275" s="361">
        <f t="shared" si="52"/>
        <v>0</v>
      </c>
    </row>
    <row r="276" spans="1:19">
      <c r="A276" s="159"/>
      <c r="B276" s="59"/>
      <c r="C276" s="24">
        <f t="shared" si="43"/>
        <v>1</v>
      </c>
      <c r="D276" s="719"/>
      <c r="E276" s="24">
        <f t="shared" si="44"/>
        <v>0.06</v>
      </c>
      <c r="F276" s="719"/>
      <c r="G276" s="24">
        <f t="shared" si="45"/>
        <v>0.02</v>
      </c>
      <c r="H276" s="719"/>
      <c r="I276" s="24">
        <f t="shared" si="46"/>
        <v>0.09</v>
      </c>
      <c r="J276" s="719"/>
      <c r="K276" s="24">
        <f t="shared" si="47"/>
        <v>0</v>
      </c>
      <c r="L276" s="719"/>
      <c r="M276" s="24">
        <f t="shared" si="48"/>
        <v>0.2</v>
      </c>
      <c r="N276" s="719"/>
      <c r="O276" s="24">
        <f t="shared" si="49"/>
        <v>0.2</v>
      </c>
      <c r="P276" s="719"/>
      <c r="Q276" s="24">
        <f t="shared" si="50"/>
        <v>0</v>
      </c>
      <c r="R276" s="715">
        <f t="shared" si="51"/>
        <v>0</v>
      </c>
      <c r="S276" s="361">
        <f t="shared" si="52"/>
        <v>0</v>
      </c>
    </row>
    <row r="277" spans="1:19">
      <c r="A277" s="159"/>
      <c r="B277" s="59"/>
      <c r="C277" s="24">
        <f t="shared" si="43"/>
        <v>1</v>
      </c>
      <c r="D277" s="719"/>
      <c r="E277" s="24">
        <f t="shared" si="44"/>
        <v>0.06</v>
      </c>
      <c r="F277" s="719"/>
      <c r="G277" s="24">
        <f t="shared" si="45"/>
        <v>0.02</v>
      </c>
      <c r="H277" s="719"/>
      <c r="I277" s="24">
        <f t="shared" si="46"/>
        <v>0.09</v>
      </c>
      <c r="J277" s="719"/>
      <c r="K277" s="24">
        <f t="shared" si="47"/>
        <v>0</v>
      </c>
      <c r="L277" s="719"/>
      <c r="M277" s="24">
        <f t="shared" si="48"/>
        <v>0.2</v>
      </c>
      <c r="N277" s="719"/>
      <c r="O277" s="24">
        <f t="shared" si="49"/>
        <v>0.2</v>
      </c>
      <c r="P277" s="719"/>
      <c r="Q277" s="24">
        <f t="shared" si="50"/>
        <v>0</v>
      </c>
      <c r="R277" s="715">
        <f t="shared" si="51"/>
        <v>0</v>
      </c>
      <c r="S277" s="361">
        <f t="shared" si="52"/>
        <v>0</v>
      </c>
    </row>
    <row r="278" spans="1:19">
      <c r="A278" s="159"/>
      <c r="B278" s="59"/>
      <c r="C278" s="24">
        <f t="shared" si="43"/>
        <v>1</v>
      </c>
      <c r="D278" s="719"/>
      <c r="E278" s="24">
        <f t="shared" si="44"/>
        <v>0.06</v>
      </c>
      <c r="F278" s="719"/>
      <c r="G278" s="24">
        <f t="shared" si="45"/>
        <v>0.02</v>
      </c>
      <c r="H278" s="719"/>
      <c r="I278" s="24">
        <f t="shared" si="46"/>
        <v>0.09</v>
      </c>
      <c r="J278" s="719"/>
      <c r="K278" s="24">
        <f t="shared" si="47"/>
        <v>0</v>
      </c>
      <c r="L278" s="719"/>
      <c r="M278" s="24">
        <f t="shared" si="48"/>
        <v>0.2</v>
      </c>
      <c r="N278" s="719"/>
      <c r="O278" s="24">
        <f t="shared" si="49"/>
        <v>0.2</v>
      </c>
      <c r="P278" s="719"/>
      <c r="Q278" s="24">
        <f t="shared" si="50"/>
        <v>0</v>
      </c>
      <c r="R278" s="715">
        <f t="shared" si="51"/>
        <v>0</v>
      </c>
      <c r="S278" s="361">
        <f t="shared" si="52"/>
        <v>0</v>
      </c>
    </row>
    <row r="279" spans="1:19">
      <c r="A279" s="159"/>
      <c r="B279" s="59"/>
      <c r="C279" s="24">
        <f t="shared" si="43"/>
        <v>1</v>
      </c>
      <c r="D279" s="719"/>
      <c r="E279" s="24">
        <f t="shared" si="44"/>
        <v>0.06</v>
      </c>
      <c r="F279" s="719"/>
      <c r="G279" s="24">
        <f t="shared" si="45"/>
        <v>0.02</v>
      </c>
      <c r="H279" s="719"/>
      <c r="I279" s="24">
        <f t="shared" si="46"/>
        <v>0.09</v>
      </c>
      <c r="J279" s="719"/>
      <c r="K279" s="24">
        <f t="shared" si="47"/>
        <v>0</v>
      </c>
      <c r="L279" s="719"/>
      <c r="M279" s="24">
        <f t="shared" si="48"/>
        <v>0.2</v>
      </c>
      <c r="N279" s="719"/>
      <c r="O279" s="24">
        <f t="shared" si="49"/>
        <v>0.2</v>
      </c>
      <c r="P279" s="719"/>
      <c r="Q279" s="24">
        <f t="shared" si="50"/>
        <v>0</v>
      </c>
      <c r="R279" s="715">
        <f t="shared" si="51"/>
        <v>0</v>
      </c>
      <c r="S279" s="361">
        <f t="shared" si="52"/>
        <v>0</v>
      </c>
    </row>
    <row r="280" spans="1:19">
      <c r="A280" s="159"/>
      <c r="B280" s="59"/>
      <c r="C280" s="24">
        <f t="shared" si="43"/>
        <v>1</v>
      </c>
      <c r="D280" s="719"/>
      <c r="E280" s="24">
        <f t="shared" si="44"/>
        <v>0.06</v>
      </c>
      <c r="F280" s="719"/>
      <c r="G280" s="24">
        <f t="shared" si="45"/>
        <v>0.02</v>
      </c>
      <c r="H280" s="719"/>
      <c r="I280" s="24">
        <f t="shared" si="46"/>
        <v>0.09</v>
      </c>
      <c r="J280" s="719"/>
      <c r="K280" s="24">
        <f t="shared" si="47"/>
        <v>0</v>
      </c>
      <c r="L280" s="719"/>
      <c r="M280" s="24">
        <f t="shared" si="48"/>
        <v>0.2</v>
      </c>
      <c r="N280" s="719"/>
      <c r="O280" s="24">
        <f t="shared" si="49"/>
        <v>0.2</v>
      </c>
      <c r="P280" s="719"/>
      <c r="Q280" s="24">
        <f t="shared" si="50"/>
        <v>0</v>
      </c>
      <c r="R280" s="715">
        <f t="shared" si="51"/>
        <v>0</v>
      </c>
      <c r="S280" s="361">
        <f t="shared" si="52"/>
        <v>0</v>
      </c>
    </row>
    <row r="281" spans="1:19">
      <c r="A281" s="159"/>
      <c r="B281" s="59"/>
      <c r="C281" s="24">
        <f t="shared" si="43"/>
        <v>1</v>
      </c>
      <c r="D281" s="719"/>
      <c r="E281" s="24">
        <f t="shared" si="44"/>
        <v>0.06</v>
      </c>
      <c r="F281" s="719"/>
      <c r="G281" s="24">
        <f t="shared" si="45"/>
        <v>0.02</v>
      </c>
      <c r="H281" s="719"/>
      <c r="I281" s="24">
        <f t="shared" si="46"/>
        <v>0.09</v>
      </c>
      <c r="J281" s="719"/>
      <c r="K281" s="24">
        <f t="shared" si="47"/>
        <v>0</v>
      </c>
      <c r="L281" s="719"/>
      <c r="M281" s="24">
        <f t="shared" si="48"/>
        <v>0.2</v>
      </c>
      <c r="N281" s="719"/>
      <c r="O281" s="24">
        <f t="shared" si="49"/>
        <v>0.2</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0.06</v>
      </c>
      <c r="F282" s="719"/>
      <c r="G282" s="24">
        <f t="shared" ref="G282:G345" si="55">(SUMIF($7:$7,F282,$8:$8)-SUMIF($7:$7,$F$24,$8:$8)+100)/100</f>
        <v>0.02</v>
      </c>
      <c r="H282" s="719"/>
      <c r="I282" s="24">
        <f t="shared" ref="I282:I345" si="56">(SUMIF($9:$9,H282,$10:$10)-SUMIF($9:$9,$H$24,$10:$10)+100)/100</f>
        <v>0.09</v>
      </c>
      <c r="J282" s="719"/>
      <c r="K282" s="24">
        <f t="shared" ref="K282:K345" si="57">(SUMIF($11:$11,J282,$12:$12)-SUMIF($11:$11,$J$24,$12:$12)+100)/100</f>
        <v>0</v>
      </c>
      <c r="L282" s="719"/>
      <c r="M282" s="24">
        <f t="shared" ref="M282:M345" si="58">(SUMIF($13:$13,L282,$14:$14)-SUMIF($13:$13,$L$24,$14:$14)+100)/100</f>
        <v>0.2</v>
      </c>
      <c r="N282" s="719"/>
      <c r="O282" s="24">
        <f t="shared" ref="O282:O345" si="59">(SUMIF($15:$15,N282,$16:$16)-SUMIF($15:$15,$N$24,$16:$16)+100)/100</f>
        <v>0.2</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0.06</v>
      </c>
      <c r="F283" s="719"/>
      <c r="G283" s="24">
        <f t="shared" si="55"/>
        <v>0.02</v>
      </c>
      <c r="H283" s="719"/>
      <c r="I283" s="24">
        <f t="shared" si="56"/>
        <v>0.09</v>
      </c>
      <c r="J283" s="719"/>
      <c r="K283" s="24">
        <f t="shared" si="57"/>
        <v>0</v>
      </c>
      <c r="L283" s="719"/>
      <c r="M283" s="24">
        <f t="shared" si="58"/>
        <v>0.2</v>
      </c>
      <c r="N283" s="719"/>
      <c r="O283" s="24">
        <f t="shared" si="59"/>
        <v>0.2</v>
      </c>
      <c r="P283" s="719"/>
      <c r="Q283" s="24">
        <f t="shared" si="60"/>
        <v>0</v>
      </c>
      <c r="R283" s="715">
        <f t="shared" si="61"/>
        <v>0</v>
      </c>
      <c r="S283" s="361">
        <f t="shared" si="52"/>
        <v>0</v>
      </c>
    </row>
    <row r="284" spans="1:19">
      <c r="A284" s="159"/>
      <c r="B284" s="59"/>
      <c r="C284" s="24">
        <f t="shared" si="53"/>
        <v>1</v>
      </c>
      <c r="D284" s="719"/>
      <c r="E284" s="24">
        <f t="shared" si="54"/>
        <v>0.06</v>
      </c>
      <c r="F284" s="719"/>
      <c r="G284" s="24">
        <f t="shared" si="55"/>
        <v>0.02</v>
      </c>
      <c r="H284" s="719"/>
      <c r="I284" s="24">
        <f t="shared" si="56"/>
        <v>0.09</v>
      </c>
      <c r="J284" s="719"/>
      <c r="K284" s="24">
        <f t="shared" si="57"/>
        <v>0</v>
      </c>
      <c r="L284" s="719"/>
      <c r="M284" s="24">
        <f t="shared" si="58"/>
        <v>0.2</v>
      </c>
      <c r="N284" s="719"/>
      <c r="O284" s="24">
        <f t="shared" si="59"/>
        <v>0.2</v>
      </c>
      <c r="P284" s="719"/>
      <c r="Q284" s="24">
        <f t="shared" si="60"/>
        <v>0</v>
      </c>
      <c r="R284" s="715">
        <f t="shared" si="61"/>
        <v>0</v>
      </c>
      <c r="S284" s="361">
        <f t="shared" si="52"/>
        <v>0</v>
      </c>
    </row>
    <row r="285" spans="1:19">
      <c r="A285" s="159"/>
      <c r="B285" s="59"/>
      <c r="C285" s="24">
        <f t="shared" si="53"/>
        <v>1</v>
      </c>
      <c r="D285" s="719"/>
      <c r="E285" s="24">
        <f t="shared" si="54"/>
        <v>0.06</v>
      </c>
      <c r="F285" s="719"/>
      <c r="G285" s="24">
        <f t="shared" si="55"/>
        <v>0.02</v>
      </c>
      <c r="H285" s="719"/>
      <c r="I285" s="24">
        <f t="shared" si="56"/>
        <v>0.09</v>
      </c>
      <c r="J285" s="719"/>
      <c r="K285" s="24">
        <f t="shared" si="57"/>
        <v>0</v>
      </c>
      <c r="L285" s="719"/>
      <c r="M285" s="24">
        <f t="shared" si="58"/>
        <v>0.2</v>
      </c>
      <c r="N285" s="719"/>
      <c r="O285" s="24">
        <f t="shared" si="59"/>
        <v>0.2</v>
      </c>
      <c r="P285" s="719"/>
      <c r="Q285" s="24">
        <f t="shared" si="60"/>
        <v>0</v>
      </c>
      <c r="R285" s="715">
        <f t="shared" si="61"/>
        <v>0</v>
      </c>
      <c r="S285" s="361">
        <f t="shared" si="52"/>
        <v>0</v>
      </c>
    </row>
    <row r="286" spans="1:19">
      <c r="A286" s="159"/>
      <c r="B286" s="59"/>
      <c r="C286" s="24">
        <f t="shared" si="53"/>
        <v>1</v>
      </c>
      <c r="D286" s="719"/>
      <c r="E286" s="24">
        <f t="shared" si="54"/>
        <v>0.06</v>
      </c>
      <c r="F286" s="719"/>
      <c r="G286" s="24">
        <f t="shared" si="55"/>
        <v>0.02</v>
      </c>
      <c r="H286" s="719"/>
      <c r="I286" s="24">
        <f t="shared" si="56"/>
        <v>0.09</v>
      </c>
      <c r="J286" s="719"/>
      <c r="K286" s="24">
        <f t="shared" si="57"/>
        <v>0</v>
      </c>
      <c r="L286" s="719"/>
      <c r="M286" s="24">
        <f t="shared" si="58"/>
        <v>0.2</v>
      </c>
      <c r="N286" s="719"/>
      <c r="O286" s="24">
        <f t="shared" si="59"/>
        <v>0.2</v>
      </c>
      <c r="P286" s="719"/>
      <c r="Q286" s="24">
        <f t="shared" si="60"/>
        <v>0</v>
      </c>
      <c r="R286" s="715">
        <f t="shared" si="61"/>
        <v>0</v>
      </c>
      <c r="S286" s="361">
        <f t="shared" si="52"/>
        <v>0</v>
      </c>
    </row>
    <row r="287" spans="1:19">
      <c r="A287" s="159"/>
      <c r="B287" s="59"/>
      <c r="C287" s="24">
        <f t="shared" si="53"/>
        <v>1</v>
      </c>
      <c r="D287" s="719"/>
      <c r="E287" s="24">
        <f t="shared" si="54"/>
        <v>0.06</v>
      </c>
      <c r="F287" s="719"/>
      <c r="G287" s="24">
        <f t="shared" si="55"/>
        <v>0.02</v>
      </c>
      <c r="H287" s="719"/>
      <c r="I287" s="24">
        <f t="shared" si="56"/>
        <v>0.09</v>
      </c>
      <c r="J287" s="719"/>
      <c r="K287" s="24">
        <f t="shared" si="57"/>
        <v>0</v>
      </c>
      <c r="L287" s="719"/>
      <c r="M287" s="24">
        <f t="shared" si="58"/>
        <v>0.2</v>
      </c>
      <c r="N287" s="719"/>
      <c r="O287" s="24">
        <f t="shared" si="59"/>
        <v>0.2</v>
      </c>
      <c r="P287" s="719"/>
      <c r="Q287" s="24">
        <f t="shared" si="60"/>
        <v>0</v>
      </c>
      <c r="R287" s="715">
        <f t="shared" si="61"/>
        <v>0</v>
      </c>
      <c r="S287" s="361">
        <f t="shared" ref="S287:S320" si="62">ROUND(R287*B287/10000,0)</f>
        <v>0</v>
      </c>
    </row>
    <row r="288" spans="1:19">
      <c r="A288" s="159"/>
      <c r="B288" s="59"/>
      <c r="C288" s="24">
        <f t="shared" si="53"/>
        <v>1</v>
      </c>
      <c r="D288" s="719"/>
      <c r="E288" s="24">
        <f t="shared" si="54"/>
        <v>0.06</v>
      </c>
      <c r="F288" s="719"/>
      <c r="G288" s="24">
        <f t="shared" si="55"/>
        <v>0.02</v>
      </c>
      <c r="H288" s="719"/>
      <c r="I288" s="24">
        <f t="shared" si="56"/>
        <v>0.09</v>
      </c>
      <c r="J288" s="719"/>
      <c r="K288" s="24">
        <f t="shared" si="57"/>
        <v>0</v>
      </c>
      <c r="L288" s="719"/>
      <c r="M288" s="24">
        <f t="shared" si="58"/>
        <v>0.2</v>
      </c>
      <c r="N288" s="719"/>
      <c r="O288" s="24">
        <f t="shared" si="59"/>
        <v>0.2</v>
      </c>
      <c r="P288" s="719"/>
      <c r="Q288" s="24">
        <f t="shared" si="60"/>
        <v>0</v>
      </c>
      <c r="R288" s="715">
        <f t="shared" si="61"/>
        <v>0</v>
      </c>
      <c r="S288" s="361">
        <f t="shared" si="62"/>
        <v>0</v>
      </c>
    </row>
    <row r="289" spans="1:19">
      <c r="A289" s="159"/>
      <c r="B289" s="59"/>
      <c r="C289" s="24">
        <f t="shared" si="53"/>
        <v>1</v>
      </c>
      <c r="D289" s="719"/>
      <c r="E289" s="24">
        <f t="shared" si="54"/>
        <v>0.06</v>
      </c>
      <c r="F289" s="719"/>
      <c r="G289" s="24">
        <f t="shared" si="55"/>
        <v>0.02</v>
      </c>
      <c r="H289" s="719"/>
      <c r="I289" s="24">
        <f t="shared" si="56"/>
        <v>0.09</v>
      </c>
      <c r="J289" s="719"/>
      <c r="K289" s="24">
        <f t="shared" si="57"/>
        <v>0</v>
      </c>
      <c r="L289" s="719"/>
      <c r="M289" s="24">
        <f t="shared" si="58"/>
        <v>0.2</v>
      </c>
      <c r="N289" s="719"/>
      <c r="O289" s="24">
        <f t="shared" si="59"/>
        <v>0.2</v>
      </c>
      <c r="P289" s="719"/>
      <c r="Q289" s="24">
        <f t="shared" si="60"/>
        <v>0</v>
      </c>
      <c r="R289" s="715">
        <f t="shared" si="61"/>
        <v>0</v>
      </c>
      <c r="S289" s="361">
        <f t="shared" si="62"/>
        <v>0</v>
      </c>
    </row>
    <row r="290" spans="1:19">
      <c r="A290" s="159"/>
      <c r="B290" s="59"/>
      <c r="C290" s="24">
        <f t="shared" si="53"/>
        <v>1</v>
      </c>
      <c r="D290" s="719"/>
      <c r="E290" s="24">
        <f t="shared" si="54"/>
        <v>0.06</v>
      </c>
      <c r="F290" s="719"/>
      <c r="G290" s="24">
        <f t="shared" si="55"/>
        <v>0.02</v>
      </c>
      <c r="H290" s="719"/>
      <c r="I290" s="24">
        <f t="shared" si="56"/>
        <v>0.09</v>
      </c>
      <c r="J290" s="719"/>
      <c r="K290" s="24">
        <f t="shared" si="57"/>
        <v>0</v>
      </c>
      <c r="L290" s="719"/>
      <c r="M290" s="24">
        <f t="shared" si="58"/>
        <v>0.2</v>
      </c>
      <c r="N290" s="719"/>
      <c r="O290" s="24">
        <f t="shared" si="59"/>
        <v>0.2</v>
      </c>
      <c r="P290" s="719"/>
      <c r="Q290" s="24">
        <f t="shared" si="60"/>
        <v>0</v>
      </c>
      <c r="R290" s="715">
        <f t="shared" si="61"/>
        <v>0</v>
      </c>
      <c r="S290" s="361">
        <f t="shared" si="62"/>
        <v>0</v>
      </c>
    </row>
    <row r="291" spans="1:19">
      <c r="A291" s="159"/>
      <c r="B291" s="59"/>
      <c r="C291" s="24">
        <f t="shared" si="53"/>
        <v>1</v>
      </c>
      <c r="D291" s="719"/>
      <c r="E291" s="24">
        <f t="shared" si="54"/>
        <v>0.06</v>
      </c>
      <c r="F291" s="719"/>
      <c r="G291" s="24">
        <f t="shared" si="55"/>
        <v>0.02</v>
      </c>
      <c r="H291" s="719"/>
      <c r="I291" s="24">
        <f t="shared" si="56"/>
        <v>0.09</v>
      </c>
      <c r="J291" s="719"/>
      <c r="K291" s="24">
        <f t="shared" si="57"/>
        <v>0</v>
      </c>
      <c r="L291" s="719"/>
      <c r="M291" s="24">
        <f t="shared" si="58"/>
        <v>0.2</v>
      </c>
      <c r="N291" s="719"/>
      <c r="O291" s="24">
        <f t="shared" si="59"/>
        <v>0.2</v>
      </c>
      <c r="P291" s="719"/>
      <c r="Q291" s="24">
        <f t="shared" si="60"/>
        <v>0</v>
      </c>
      <c r="R291" s="715">
        <f t="shared" si="61"/>
        <v>0</v>
      </c>
      <c r="S291" s="361">
        <f t="shared" si="62"/>
        <v>0</v>
      </c>
    </row>
    <row r="292" spans="1:19">
      <c r="A292" s="159"/>
      <c r="B292" s="59"/>
      <c r="C292" s="24">
        <f t="shared" si="53"/>
        <v>1</v>
      </c>
      <c r="D292" s="719"/>
      <c r="E292" s="24">
        <f t="shared" si="54"/>
        <v>0.06</v>
      </c>
      <c r="F292" s="719"/>
      <c r="G292" s="24">
        <f t="shared" si="55"/>
        <v>0.02</v>
      </c>
      <c r="H292" s="719"/>
      <c r="I292" s="24">
        <f t="shared" si="56"/>
        <v>0.09</v>
      </c>
      <c r="J292" s="719"/>
      <c r="K292" s="24">
        <f t="shared" si="57"/>
        <v>0</v>
      </c>
      <c r="L292" s="719"/>
      <c r="M292" s="24">
        <f t="shared" si="58"/>
        <v>0.2</v>
      </c>
      <c r="N292" s="719"/>
      <c r="O292" s="24">
        <f t="shared" si="59"/>
        <v>0.2</v>
      </c>
      <c r="P292" s="719"/>
      <c r="Q292" s="24">
        <f t="shared" si="60"/>
        <v>0</v>
      </c>
      <c r="R292" s="715">
        <f t="shared" si="61"/>
        <v>0</v>
      </c>
      <c r="S292" s="361">
        <f t="shared" si="62"/>
        <v>0</v>
      </c>
    </row>
    <row r="293" spans="1:19">
      <c r="A293" s="159"/>
      <c r="B293" s="59"/>
      <c r="C293" s="24">
        <f t="shared" si="53"/>
        <v>1</v>
      </c>
      <c r="D293" s="719"/>
      <c r="E293" s="24">
        <f t="shared" si="54"/>
        <v>0.06</v>
      </c>
      <c r="F293" s="719"/>
      <c r="G293" s="24">
        <f t="shared" si="55"/>
        <v>0.02</v>
      </c>
      <c r="H293" s="719"/>
      <c r="I293" s="24">
        <f t="shared" si="56"/>
        <v>0.09</v>
      </c>
      <c r="J293" s="719"/>
      <c r="K293" s="24">
        <f t="shared" si="57"/>
        <v>0</v>
      </c>
      <c r="L293" s="719"/>
      <c r="M293" s="24">
        <f t="shared" si="58"/>
        <v>0.2</v>
      </c>
      <c r="N293" s="719"/>
      <c r="O293" s="24">
        <f t="shared" si="59"/>
        <v>0.2</v>
      </c>
      <c r="P293" s="719"/>
      <c r="Q293" s="24">
        <f t="shared" si="60"/>
        <v>0</v>
      </c>
      <c r="R293" s="715">
        <f t="shared" si="61"/>
        <v>0</v>
      </c>
      <c r="S293" s="361">
        <f t="shared" si="62"/>
        <v>0</v>
      </c>
    </row>
    <row r="294" spans="1:19">
      <c r="A294" s="159"/>
      <c r="B294" s="59"/>
      <c r="C294" s="24">
        <f t="shared" si="53"/>
        <v>1</v>
      </c>
      <c r="D294" s="719"/>
      <c r="E294" s="24">
        <f t="shared" si="54"/>
        <v>0.06</v>
      </c>
      <c r="F294" s="719"/>
      <c r="G294" s="24">
        <f t="shared" si="55"/>
        <v>0.02</v>
      </c>
      <c r="H294" s="719"/>
      <c r="I294" s="24">
        <f t="shared" si="56"/>
        <v>0.09</v>
      </c>
      <c r="J294" s="719"/>
      <c r="K294" s="24">
        <f t="shared" si="57"/>
        <v>0</v>
      </c>
      <c r="L294" s="719"/>
      <c r="M294" s="24">
        <f t="shared" si="58"/>
        <v>0.2</v>
      </c>
      <c r="N294" s="719"/>
      <c r="O294" s="24">
        <f t="shared" si="59"/>
        <v>0.2</v>
      </c>
      <c r="P294" s="719"/>
      <c r="Q294" s="24">
        <f t="shared" si="60"/>
        <v>0</v>
      </c>
      <c r="R294" s="715">
        <f t="shared" si="61"/>
        <v>0</v>
      </c>
      <c r="S294" s="361">
        <f t="shared" si="62"/>
        <v>0</v>
      </c>
    </row>
    <row r="295" spans="1:19">
      <c r="A295" s="159"/>
      <c r="B295" s="59"/>
      <c r="C295" s="24">
        <f t="shared" si="53"/>
        <v>1</v>
      </c>
      <c r="D295" s="719"/>
      <c r="E295" s="24">
        <f t="shared" si="54"/>
        <v>0.06</v>
      </c>
      <c r="F295" s="719"/>
      <c r="G295" s="24">
        <f t="shared" si="55"/>
        <v>0.02</v>
      </c>
      <c r="H295" s="719"/>
      <c r="I295" s="24">
        <f t="shared" si="56"/>
        <v>0.09</v>
      </c>
      <c r="J295" s="719"/>
      <c r="K295" s="24">
        <f t="shared" si="57"/>
        <v>0</v>
      </c>
      <c r="L295" s="719"/>
      <c r="M295" s="24">
        <f t="shared" si="58"/>
        <v>0.2</v>
      </c>
      <c r="N295" s="719"/>
      <c r="O295" s="24">
        <f t="shared" si="59"/>
        <v>0.2</v>
      </c>
      <c r="P295" s="719"/>
      <c r="Q295" s="24">
        <f t="shared" si="60"/>
        <v>0</v>
      </c>
      <c r="R295" s="715">
        <f t="shared" si="61"/>
        <v>0</v>
      </c>
      <c r="S295" s="361">
        <f t="shared" si="62"/>
        <v>0</v>
      </c>
    </row>
    <row r="296" spans="1:19">
      <c r="A296" s="159"/>
      <c r="B296" s="59"/>
      <c r="C296" s="24">
        <f t="shared" si="53"/>
        <v>1</v>
      </c>
      <c r="D296" s="719"/>
      <c r="E296" s="24">
        <f t="shared" si="54"/>
        <v>0.06</v>
      </c>
      <c r="F296" s="719"/>
      <c r="G296" s="24">
        <f t="shared" si="55"/>
        <v>0.02</v>
      </c>
      <c r="H296" s="719"/>
      <c r="I296" s="24">
        <f t="shared" si="56"/>
        <v>0.09</v>
      </c>
      <c r="J296" s="719"/>
      <c r="K296" s="24">
        <f t="shared" si="57"/>
        <v>0</v>
      </c>
      <c r="L296" s="719"/>
      <c r="M296" s="24">
        <f t="shared" si="58"/>
        <v>0.2</v>
      </c>
      <c r="N296" s="719"/>
      <c r="O296" s="24">
        <f t="shared" si="59"/>
        <v>0.2</v>
      </c>
      <c r="P296" s="719"/>
      <c r="Q296" s="24">
        <f t="shared" si="60"/>
        <v>0</v>
      </c>
      <c r="R296" s="715">
        <f t="shared" si="61"/>
        <v>0</v>
      </c>
      <c r="S296" s="361">
        <f t="shared" si="62"/>
        <v>0</v>
      </c>
    </row>
    <row r="297" spans="1:19">
      <c r="A297" s="159"/>
      <c r="B297" s="59"/>
      <c r="C297" s="24">
        <f t="shared" si="53"/>
        <v>1</v>
      </c>
      <c r="D297" s="719"/>
      <c r="E297" s="24">
        <f t="shared" si="54"/>
        <v>0.06</v>
      </c>
      <c r="F297" s="719"/>
      <c r="G297" s="24">
        <f t="shared" si="55"/>
        <v>0.02</v>
      </c>
      <c r="H297" s="719"/>
      <c r="I297" s="24">
        <f t="shared" si="56"/>
        <v>0.09</v>
      </c>
      <c r="J297" s="719"/>
      <c r="K297" s="24">
        <f t="shared" si="57"/>
        <v>0</v>
      </c>
      <c r="L297" s="719"/>
      <c r="M297" s="24">
        <f t="shared" si="58"/>
        <v>0.2</v>
      </c>
      <c r="N297" s="719"/>
      <c r="O297" s="24">
        <f t="shared" si="59"/>
        <v>0.2</v>
      </c>
      <c r="P297" s="719"/>
      <c r="Q297" s="24">
        <f t="shared" si="60"/>
        <v>0</v>
      </c>
      <c r="R297" s="715">
        <f t="shared" si="61"/>
        <v>0</v>
      </c>
      <c r="S297" s="361">
        <f t="shared" si="62"/>
        <v>0</v>
      </c>
    </row>
    <row r="298" spans="1:19">
      <c r="A298" s="159"/>
      <c r="B298" s="59"/>
      <c r="C298" s="24">
        <f t="shared" si="53"/>
        <v>1</v>
      </c>
      <c r="D298" s="719"/>
      <c r="E298" s="24">
        <f t="shared" si="54"/>
        <v>0.06</v>
      </c>
      <c r="F298" s="719"/>
      <c r="G298" s="24">
        <f t="shared" si="55"/>
        <v>0.02</v>
      </c>
      <c r="H298" s="719"/>
      <c r="I298" s="24">
        <f t="shared" si="56"/>
        <v>0.09</v>
      </c>
      <c r="J298" s="719"/>
      <c r="K298" s="24">
        <f t="shared" si="57"/>
        <v>0</v>
      </c>
      <c r="L298" s="719"/>
      <c r="M298" s="24">
        <f t="shared" si="58"/>
        <v>0.2</v>
      </c>
      <c r="N298" s="719"/>
      <c r="O298" s="24">
        <f t="shared" si="59"/>
        <v>0.2</v>
      </c>
      <c r="P298" s="719"/>
      <c r="Q298" s="24">
        <f t="shared" si="60"/>
        <v>0</v>
      </c>
      <c r="R298" s="715">
        <f t="shared" si="61"/>
        <v>0</v>
      </c>
      <c r="S298" s="361">
        <f t="shared" si="62"/>
        <v>0</v>
      </c>
    </row>
    <row r="299" spans="1:19">
      <c r="A299" s="159"/>
      <c r="B299" s="59"/>
      <c r="C299" s="24">
        <f t="shared" si="53"/>
        <v>1</v>
      </c>
      <c r="D299" s="719"/>
      <c r="E299" s="24">
        <f t="shared" si="54"/>
        <v>0.06</v>
      </c>
      <c r="F299" s="719"/>
      <c r="G299" s="24">
        <f t="shared" si="55"/>
        <v>0.02</v>
      </c>
      <c r="H299" s="719"/>
      <c r="I299" s="24">
        <f t="shared" si="56"/>
        <v>0.09</v>
      </c>
      <c r="J299" s="719"/>
      <c r="K299" s="24">
        <f t="shared" si="57"/>
        <v>0</v>
      </c>
      <c r="L299" s="719"/>
      <c r="M299" s="24">
        <f t="shared" si="58"/>
        <v>0.2</v>
      </c>
      <c r="N299" s="719"/>
      <c r="O299" s="24">
        <f t="shared" si="59"/>
        <v>0.2</v>
      </c>
      <c r="P299" s="719"/>
      <c r="Q299" s="24">
        <f t="shared" si="60"/>
        <v>0</v>
      </c>
      <c r="R299" s="715">
        <f t="shared" si="61"/>
        <v>0</v>
      </c>
      <c r="S299" s="361">
        <f t="shared" si="62"/>
        <v>0</v>
      </c>
    </row>
    <row r="300" spans="1:19">
      <c r="A300" s="159"/>
      <c r="B300" s="59"/>
      <c r="C300" s="24">
        <f t="shared" si="53"/>
        <v>1</v>
      </c>
      <c r="D300" s="719"/>
      <c r="E300" s="24">
        <f t="shared" si="54"/>
        <v>0.06</v>
      </c>
      <c r="F300" s="719"/>
      <c r="G300" s="24">
        <f t="shared" si="55"/>
        <v>0.02</v>
      </c>
      <c r="H300" s="719"/>
      <c r="I300" s="24">
        <f t="shared" si="56"/>
        <v>0.09</v>
      </c>
      <c r="J300" s="719"/>
      <c r="K300" s="24">
        <f t="shared" si="57"/>
        <v>0</v>
      </c>
      <c r="L300" s="719"/>
      <c r="M300" s="24">
        <f t="shared" si="58"/>
        <v>0.2</v>
      </c>
      <c r="N300" s="719"/>
      <c r="O300" s="24">
        <f t="shared" si="59"/>
        <v>0.2</v>
      </c>
      <c r="P300" s="719"/>
      <c r="Q300" s="24">
        <f t="shared" si="60"/>
        <v>0</v>
      </c>
      <c r="R300" s="715">
        <f t="shared" si="61"/>
        <v>0</v>
      </c>
      <c r="S300" s="361">
        <f t="shared" si="62"/>
        <v>0</v>
      </c>
    </row>
    <row r="301" spans="1:19">
      <c r="A301" s="159"/>
      <c r="B301" s="59"/>
      <c r="C301" s="24">
        <f t="shared" si="53"/>
        <v>1</v>
      </c>
      <c r="D301" s="719"/>
      <c r="E301" s="24">
        <f t="shared" si="54"/>
        <v>0.06</v>
      </c>
      <c r="F301" s="719"/>
      <c r="G301" s="24">
        <f t="shared" si="55"/>
        <v>0.02</v>
      </c>
      <c r="H301" s="719"/>
      <c r="I301" s="24">
        <f t="shared" si="56"/>
        <v>0.09</v>
      </c>
      <c r="J301" s="719"/>
      <c r="K301" s="24">
        <f t="shared" si="57"/>
        <v>0</v>
      </c>
      <c r="L301" s="719"/>
      <c r="M301" s="24">
        <f t="shared" si="58"/>
        <v>0.2</v>
      </c>
      <c r="N301" s="719"/>
      <c r="O301" s="24">
        <f t="shared" si="59"/>
        <v>0.2</v>
      </c>
      <c r="P301" s="719"/>
      <c r="Q301" s="24">
        <f t="shared" si="60"/>
        <v>0</v>
      </c>
      <c r="R301" s="715">
        <f t="shared" si="61"/>
        <v>0</v>
      </c>
      <c r="S301" s="361">
        <f t="shared" si="62"/>
        <v>0</v>
      </c>
    </row>
    <row r="302" spans="1:19">
      <c r="A302" s="159"/>
      <c r="B302" s="59"/>
      <c r="C302" s="24">
        <f t="shared" si="53"/>
        <v>1</v>
      </c>
      <c r="D302" s="719"/>
      <c r="E302" s="24">
        <f t="shared" si="54"/>
        <v>0.06</v>
      </c>
      <c r="F302" s="719"/>
      <c r="G302" s="24">
        <f t="shared" si="55"/>
        <v>0.02</v>
      </c>
      <c r="H302" s="719"/>
      <c r="I302" s="24">
        <f t="shared" si="56"/>
        <v>0.09</v>
      </c>
      <c r="J302" s="719"/>
      <c r="K302" s="24">
        <f t="shared" si="57"/>
        <v>0</v>
      </c>
      <c r="L302" s="719"/>
      <c r="M302" s="24">
        <f t="shared" si="58"/>
        <v>0.2</v>
      </c>
      <c r="N302" s="719"/>
      <c r="O302" s="24">
        <f t="shared" si="59"/>
        <v>0.2</v>
      </c>
      <c r="P302" s="719"/>
      <c r="Q302" s="24">
        <f t="shared" si="60"/>
        <v>0</v>
      </c>
      <c r="R302" s="715">
        <f t="shared" si="61"/>
        <v>0</v>
      </c>
      <c r="S302" s="361">
        <f t="shared" si="62"/>
        <v>0</v>
      </c>
    </row>
    <row r="303" spans="1:19">
      <c r="A303" s="159"/>
      <c r="B303" s="59"/>
      <c r="C303" s="24">
        <f t="shared" si="53"/>
        <v>1</v>
      </c>
      <c r="D303" s="719"/>
      <c r="E303" s="24">
        <f t="shared" si="54"/>
        <v>0.06</v>
      </c>
      <c r="F303" s="719"/>
      <c r="G303" s="24">
        <f t="shared" si="55"/>
        <v>0.02</v>
      </c>
      <c r="H303" s="719"/>
      <c r="I303" s="24">
        <f t="shared" si="56"/>
        <v>0.09</v>
      </c>
      <c r="J303" s="719"/>
      <c r="K303" s="24">
        <f t="shared" si="57"/>
        <v>0</v>
      </c>
      <c r="L303" s="719"/>
      <c r="M303" s="24">
        <f t="shared" si="58"/>
        <v>0.2</v>
      </c>
      <c r="N303" s="719"/>
      <c r="O303" s="24">
        <f t="shared" si="59"/>
        <v>0.2</v>
      </c>
      <c r="P303" s="719"/>
      <c r="Q303" s="24">
        <f t="shared" si="60"/>
        <v>0</v>
      </c>
      <c r="R303" s="715">
        <f t="shared" si="61"/>
        <v>0</v>
      </c>
      <c r="S303" s="361">
        <f t="shared" si="62"/>
        <v>0</v>
      </c>
    </row>
    <row r="304" spans="1:19">
      <c r="A304" s="159"/>
      <c r="B304" s="59"/>
      <c r="C304" s="24">
        <f t="shared" si="53"/>
        <v>1</v>
      </c>
      <c r="D304" s="719"/>
      <c r="E304" s="24">
        <f t="shared" si="54"/>
        <v>0.06</v>
      </c>
      <c r="F304" s="719"/>
      <c r="G304" s="24">
        <f t="shared" si="55"/>
        <v>0.02</v>
      </c>
      <c r="H304" s="719"/>
      <c r="I304" s="24">
        <f t="shared" si="56"/>
        <v>0.09</v>
      </c>
      <c r="J304" s="719"/>
      <c r="K304" s="24">
        <f t="shared" si="57"/>
        <v>0</v>
      </c>
      <c r="L304" s="719"/>
      <c r="M304" s="24">
        <f t="shared" si="58"/>
        <v>0.2</v>
      </c>
      <c r="N304" s="719"/>
      <c r="O304" s="24">
        <f t="shared" si="59"/>
        <v>0.2</v>
      </c>
      <c r="P304" s="719"/>
      <c r="Q304" s="24">
        <f t="shared" si="60"/>
        <v>0</v>
      </c>
      <c r="R304" s="715">
        <f t="shared" si="61"/>
        <v>0</v>
      </c>
      <c r="S304" s="361">
        <f t="shared" si="62"/>
        <v>0</v>
      </c>
    </row>
    <row r="305" spans="1:19">
      <c r="A305" s="159"/>
      <c r="B305" s="59"/>
      <c r="C305" s="24">
        <f t="shared" si="53"/>
        <v>1</v>
      </c>
      <c r="D305" s="719"/>
      <c r="E305" s="24">
        <f t="shared" si="54"/>
        <v>0.06</v>
      </c>
      <c r="F305" s="719"/>
      <c r="G305" s="24">
        <f t="shared" si="55"/>
        <v>0.02</v>
      </c>
      <c r="H305" s="719"/>
      <c r="I305" s="24">
        <f t="shared" si="56"/>
        <v>0.09</v>
      </c>
      <c r="J305" s="719"/>
      <c r="K305" s="24">
        <f t="shared" si="57"/>
        <v>0</v>
      </c>
      <c r="L305" s="719"/>
      <c r="M305" s="24">
        <f t="shared" si="58"/>
        <v>0.2</v>
      </c>
      <c r="N305" s="719"/>
      <c r="O305" s="24">
        <f t="shared" si="59"/>
        <v>0.2</v>
      </c>
      <c r="P305" s="719"/>
      <c r="Q305" s="24">
        <f t="shared" si="60"/>
        <v>0</v>
      </c>
      <c r="R305" s="715">
        <f t="shared" si="61"/>
        <v>0</v>
      </c>
      <c r="S305" s="361">
        <f t="shared" si="62"/>
        <v>0</v>
      </c>
    </row>
    <row r="306" spans="1:19">
      <c r="A306" s="159"/>
      <c r="B306" s="59"/>
      <c r="C306" s="24">
        <f t="shared" si="53"/>
        <v>1</v>
      </c>
      <c r="D306" s="719"/>
      <c r="E306" s="24">
        <f t="shared" si="54"/>
        <v>0.06</v>
      </c>
      <c r="F306" s="719"/>
      <c r="G306" s="24">
        <f t="shared" si="55"/>
        <v>0.02</v>
      </c>
      <c r="H306" s="719"/>
      <c r="I306" s="24">
        <f t="shared" si="56"/>
        <v>0.09</v>
      </c>
      <c r="J306" s="719"/>
      <c r="K306" s="24">
        <f t="shared" si="57"/>
        <v>0</v>
      </c>
      <c r="L306" s="719"/>
      <c r="M306" s="24">
        <f t="shared" si="58"/>
        <v>0.2</v>
      </c>
      <c r="N306" s="719"/>
      <c r="O306" s="24">
        <f t="shared" si="59"/>
        <v>0.2</v>
      </c>
      <c r="P306" s="719"/>
      <c r="Q306" s="24">
        <f t="shared" si="60"/>
        <v>0</v>
      </c>
      <c r="R306" s="715">
        <f t="shared" si="61"/>
        <v>0</v>
      </c>
      <c r="S306" s="361">
        <f t="shared" si="62"/>
        <v>0</v>
      </c>
    </row>
    <row r="307" spans="1:19">
      <c r="A307" s="159"/>
      <c r="B307" s="59"/>
      <c r="C307" s="24">
        <f t="shared" si="53"/>
        <v>1</v>
      </c>
      <c r="D307" s="719"/>
      <c r="E307" s="24">
        <f t="shared" si="54"/>
        <v>0.06</v>
      </c>
      <c r="F307" s="719"/>
      <c r="G307" s="24">
        <f t="shared" si="55"/>
        <v>0.02</v>
      </c>
      <c r="H307" s="719"/>
      <c r="I307" s="24">
        <f t="shared" si="56"/>
        <v>0.09</v>
      </c>
      <c r="J307" s="719"/>
      <c r="K307" s="24">
        <f t="shared" si="57"/>
        <v>0</v>
      </c>
      <c r="L307" s="719"/>
      <c r="M307" s="24">
        <f t="shared" si="58"/>
        <v>0.2</v>
      </c>
      <c r="N307" s="719"/>
      <c r="O307" s="24">
        <f t="shared" si="59"/>
        <v>0.2</v>
      </c>
      <c r="P307" s="719"/>
      <c r="Q307" s="24">
        <f t="shared" si="60"/>
        <v>0</v>
      </c>
      <c r="R307" s="715">
        <f t="shared" si="61"/>
        <v>0</v>
      </c>
      <c r="S307" s="361">
        <f t="shared" si="62"/>
        <v>0</v>
      </c>
    </row>
    <row r="308" spans="1:19">
      <c r="A308" s="159"/>
      <c r="B308" s="59"/>
      <c r="C308" s="24">
        <f t="shared" si="53"/>
        <v>1</v>
      </c>
      <c r="D308" s="719"/>
      <c r="E308" s="24">
        <f t="shared" si="54"/>
        <v>0.06</v>
      </c>
      <c r="F308" s="719"/>
      <c r="G308" s="24">
        <f t="shared" si="55"/>
        <v>0.02</v>
      </c>
      <c r="H308" s="719"/>
      <c r="I308" s="24">
        <f t="shared" si="56"/>
        <v>0.09</v>
      </c>
      <c r="J308" s="719"/>
      <c r="K308" s="24">
        <f t="shared" si="57"/>
        <v>0</v>
      </c>
      <c r="L308" s="719"/>
      <c r="M308" s="24">
        <f t="shared" si="58"/>
        <v>0.2</v>
      </c>
      <c r="N308" s="719"/>
      <c r="O308" s="24">
        <f t="shared" si="59"/>
        <v>0.2</v>
      </c>
      <c r="P308" s="719"/>
      <c r="Q308" s="24">
        <f t="shared" si="60"/>
        <v>0</v>
      </c>
      <c r="R308" s="715">
        <f t="shared" si="61"/>
        <v>0</v>
      </c>
      <c r="S308" s="361">
        <f t="shared" si="62"/>
        <v>0</v>
      </c>
    </row>
    <row r="309" spans="1:19">
      <c r="A309" s="159"/>
      <c r="B309" s="59"/>
      <c r="C309" s="24">
        <f t="shared" si="53"/>
        <v>1</v>
      </c>
      <c r="D309" s="719"/>
      <c r="E309" s="24">
        <f t="shared" si="54"/>
        <v>0.06</v>
      </c>
      <c r="F309" s="719"/>
      <c r="G309" s="24">
        <f t="shared" si="55"/>
        <v>0.02</v>
      </c>
      <c r="H309" s="719"/>
      <c r="I309" s="24">
        <f t="shared" si="56"/>
        <v>0.09</v>
      </c>
      <c r="J309" s="719"/>
      <c r="K309" s="24">
        <f t="shared" si="57"/>
        <v>0</v>
      </c>
      <c r="L309" s="719"/>
      <c r="M309" s="24">
        <f t="shared" si="58"/>
        <v>0.2</v>
      </c>
      <c r="N309" s="719"/>
      <c r="O309" s="24">
        <f t="shared" si="59"/>
        <v>0.2</v>
      </c>
      <c r="P309" s="719"/>
      <c r="Q309" s="24">
        <f t="shared" si="60"/>
        <v>0</v>
      </c>
      <c r="R309" s="715">
        <f t="shared" si="61"/>
        <v>0</v>
      </c>
      <c r="S309" s="361">
        <f t="shared" si="62"/>
        <v>0</v>
      </c>
    </row>
    <row r="310" spans="1:19">
      <c r="A310" s="159"/>
      <c r="B310" s="59"/>
      <c r="C310" s="24">
        <f t="shared" si="53"/>
        <v>1</v>
      </c>
      <c r="D310" s="719"/>
      <c r="E310" s="24">
        <f t="shared" si="54"/>
        <v>0.06</v>
      </c>
      <c r="F310" s="719"/>
      <c r="G310" s="24">
        <f t="shared" si="55"/>
        <v>0.02</v>
      </c>
      <c r="H310" s="719"/>
      <c r="I310" s="24">
        <f t="shared" si="56"/>
        <v>0.09</v>
      </c>
      <c r="J310" s="719"/>
      <c r="K310" s="24">
        <f t="shared" si="57"/>
        <v>0</v>
      </c>
      <c r="L310" s="719"/>
      <c r="M310" s="24">
        <f t="shared" si="58"/>
        <v>0.2</v>
      </c>
      <c r="N310" s="719"/>
      <c r="O310" s="24">
        <f t="shared" si="59"/>
        <v>0.2</v>
      </c>
      <c r="P310" s="719"/>
      <c r="Q310" s="24">
        <f t="shared" si="60"/>
        <v>0</v>
      </c>
      <c r="R310" s="715">
        <f t="shared" si="61"/>
        <v>0</v>
      </c>
      <c r="S310" s="361">
        <f t="shared" si="62"/>
        <v>0</v>
      </c>
    </row>
    <row r="311" spans="1:19">
      <c r="A311" s="159"/>
      <c r="B311" s="59"/>
      <c r="C311" s="24">
        <f t="shared" si="53"/>
        <v>1</v>
      </c>
      <c r="D311" s="719"/>
      <c r="E311" s="24">
        <f t="shared" si="54"/>
        <v>0.06</v>
      </c>
      <c r="F311" s="719"/>
      <c r="G311" s="24">
        <f t="shared" si="55"/>
        <v>0.02</v>
      </c>
      <c r="H311" s="719"/>
      <c r="I311" s="24">
        <f t="shared" si="56"/>
        <v>0.09</v>
      </c>
      <c r="J311" s="719"/>
      <c r="K311" s="24">
        <f t="shared" si="57"/>
        <v>0</v>
      </c>
      <c r="L311" s="719"/>
      <c r="M311" s="24">
        <f t="shared" si="58"/>
        <v>0.2</v>
      </c>
      <c r="N311" s="719"/>
      <c r="O311" s="24">
        <f t="shared" si="59"/>
        <v>0.2</v>
      </c>
      <c r="P311" s="719"/>
      <c r="Q311" s="24">
        <f t="shared" si="60"/>
        <v>0</v>
      </c>
      <c r="R311" s="715">
        <f t="shared" si="61"/>
        <v>0</v>
      </c>
      <c r="S311" s="361">
        <f t="shared" si="62"/>
        <v>0</v>
      </c>
    </row>
    <row r="312" spans="1:19">
      <c r="A312" s="159"/>
      <c r="B312" s="59"/>
      <c r="C312" s="24">
        <f t="shared" si="53"/>
        <v>1</v>
      </c>
      <c r="D312" s="719"/>
      <c r="E312" s="24">
        <f t="shared" si="54"/>
        <v>0.06</v>
      </c>
      <c r="F312" s="719"/>
      <c r="G312" s="24">
        <f t="shared" si="55"/>
        <v>0.02</v>
      </c>
      <c r="H312" s="719"/>
      <c r="I312" s="24">
        <f t="shared" si="56"/>
        <v>0.09</v>
      </c>
      <c r="J312" s="719"/>
      <c r="K312" s="24">
        <f t="shared" si="57"/>
        <v>0</v>
      </c>
      <c r="L312" s="719"/>
      <c r="M312" s="24">
        <f t="shared" si="58"/>
        <v>0.2</v>
      </c>
      <c r="N312" s="719"/>
      <c r="O312" s="24">
        <f t="shared" si="59"/>
        <v>0.2</v>
      </c>
      <c r="P312" s="719"/>
      <c r="Q312" s="24">
        <f t="shared" si="60"/>
        <v>0</v>
      </c>
      <c r="R312" s="715">
        <f t="shared" si="61"/>
        <v>0</v>
      </c>
      <c r="S312" s="361">
        <f t="shared" si="62"/>
        <v>0</v>
      </c>
    </row>
    <row r="313" spans="1:19">
      <c r="A313" s="159"/>
      <c r="B313" s="59"/>
      <c r="C313" s="24">
        <f t="shared" si="53"/>
        <v>1</v>
      </c>
      <c r="D313" s="719"/>
      <c r="E313" s="24">
        <f t="shared" si="54"/>
        <v>0.06</v>
      </c>
      <c r="F313" s="719"/>
      <c r="G313" s="24">
        <f t="shared" si="55"/>
        <v>0.02</v>
      </c>
      <c r="H313" s="719"/>
      <c r="I313" s="24">
        <f t="shared" si="56"/>
        <v>0.09</v>
      </c>
      <c r="J313" s="719"/>
      <c r="K313" s="24">
        <f t="shared" si="57"/>
        <v>0</v>
      </c>
      <c r="L313" s="719"/>
      <c r="M313" s="24">
        <f t="shared" si="58"/>
        <v>0.2</v>
      </c>
      <c r="N313" s="719"/>
      <c r="O313" s="24">
        <f t="shared" si="59"/>
        <v>0.2</v>
      </c>
      <c r="P313" s="719"/>
      <c r="Q313" s="24">
        <f t="shared" si="60"/>
        <v>0</v>
      </c>
      <c r="R313" s="715">
        <f t="shared" si="61"/>
        <v>0</v>
      </c>
      <c r="S313" s="361">
        <f t="shared" si="62"/>
        <v>0</v>
      </c>
    </row>
    <row r="314" spans="1:19">
      <c r="A314" s="159"/>
      <c r="B314" s="59"/>
      <c r="C314" s="24">
        <f t="shared" si="53"/>
        <v>1</v>
      </c>
      <c r="D314" s="719"/>
      <c r="E314" s="24">
        <f t="shared" si="54"/>
        <v>0.06</v>
      </c>
      <c r="F314" s="719"/>
      <c r="G314" s="24">
        <f t="shared" si="55"/>
        <v>0.02</v>
      </c>
      <c r="H314" s="719"/>
      <c r="I314" s="24">
        <f t="shared" si="56"/>
        <v>0.09</v>
      </c>
      <c r="J314" s="719"/>
      <c r="K314" s="24">
        <f t="shared" si="57"/>
        <v>0</v>
      </c>
      <c r="L314" s="719"/>
      <c r="M314" s="24">
        <f t="shared" si="58"/>
        <v>0.2</v>
      </c>
      <c r="N314" s="719"/>
      <c r="O314" s="24">
        <f t="shared" si="59"/>
        <v>0.2</v>
      </c>
      <c r="P314" s="719"/>
      <c r="Q314" s="24">
        <f t="shared" si="60"/>
        <v>0</v>
      </c>
      <c r="R314" s="715">
        <f t="shared" si="61"/>
        <v>0</v>
      </c>
      <c r="S314" s="361">
        <f t="shared" si="62"/>
        <v>0</v>
      </c>
    </row>
    <row r="315" spans="1:19">
      <c r="A315" s="159"/>
      <c r="B315" s="59"/>
      <c r="C315" s="24">
        <f t="shared" si="53"/>
        <v>1</v>
      </c>
      <c r="D315" s="719"/>
      <c r="E315" s="24">
        <f t="shared" si="54"/>
        <v>0.06</v>
      </c>
      <c r="F315" s="719"/>
      <c r="G315" s="24">
        <f t="shared" si="55"/>
        <v>0.02</v>
      </c>
      <c r="H315" s="719"/>
      <c r="I315" s="24">
        <f t="shared" si="56"/>
        <v>0.09</v>
      </c>
      <c r="J315" s="719"/>
      <c r="K315" s="24">
        <f t="shared" si="57"/>
        <v>0</v>
      </c>
      <c r="L315" s="719"/>
      <c r="M315" s="24">
        <f t="shared" si="58"/>
        <v>0.2</v>
      </c>
      <c r="N315" s="719"/>
      <c r="O315" s="24">
        <f t="shared" si="59"/>
        <v>0.2</v>
      </c>
      <c r="P315" s="719"/>
      <c r="Q315" s="24">
        <f t="shared" si="60"/>
        <v>0</v>
      </c>
      <c r="R315" s="715">
        <f t="shared" si="61"/>
        <v>0</v>
      </c>
      <c r="S315" s="361">
        <f t="shared" si="62"/>
        <v>0</v>
      </c>
    </row>
    <row r="316" spans="1:19">
      <c r="A316" s="159"/>
      <c r="B316" s="59"/>
      <c r="C316" s="24">
        <f t="shared" si="53"/>
        <v>1</v>
      </c>
      <c r="D316" s="719"/>
      <c r="E316" s="24">
        <f t="shared" si="54"/>
        <v>0.06</v>
      </c>
      <c r="F316" s="719"/>
      <c r="G316" s="24">
        <f t="shared" si="55"/>
        <v>0.02</v>
      </c>
      <c r="H316" s="719"/>
      <c r="I316" s="24">
        <f t="shared" si="56"/>
        <v>0.09</v>
      </c>
      <c r="J316" s="719"/>
      <c r="K316" s="24">
        <f t="shared" si="57"/>
        <v>0</v>
      </c>
      <c r="L316" s="719"/>
      <c r="M316" s="24">
        <f t="shared" si="58"/>
        <v>0.2</v>
      </c>
      <c r="N316" s="719"/>
      <c r="O316" s="24">
        <f t="shared" si="59"/>
        <v>0.2</v>
      </c>
      <c r="P316" s="719"/>
      <c r="Q316" s="24">
        <f t="shared" si="60"/>
        <v>0</v>
      </c>
      <c r="R316" s="715">
        <f t="shared" si="61"/>
        <v>0</v>
      </c>
      <c r="S316" s="361">
        <f t="shared" si="62"/>
        <v>0</v>
      </c>
    </row>
    <row r="317" spans="1:19">
      <c r="A317" s="159"/>
      <c r="B317" s="59"/>
      <c r="C317" s="24">
        <f t="shared" si="53"/>
        <v>1</v>
      </c>
      <c r="D317" s="719"/>
      <c r="E317" s="24">
        <f t="shared" si="54"/>
        <v>0.06</v>
      </c>
      <c r="F317" s="719"/>
      <c r="G317" s="24">
        <f t="shared" si="55"/>
        <v>0.02</v>
      </c>
      <c r="H317" s="719"/>
      <c r="I317" s="24">
        <f t="shared" si="56"/>
        <v>0.09</v>
      </c>
      <c r="J317" s="719"/>
      <c r="K317" s="24">
        <f t="shared" si="57"/>
        <v>0</v>
      </c>
      <c r="L317" s="719"/>
      <c r="M317" s="24">
        <f t="shared" si="58"/>
        <v>0.2</v>
      </c>
      <c r="N317" s="719"/>
      <c r="O317" s="24">
        <f t="shared" si="59"/>
        <v>0.2</v>
      </c>
      <c r="P317" s="719"/>
      <c r="Q317" s="24">
        <f t="shared" si="60"/>
        <v>0</v>
      </c>
      <c r="R317" s="715">
        <f t="shared" si="61"/>
        <v>0</v>
      </c>
      <c r="S317" s="361">
        <f t="shared" si="62"/>
        <v>0</v>
      </c>
    </row>
    <row r="318" spans="1:19">
      <c r="A318" s="159"/>
      <c r="B318" s="59"/>
      <c r="C318" s="24">
        <f t="shared" si="53"/>
        <v>1</v>
      </c>
      <c r="D318" s="719"/>
      <c r="E318" s="24">
        <f t="shared" si="54"/>
        <v>0.06</v>
      </c>
      <c r="F318" s="719"/>
      <c r="G318" s="24">
        <f t="shared" si="55"/>
        <v>0.02</v>
      </c>
      <c r="H318" s="719"/>
      <c r="I318" s="24">
        <f t="shared" si="56"/>
        <v>0.09</v>
      </c>
      <c r="J318" s="719"/>
      <c r="K318" s="24">
        <f t="shared" si="57"/>
        <v>0</v>
      </c>
      <c r="L318" s="719"/>
      <c r="M318" s="24">
        <f t="shared" si="58"/>
        <v>0.2</v>
      </c>
      <c r="N318" s="719"/>
      <c r="O318" s="24">
        <f t="shared" si="59"/>
        <v>0.2</v>
      </c>
      <c r="P318" s="719"/>
      <c r="Q318" s="24">
        <f t="shared" si="60"/>
        <v>0</v>
      </c>
      <c r="R318" s="715">
        <f t="shared" si="61"/>
        <v>0</v>
      </c>
      <c r="S318" s="361">
        <f t="shared" si="62"/>
        <v>0</v>
      </c>
    </row>
    <row r="319" spans="1:19">
      <c r="A319" s="159"/>
      <c r="B319" s="59"/>
      <c r="C319" s="24">
        <f t="shared" si="53"/>
        <v>1</v>
      </c>
      <c r="D319" s="719"/>
      <c r="E319" s="24">
        <f t="shared" si="54"/>
        <v>0.06</v>
      </c>
      <c r="F319" s="719"/>
      <c r="G319" s="24">
        <f t="shared" si="55"/>
        <v>0.02</v>
      </c>
      <c r="H319" s="719"/>
      <c r="I319" s="24">
        <f t="shared" si="56"/>
        <v>0.09</v>
      </c>
      <c r="J319" s="719"/>
      <c r="K319" s="24">
        <f t="shared" si="57"/>
        <v>0</v>
      </c>
      <c r="L319" s="719"/>
      <c r="M319" s="24">
        <f t="shared" si="58"/>
        <v>0.2</v>
      </c>
      <c r="N319" s="719"/>
      <c r="O319" s="24">
        <f t="shared" si="59"/>
        <v>0.2</v>
      </c>
      <c r="P319" s="719"/>
      <c r="Q319" s="24">
        <f t="shared" si="60"/>
        <v>0</v>
      </c>
      <c r="R319" s="715">
        <f t="shared" si="61"/>
        <v>0</v>
      </c>
      <c r="S319" s="361">
        <f t="shared" si="62"/>
        <v>0</v>
      </c>
    </row>
    <row r="320" spans="1:19">
      <c r="A320" s="159"/>
      <c r="B320" s="59"/>
      <c r="C320" s="24">
        <f t="shared" si="53"/>
        <v>1</v>
      </c>
      <c r="D320" s="719"/>
      <c r="E320" s="24">
        <f t="shared" si="54"/>
        <v>0.06</v>
      </c>
      <c r="F320" s="719"/>
      <c r="G320" s="24">
        <f t="shared" si="55"/>
        <v>0.02</v>
      </c>
      <c r="H320" s="719"/>
      <c r="I320" s="24">
        <f t="shared" si="56"/>
        <v>0.09</v>
      </c>
      <c r="J320" s="719"/>
      <c r="K320" s="24">
        <f t="shared" si="57"/>
        <v>0</v>
      </c>
      <c r="L320" s="719"/>
      <c r="M320" s="24">
        <f t="shared" si="58"/>
        <v>0.2</v>
      </c>
      <c r="N320" s="719"/>
      <c r="O320" s="24">
        <f t="shared" si="59"/>
        <v>0.2</v>
      </c>
      <c r="P320" s="719"/>
      <c r="Q320" s="24">
        <f t="shared" si="60"/>
        <v>0</v>
      </c>
      <c r="R320" s="715">
        <f t="shared" si="61"/>
        <v>0</v>
      </c>
      <c r="S320" s="361">
        <f t="shared" si="62"/>
        <v>0</v>
      </c>
    </row>
    <row r="321" spans="1:19">
      <c r="A321" s="159"/>
      <c r="B321" s="59"/>
      <c r="C321" s="24">
        <f t="shared" si="53"/>
        <v>1</v>
      </c>
      <c r="D321" s="719"/>
      <c r="E321" s="24">
        <f t="shared" si="54"/>
        <v>0.06</v>
      </c>
      <c r="F321" s="719"/>
      <c r="G321" s="24">
        <f t="shared" si="55"/>
        <v>0.02</v>
      </c>
      <c r="H321" s="719"/>
      <c r="I321" s="24">
        <f t="shared" si="56"/>
        <v>0.09</v>
      </c>
      <c r="J321" s="719"/>
      <c r="K321" s="24">
        <f t="shared" si="57"/>
        <v>0</v>
      </c>
      <c r="L321" s="719"/>
      <c r="M321" s="24">
        <f t="shared" si="58"/>
        <v>0.2</v>
      </c>
      <c r="N321" s="719"/>
      <c r="O321" s="24">
        <f t="shared" si="59"/>
        <v>0.2</v>
      </c>
      <c r="P321" s="719"/>
      <c r="Q321" s="24">
        <f t="shared" si="60"/>
        <v>0</v>
      </c>
      <c r="R321" s="715">
        <f t="shared" si="61"/>
        <v>0</v>
      </c>
      <c r="S321" s="361">
        <f t="shared" ref="S321:S384" si="63">ROUND(R321*B321/10000,0)</f>
        <v>0</v>
      </c>
    </row>
    <row r="322" spans="1:19">
      <c r="A322" s="159"/>
      <c r="B322" s="59"/>
      <c r="C322" s="24">
        <f t="shared" si="53"/>
        <v>1</v>
      </c>
      <c r="D322" s="719"/>
      <c r="E322" s="24">
        <f t="shared" si="54"/>
        <v>0.06</v>
      </c>
      <c r="F322" s="719"/>
      <c r="G322" s="24">
        <f t="shared" si="55"/>
        <v>0.02</v>
      </c>
      <c r="H322" s="719"/>
      <c r="I322" s="24">
        <f t="shared" si="56"/>
        <v>0.09</v>
      </c>
      <c r="J322" s="719"/>
      <c r="K322" s="24">
        <f t="shared" si="57"/>
        <v>0</v>
      </c>
      <c r="L322" s="719"/>
      <c r="M322" s="24">
        <f t="shared" si="58"/>
        <v>0.2</v>
      </c>
      <c r="N322" s="719"/>
      <c r="O322" s="24">
        <f t="shared" si="59"/>
        <v>0.2</v>
      </c>
      <c r="P322" s="719"/>
      <c r="Q322" s="24">
        <f t="shared" si="60"/>
        <v>0</v>
      </c>
      <c r="R322" s="715">
        <f t="shared" si="61"/>
        <v>0</v>
      </c>
      <c r="S322" s="361">
        <f t="shared" si="63"/>
        <v>0</v>
      </c>
    </row>
    <row r="323" spans="1:19">
      <c r="A323" s="159"/>
      <c r="B323" s="59"/>
      <c r="C323" s="24">
        <f t="shared" si="53"/>
        <v>1</v>
      </c>
      <c r="D323" s="719"/>
      <c r="E323" s="24">
        <f t="shared" si="54"/>
        <v>0.06</v>
      </c>
      <c r="F323" s="719"/>
      <c r="G323" s="24">
        <f t="shared" si="55"/>
        <v>0.02</v>
      </c>
      <c r="H323" s="719"/>
      <c r="I323" s="24">
        <f t="shared" si="56"/>
        <v>0.09</v>
      </c>
      <c r="J323" s="719"/>
      <c r="K323" s="24">
        <f t="shared" si="57"/>
        <v>0</v>
      </c>
      <c r="L323" s="719"/>
      <c r="M323" s="24">
        <f t="shared" si="58"/>
        <v>0.2</v>
      </c>
      <c r="N323" s="719"/>
      <c r="O323" s="24">
        <f t="shared" si="59"/>
        <v>0.2</v>
      </c>
      <c r="P323" s="719"/>
      <c r="Q323" s="24">
        <f t="shared" si="60"/>
        <v>0</v>
      </c>
      <c r="R323" s="715">
        <f t="shared" si="61"/>
        <v>0</v>
      </c>
      <c r="S323" s="361">
        <f t="shared" si="63"/>
        <v>0</v>
      </c>
    </row>
    <row r="324" spans="1:19">
      <c r="A324" s="159"/>
      <c r="B324" s="59"/>
      <c r="C324" s="24">
        <f t="shared" si="53"/>
        <v>1</v>
      </c>
      <c r="D324" s="719"/>
      <c r="E324" s="24">
        <f t="shared" si="54"/>
        <v>0.06</v>
      </c>
      <c r="F324" s="719"/>
      <c r="G324" s="24">
        <f t="shared" si="55"/>
        <v>0.02</v>
      </c>
      <c r="H324" s="719"/>
      <c r="I324" s="24">
        <f t="shared" si="56"/>
        <v>0.09</v>
      </c>
      <c r="J324" s="719"/>
      <c r="K324" s="24">
        <f t="shared" si="57"/>
        <v>0</v>
      </c>
      <c r="L324" s="719"/>
      <c r="M324" s="24">
        <f t="shared" si="58"/>
        <v>0.2</v>
      </c>
      <c r="N324" s="719"/>
      <c r="O324" s="24">
        <f t="shared" si="59"/>
        <v>0.2</v>
      </c>
      <c r="P324" s="719"/>
      <c r="Q324" s="24">
        <f t="shared" si="60"/>
        <v>0</v>
      </c>
      <c r="R324" s="715">
        <f t="shared" si="61"/>
        <v>0</v>
      </c>
      <c r="S324" s="361">
        <f t="shared" si="63"/>
        <v>0</v>
      </c>
    </row>
    <row r="325" spans="1:19">
      <c r="A325" s="159"/>
      <c r="B325" s="59"/>
      <c r="C325" s="24">
        <f t="shared" si="53"/>
        <v>1</v>
      </c>
      <c r="D325" s="719"/>
      <c r="E325" s="24">
        <f t="shared" si="54"/>
        <v>0.06</v>
      </c>
      <c r="F325" s="719"/>
      <c r="G325" s="24">
        <f t="shared" si="55"/>
        <v>0.02</v>
      </c>
      <c r="H325" s="719"/>
      <c r="I325" s="24">
        <f t="shared" si="56"/>
        <v>0.09</v>
      </c>
      <c r="J325" s="719"/>
      <c r="K325" s="24">
        <f t="shared" si="57"/>
        <v>0</v>
      </c>
      <c r="L325" s="719"/>
      <c r="M325" s="24">
        <f t="shared" si="58"/>
        <v>0.2</v>
      </c>
      <c r="N325" s="719"/>
      <c r="O325" s="24">
        <f t="shared" si="59"/>
        <v>0.2</v>
      </c>
      <c r="P325" s="719"/>
      <c r="Q325" s="24">
        <f t="shared" si="60"/>
        <v>0</v>
      </c>
      <c r="R325" s="715">
        <f t="shared" si="61"/>
        <v>0</v>
      </c>
      <c r="S325" s="361">
        <f t="shared" si="63"/>
        <v>0</v>
      </c>
    </row>
    <row r="326" spans="1:19">
      <c r="A326" s="159"/>
      <c r="B326" s="59"/>
      <c r="C326" s="24">
        <f t="shared" si="53"/>
        <v>1</v>
      </c>
      <c r="D326" s="719"/>
      <c r="E326" s="24">
        <f t="shared" si="54"/>
        <v>0.06</v>
      </c>
      <c r="F326" s="719"/>
      <c r="G326" s="24">
        <f t="shared" si="55"/>
        <v>0.02</v>
      </c>
      <c r="H326" s="719"/>
      <c r="I326" s="24">
        <f t="shared" si="56"/>
        <v>0.09</v>
      </c>
      <c r="J326" s="719"/>
      <c r="K326" s="24">
        <f t="shared" si="57"/>
        <v>0</v>
      </c>
      <c r="L326" s="719"/>
      <c r="M326" s="24">
        <f t="shared" si="58"/>
        <v>0.2</v>
      </c>
      <c r="N326" s="719"/>
      <c r="O326" s="24">
        <f t="shared" si="59"/>
        <v>0.2</v>
      </c>
      <c r="P326" s="719"/>
      <c r="Q326" s="24">
        <f t="shared" si="60"/>
        <v>0</v>
      </c>
      <c r="R326" s="715">
        <f t="shared" si="61"/>
        <v>0</v>
      </c>
      <c r="S326" s="361">
        <f t="shared" si="63"/>
        <v>0</v>
      </c>
    </row>
    <row r="327" spans="1:19">
      <c r="A327" s="159"/>
      <c r="B327" s="59"/>
      <c r="C327" s="24">
        <f t="shared" si="53"/>
        <v>1</v>
      </c>
      <c r="D327" s="719"/>
      <c r="E327" s="24">
        <f t="shared" si="54"/>
        <v>0.06</v>
      </c>
      <c r="F327" s="719"/>
      <c r="G327" s="24">
        <f t="shared" si="55"/>
        <v>0.02</v>
      </c>
      <c r="H327" s="719"/>
      <c r="I327" s="24">
        <f t="shared" si="56"/>
        <v>0.09</v>
      </c>
      <c r="J327" s="719"/>
      <c r="K327" s="24">
        <f t="shared" si="57"/>
        <v>0</v>
      </c>
      <c r="L327" s="719"/>
      <c r="M327" s="24">
        <f t="shared" si="58"/>
        <v>0.2</v>
      </c>
      <c r="N327" s="719"/>
      <c r="O327" s="24">
        <f t="shared" si="59"/>
        <v>0.2</v>
      </c>
      <c r="P327" s="719"/>
      <c r="Q327" s="24">
        <f t="shared" si="60"/>
        <v>0</v>
      </c>
      <c r="R327" s="715">
        <f t="shared" si="61"/>
        <v>0</v>
      </c>
      <c r="S327" s="361">
        <f t="shared" si="63"/>
        <v>0</v>
      </c>
    </row>
    <row r="328" spans="1:19">
      <c r="A328" s="159"/>
      <c r="B328" s="59"/>
      <c r="C328" s="24">
        <f t="shared" si="53"/>
        <v>1</v>
      </c>
      <c r="D328" s="719"/>
      <c r="E328" s="24">
        <f t="shared" si="54"/>
        <v>0.06</v>
      </c>
      <c r="F328" s="719"/>
      <c r="G328" s="24">
        <f t="shared" si="55"/>
        <v>0.02</v>
      </c>
      <c r="H328" s="719"/>
      <c r="I328" s="24">
        <f t="shared" si="56"/>
        <v>0.09</v>
      </c>
      <c r="J328" s="719"/>
      <c r="K328" s="24">
        <f t="shared" si="57"/>
        <v>0</v>
      </c>
      <c r="L328" s="719"/>
      <c r="M328" s="24">
        <f t="shared" si="58"/>
        <v>0.2</v>
      </c>
      <c r="N328" s="719"/>
      <c r="O328" s="24">
        <f t="shared" si="59"/>
        <v>0.2</v>
      </c>
      <c r="P328" s="719"/>
      <c r="Q328" s="24">
        <f t="shared" si="60"/>
        <v>0</v>
      </c>
      <c r="R328" s="715">
        <f t="shared" si="61"/>
        <v>0</v>
      </c>
      <c r="S328" s="361">
        <f t="shared" si="63"/>
        <v>0</v>
      </c>
    </row>
    <row r="329" spans="1:19">
      <c r="A329" s="159"/>
      <c r="B329" s="59"/>
      <c r="C329" s="24">
        <f t="shared" si="53"/>
        <v>1</v>
      </c>
      <c r="D329" s="719"/>
      <c r="E329" s="24">
        <f t="shared" si="54"/>
        <v>0.06</v>
      </c>
      <c r="F329" s="719"/>
      <c r="G329" s="24">
        <f t="shared" si="55"/>
        <v>0.02</v>
      </c>
      <c r="H329" s="719"/>
      <c r="I329" s="24">
        <f t="shared" si="56"/>
        <v>0.09</v>
      </c>
      <c r="J329" s="719"/>
      <c r="K329" s="24">
        <f t="shared" si="57"/>
        <v>0</v>
      </c>
      <c r="L329" s="719"/>
      <c r="M329" s="24">
        <f t="shared" si="58"/>
        <v>0.2</v>
      </c>
      <c r="N329" s="719"/>
      <c r="O329" s="24">
        <f t="shared" si="59"/>
        <v>0.2</v>
      </c>
      <c r="P329" s="719"/>
      <c r="Q329" s="24">
        <f t="shared" si="60"/>
        <v>0</v>
      </c>
      <c r="R329" s="715">
        <f t="shared" si="61"/>
        <v>0</v>
      </c>
      <c r="S329" s="361">
        <f t="shared" si="63"/>
        <v>0</v>
      </c>
    </row>
    <row r="330" spans="1:19">
      <c r="A330" s="159"/>
      <c r="B330" s="59"/>
      <c r="C330" s="24">
        <f t="shared" si="53"/>
        <v>1</v>
      </c>
      <c r="D330" s="719"/>
      <c r="E330" s="24">
        <f t="shared" si="54"/>
        <v>0.06</v>
      </c>
      <c r="F330" s="719"/>
      <c r="G330" s="24">
        <f t="shared" si="55"/>
        <v>0.02</v>
      </c>
      <c r="H330" s="719"/>
      <c r="I330" s="24">
        <f t="shared" si="56"/>
        <v>0.09</v>
      </c>
      <c r="J330" s="719"/>
      <c r="K330" s="24">
        <f t="shared" si="57"/>
        <v>0</v>
      </c>
      <c r="L330" s="719"/>
      <c r="M330" s="24">
        <f t="shared" si="58"/>
        <v>0.2</v>
      </c>
      <c r="N330" s="719"/>
      <c r="O330" s="24">
        <f t="shared" si="59"/>
        <v>0.2</v>
      </c>
      <c r="P330" s="719"/>
      <c r="Q330" s="24">
        <f t="shared" si="60"/>
        <v>0</v>
      </c>
      <c r="R330" s="715">
        <f t="shared" si="61"/>
        <v>0</v>
      </c>
      <c r="S330" s="361">
        <f t="shared" si="63"/>
        <v>0</v>
      </c>
    </row>
    <row r="331" spans="1:19">
      <c r="A331" s="159"/>
      <c r="B331" s="59"/>
      <c r="C331" s="24">
        <f t="shared" si="53"/>
        <v>1</v>
      </c>
      <c r="D331" s="719"/>
      <c r="E331" s="24">
        <f t="shared" si="54"/>
        <v>0.06</v>
      </c>
      <c r="F331" s="719"/>
      <c r="G331" s="24">
        <f t="shared" si="55"/>
        <v>0.02</v>
      </c>
      <c r="H331" s="719"/>
      <c r="I331" s="24">
        <f t="shared" si="56"/>
        <v>0.09</v>
      </c>
      <c r="J331" s="719"/>
      <c r="K331" s="24">
        <f t="shared" si="57"/>
        <v>0</v>
      </c>
      <c r="L331" s="719"/>
      <c r="M331" s="24">
        <f t="shared" si="58"/>
        <v>0.2</v>
      </c>
      <c r="N331" s="719"/>
      <c r="O331" s="24">
        <f t="shared" si="59"/>
        <v>0.2</v>
      </c>
      <c r="P331" s="719"/>
      <c r="Q331" s="24">
        <f t="shared" si="60"/>
        <v>0</v>
      </c>
      <c r="R331" s="715">
        <f t="shared" si="61"/>
        <v>0</v>
      </c>
      <c r="S331" s="361">
        <f t="shared" si="63"/>
        <v>0</v>
      </c>
    </row>
    <row r="332" spans="1:19">
      <c r="A332" s="159"/>
      <c r="B332" s="59"/>
      <c r="C332" s="24">
        <f t="shared" si="53"/>
        <v>1</v>
      </c>
      <c r="D332" s="719"/>
      <c r="E332" s="24">
        <f t="shared" si="54"/>
        <v>0.06</v>
      </c>
      <c r="F332" s="719"/>
      <c r="G332" s="24">
        <f t="shared" si="55"/>
        <v>0.02</v>
      </c>
      <c r="H332" s="719"/>
      <c r="I332" s="24">
        <f t="shared" si="56"/>
        <v>0.09</v>
      </c>
      <c r="J332" s="719"/>
      <c r="K332" s="24">
        <f t="shared" si="57"/>
        <v>0</v>
      </c>
      <c r="L332" s="719"/>
      <c r="M332" s="24">
        <f t="shared" si="58"/>
        <v>0.2</v>
      </c>
      <c r="N332" s="719"/>
      <c r="O332" s="24">
        <f t="shared" si="59"/>
        <v>0.2</v>
      </c>
      <c r="P332" s="719"/>
      <c r="Q332" s="24">
        <f t="shared" si="60"/>
        <v>0</v>
      </c>
      <c r="R332" s="715">
        <f t="shared" si="61"/>
        <v>0</v>
      </c>
      <c r="S332" s="361">
        <f t="shared" si="63"/>
        <v>0</v>
      </c>
    </row>
    <row r="333" spans="1:19">
      <c r="A333" s="159"/>
      <c r="B333" s="59"/>
      <c r="C333" s="24">
        <f t="shared" si="53"/>
        <v>1</v>
      </c>
      <c r="D333" s="719"/>
      <c r="E333" s="24">
        <f t="shared" si="54"/>
        <v>0.06</v>
      </c>
      <c r="F333" s="719"/>
      <c r="G333" s="24">
        <f t="shared" si="55"/>
        <v>0.02</v>
      </c>
      <c r="H333" s="719"/>
      <c r="I333" s="24">
        <f t="shared" si="56"/>
        <v>0.09</v>
      </c>
      <c r="J333" s="719"/>
      <c r="K333" s="24">
        <f t="shared" si="57"/>
        <v>0</v>
      </c>
      <c r="L333" s="719"/>
      <c r="M333" s="24">
        <f t="shared" si="58"/>
        <v>0.2</v>
      </c>
      <c r="N333" s="719"/>
      <c r="O333" s="24">
        <f t="shared" si="59"/>
        <v>0.2</v>
      </c>
      <c r="P333" s="719"/>
      <c r="Q333" s="24">
        <f t="shared" si="60"/>
        <v>0</v>
      </c>
      <c r="R333" s="715">
        <f t="shared" si="61"/>
        <v>0</v>
      </c>
      <c r="S333" s="361">
        <f t="shared" si="63"/>
        <v>0</v>
      </c>
    </row>
    <row r="334" spans="1:19">
      <c r="A334" s="159"/>
      <c r="B334" s="59"/>
      <c r="C334" s="24">
        <f t="shared" si="53"/>
        <v>1</v>
      </c>
      <c r="D334" s="719"/>
      <c r="E334" s="24">
        <f t="shared" si="54"/>
        <v>0.06</v>
      </c>
      <c r="F334" s="719"/>
      <c r="G334" s="24">
        <f t="shared" si="55"/>
        <v>0.02</v>
      </c>
      <c r="H334" s="719"/>
      <c r="I334" s="24">
        <f t="shared" si="56"/>
        <v>0.09</v>
      </c>
      <c r="J334" s="719"/>
      <c r="K334" s="24">
        <f t="shared" si="57"/>
        <v>0</v>
      </c>
      <c r="L334" s="719"/>
      <c r="M334" s="24">
        <f t="shared" si="58"/>
        <v>0.2</v>
      </c>
      <c r="N334" s="719"/>
      <c r="O334" s="24">
        <f t="shared" si="59"/>
        <v>0.2</v>
      </c>
      <c r="P334" s="719"/>
      <c r="Q334" s="24">
        <f t="shared" si="60"/>
        <v>0</v>
      </c>
      <c r="R334" s="715">
        <f t="shared" si="61"/>
        <v>0</v>
      </c>
      <c r="S334" s="361">
        <f t="shared" si="63"/>
        <v>0</v>
      </c>
    </row>
    <row r="335" spans="1:19">
      <c r="A335" s="159"/>
      <c r="B335" s="59"/>
      <c r="C335" s="24">
        <f t="shared" si="53"/>
        <v>1</v>
      </c>
      <c r="D335" s="719"/>
      <c r="E335" s="24">
        <f t="shared" si="54"/>
        <v>0.06</v>
      </c>
      <c r="F335" s="719"/>
      <c r="G335" s="24">
        <f t="shared" si="55"/>
        <v>0.02</v>
      </c>
      <c r="H335" s="719"/>
      <c r="I335" s="24">
        <f t="shared" si="56"/>
        <v>0.09</v>
      </c>
      <c r="J335" s="719"/>
      <c r="K335" s="24">
        <f t="shared" si="57"/>
        <v>0</v>
      </c>
      <c r="L335" s="719"/>
      <c r="M335" s="24">
        <f t="shared" si="58"/>
        <v>0.2</v>
      </c>
      <c r="N335" s="719"/>
      <c r="O335" s="24">
        <f t="shared" si="59"/>
        <v>0.2</v>
      </c>
      <c r="P335" s="719"/>
      <c r="Q335" s="24">
        <f t="shared" si="60"/>
        <v>0</v>
      </c>
      <c r="R335" s="715">
        <f t="shared" si="61"/>
        <v>0</v>
      </c>
      <c r="S335" s="361">
        <f t="shared" si="63"/>
        <v>0</v>
      </c>
    </row>
    <row r="336" spans="1:19">
      <c r="A336" s="159"/>
      <c r="B336" s="59"/>
      <c r="C336" s="24">
        <f t="shared" si="53"/>
        <v>1</v>
      </c>
      <c r="D336" s="719"/>
      <c r="E336" s="24">
        <f t="shared" si="54"/>
        <v>0.06</v>
      </c>
      <c r="F336" s="719"/>
      <c r="G336" s="24">
        <f t="shared" si="55"/>
        <v>0.02</v>
      </c>
      <c r="H336" s="719"/>
      <c r="I336" s="24">
        <f t="shared" si="56"/>
        <v>0.09</v>
      </c>
      <c r="J336" s="719"/>
      <c r="K336" s="24">
        <f t="shared" si="57"/>
        <v>0</v>
      </c>
      <c r="L336" s="719"/>
      <c r="M336" s="24">
        <f t="shared" si="58"/>
        <v>0.2</v>
      </c>
      <c r="N336" s="719"/>
      <c r="O336" s="24">
        <f t="shared" si="59"/>
        <v>0.2</v>
      </c>
      <c r="P336" s="719"/>
      <c r="Q336" s="24">
        <f t="shared" si="60"/>
        <v>0</v>
      </c>
      <c r="R336" s="715">
        <f t="shared" si="61"/>
        <v>0</v>
      </c>
      <c r="S336" s="361">
        <f t="shared" si="63"/>
        <v>0</v>
      </c>
    </row>
    <row r="337" spans="1:19">
      <c r="A337" s="159"/>
      <c r="B337" s="59"/>
      <c r="C337" s="24">
        <f t="shared" si="53"/>
        <v>1</v>
      </c>
      <c r="D337" s="719"/>
      <c r="E337" s="24">
        <f t="shared" si="54"/>
        <v>0.06</v>
      </c>
      <c r="F337" s="719"/>
      <c r="G337" s="24">
        <f t="shared" si="55"/>
        <v>0.02</v>
      </c>
      <c r="H337" s="719"/>
      <c r="I337" s="24">
        <f t="shared" si="56"/>
        <v>0.09</v>
      </c>
      <c r="J337" s="719"/>
      <c r="K337" s="24">
        <f t="shared" si="57"/>
        <v>0</v>
      </c>
      <c r="L337" s="719"/>
      <c r="M337" s="24">
        <f t="shared" si="58"/>
        <v>0.2</v>
      </c>
      <c r="N337" s="719"/>
      <c r="O337" s="24">
        <f t="shared" si="59"/>
        <v>0.2</v>
      </c>
      <c r="P337" s="719"/>
      <c r="Q337" s="24">
        <f t="shared" si="60"/>
        <v>0</v>
      </c>
      <c r="R337" s="715">
        <f t="shared" si="61"/>
        <v>0</v>
      </c>
      <c r="S337" s="361">
        <f t="shared" si="63"/>
        <v>0</v>
      </c>
    </row>
    <row r="338" spans="1:19">
      <c r="A338" s="159"/>
      <c r="B338" s="59"/>
      <c r="C338" s="24">
        <f t="shared" si="53"/>
        <v>1</v>
      </c>
      <c r="D338" s="719"/>
      <c r="E338" s="24">
        <f t="shared" si="54"/>
        <v>0.06</v>
      </c>
      <c r="F338" s="719"/>
      <c r="G338" s="24">
        <f t="shared" si="55"/>
        <v>0.02</v>
      </c>
      <c r="H338" s="719"/>
      <c r="I338" s="24">
        <f t="shared" si="56"/>
        <v>0.09</v>
      </c>
      <c r="J338" s="719"/>
      <c r="K338" s="24">
        <f t="shared" si="57"/>
        <v>0</v>
      </c>
      <c r="L338" s="719"/>
      <c r="M338" s="24">
        <f t="shared" si="58"/>
        <v>0.2</v>
      </c>
      <c r="N338" s="719"/>
      <c r="O338" s="24">
        <f t="shared" si="59"/>
        <v>0.2</v>
      </c>
      <c r="P338" s="719"/>
      <c r="Q338" s="24">
        <f t="shared" si="60"/>
        <v>0</v>
      </c>
      <c r="R338" s="715">
        <f t="shared" si="61"/>
        <v>0</v>
      </c>
      <c r="S338" s="361">
        <f t="shared" si="63"/>
        <v>0</v>
      </c>
    </row>
    <row r="339" spans="1:19">
      <c r="A339" s="159"/>
      <c r="B339" s="59"/>
      <c r="C339" s="24">
        <f t="shared" si="53"/>
        <v>1</v>
      </c>
      <c r="D339" s="719"/>
      <c r="E339" s="24">
        <f t="shared" si="54"/>
        <v>0.06</v>
      </c>
      <c r="F339" s="719"/>
      <c r="G339" s="24">
        <f t="shared" si="55"/>
        <v>0.02</v>
      </c>
      <c r="H339" s="719"/>
      <c r="I339" s="24">
        <f t="shared" si="56"/>
        <v>0.09</v>
      </c>
      <c r="J339" s="719"/>
      <c r="K339" s="24">
        <f t="shared" si="57"/>
        <v>0</v>
      </c>
      <c r="L339" s="719"/>
      <c r="M339" s="24">
        <f t="shared" si="58"/>
        <v>0.2</v>
      </c>
      <c r="N339" s="719"/>
      <c r="O339" s="24">
        <f t="shared" si="59"/>
        <v>0.2</v>
      </c>
      <c r="P339" s="719"/>
      <c r="Q339" s="24">
        <f t="shared" si="60"/>
        <v>0</v>
      </c>
      <c r="R339" s="715">
        <f t="shared" si="61"/>
        <v>0</v>
      </c>
      <c r="S339" s="361">
        <f t="shared" si="63"/>
        <v>0</v>
      </c>
    </row>
    <row r="340" spans="1:19">
      <c r="A340" s="159"/>
      <c r="B340" s="59"/>
      <c r="C340" s="24">
        <f t="shared" si="53"/>
        <v>1</v>
      </c>
      <c r="D340" s="719"/>
      <c r="E340" s="24">
        <f t="shared" si="54"/>
        <v>0.06</v>
      </c>
      <c r="F340" s="719"/>
      <c r="G340" s="24">
        <f t="shared" si="55"/>
        <v>0.02</v>
      </c>
      <c r="H340" s="719"/>
      <c r="I340" s="24">
        <f t="shared" si="56"/>
        <v>0.09</v>
      </c>
      <c r="J340" s="719"/>
      <c r="K340" s="24">
        <f t="shared" si="57"/>
        <v>0</v>
      </c>
      <c r="L340" s="719"/>
      <c r="M340" s="24">
        <f t="shared" si="58"/>
        <v>0.2</v>
      </c>
      <c r="N340" s="719"/>
      <c r="O340" s="24">
        <f t="shared" si="59"/>
        <v>0.2</v>
      </c>
      <c r="P340" s="719"/>
      <c r="Q340" s="24">
        <f t="shared" si="60"/>
        <v>0</v>
      </c>
      <c r="R340" s="715">
        <f t="shared" si="61"/>
        <v>0</v>
      </c>
      <c r="S340" s="361">
        <f t="shared" si="63"/>
        <v>0</v>
      </c>
    </row>
    <row r="341" spans="1:19">
      <c r="A341" s="159"/>
      <c r="B341" s="59"/>
      <c r="C341" s="24">
        <f t="shared" si="53"/>
        <v>1</v>
      </c>
      <c r="D341" s="719"/>
      <c r="E341" s="24">
        <f t="shared" si="54"/>
        <v>0.06</v>
      </c>
      <c r="F341" s="719"/>
      <c r="G341" s="24">
        <f t="shared" si="55"/>
        <v>0.02</v>
      </c>
      <c r="H341" s="719"/>
      <c r="I341" s="24">
        <f t="shared" si="56"/>
        <v>0.09</v>
      </c>
      <c r="J341" s="719"/>
      <c r="K341" s="24">
        <f t="shared" si="57"/>
        <v>0</v>
      </c>
      <c r="L341" s="719"/>
      <c r="M341" s="24">
        <f t="shared" si="58"/>
        <v>0.2</v>
      </c>
      <c r="N341" s="719"/>
      <c r="O341" s="24">
        <f t="shared" si="59"/>
        <v>0.2</v>
      </c>
      <c r="P341" s="719"/>
      <c r="Q341" s="24">
        <f t="shared" si="60"/>
        <v>0</v>
      </c>
      <c r="R341" s="715">
        <f t="shared" si="61"/>
        <v>0</v>
      </c>
      <c r="S341" s="361">
        <f t="shared" si="63"/>
        <v>0</v>
      </c>
    </row>
    <row r="342" spans="1:19">
      <c r="A342" s="159"/>
      <c r="B342" s="59"/>
      <c r="C342" s="24">
        <f t="shared" si="53"/>
        <v>1</v>
      </c>
      <c r="D342" s="719"/>
      <c r="E342" s="24">
        <f t="shared" si="54"/>
        <v>0.06</v>
      </c>
      <c r="F342" s="719"/>
      <c r="G342" s="24">
        <f t="shared" si="55"/>
        <v>0.02</v>
      </c>
      <c r="H342" s="719"/>
      <c r="I342" s="24">
        <f t="shared" si="56"/>
        <v>0.09</v>
      </c>
      <c r="J342" s="719"/>
      <c r="K342" s="24">
        <f t="shared" si="57"/>
        <v>0</v>
      </c>
      <c r="L342" s="719"/>
      <c r="M342" s="24">
        <f t="shared" si="58"/>
        <v>0.2</v>
      </c>
      <c r="N342" s="719"/>
      <c r="O342" s="24">
        <f t="shared" si="59"/>
        <v>0.2</v>
      </c>
      <c r="P342" s="719"/>
      <c r="Q342" s="24">
        <f t="shared" si="60"/>
        <v>0</v>
      </c>
      <c r="R342" s="715">
        <f t="shared" si="61"/>
        <v>0</v>
      </c>
      <c r="S342" s="361">
        <f t="shared" si="63"/>
        <v>0</v>
      </c>
    </row>
    <row r="343" spans="1:19">
      <c r="A343" s="159"/>
      <c r="B343" s="59"/>
      <c r="C343" s="24">
        <f t="shared" si="53"/>
        <v>1</v>
      </c>
      <c r="D343" s="719"/>
      <c r="E343" s="24">
        <f t="shared" si="54"/>
        <v>0.06</v>
      </c>
      <c r="F343" s="719"/>
      <c r="G343" s="24">
        <f t="shared" si="55"/>
        <v>0.02</v>
      </c>
      <c r="H343" s="719"/>
      <c r="I343" s="24">
        <f t="shared" si="56"/>
        <v>0.09</v>
      </c>
      <c r="J343" s="719"/>
      <c r="K343" s="24">
        <f t="shared" si="57"/>
        <v>0</v>
      </c>
      <c r="L343" s="719"/>
      <c r="M343" s="24">
        <f t="shared" si="58"/>
        <v>0.2</v>
      </c>
      <c r="N343" s="719"/>
      <c r="O343" s="24">
        <f t="shared" si="59"/>
        <v>0.2</v>
      </c>
      <c r="P343" s="719"/>
      <c r="Q343" s="24">
        <f t="shared" si="60"/>
        <v>0</v>
      </c>
      <c r="R343" s="715">
        <f t="shared" si="61"/>
        <v>0</v>
      </c>
      <c r="S343" s="361">
        <f t="shared" si="63"/>
        <v>0</v>
      </c>
    </row>
    <row r="344" spans="1:19">
      <c r="A344" s="159"/>
      <c r="B344" s="59"/>
      <c r="C344" s="24">
        <f t="shared" si="53"/>
        <v>1</v>
      </c>
      <c r="D344" s="719"/>
      <c r="E344" s="24">
        <f t="shared" si="54"/>
        <v>0.06</v>
      </c>
      <c r="F344" s="719"/>
      <c r="G344" s="24">
        <f t="shared" si="55"/>
        <v>0.02</v>
      </c>
      <c r="H344" s="719"/>
      <c r="I344" s="24">
        <f t="shared" si="56"/>
        <v>0.09</v>
      </c>
      <c r="J344" s="719"/>
      <c r="K344" s="24">
        <f t="shared" si="57"/>
        <v>0</v>
      </c>
      <c r="L344" s="719"/>
      <c r="M344" s="24">
        <f t="shared" si="58"/>
        <v>0.2</v>
      </c>
      <c r="N344" s="719"/>
      <c r="O344" s="24">
        <f t="shared" si="59"/>
        <v>0.2</v>
      </c>
      <c r="P344" s="719"/>
      <c r="Q344" s="24">
        <f t="shared" si="60"/>
        <v>0</v>
      </c>
      <c r="R344" s="715">
        <f t="shared" si="61"/>
        <v>0</v>
      </c>
      <c r="S344" s="361">
        <f t="shared" si="63"/>
        <v>0</v>
      </c>
    </row>
    <row r="345" spans="1:19">
      <c r="A345" s="159"/>
      <c r="B345" s="59"/>
      <c r="C345" s="24">
        <f t="shared" si="53"/>
        <v>1</v>
      </c>
      <c r="D345" s="719"/>
      <c r="E345" s="24">
        <f t="shared" si="54"/>
        <v>0.06</v>
      </c>
      <c r="F345" s="719"/>
      <c r="G345" s="24">
        <f t="shared" si="55"/>
        <v>0.02</v>
      </c>
      <c r="H345" s="719"/>
      <c r="I345" s="24">
        <f t="shared" si="56"/>
        <v>0.09</v>
      </c>
      <c r="J345" s="719"/>
      <c r="K345" s="24">
        <f t="shared" si="57"/>
        <v>0</v>
      </c>
      <c r="L345" s="719"/>
      <c r="M345" s="24">
        <f t="shared" si="58"/>
        <v>0.2</v>
      </c>
      <c r="N345" s="719"/>
      <c r="O345" s="24">
        <f t="shared" si="59"/>
        <v>0.2</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0.06</v>
      </c>
      <c r="F346" s="719"/>
      <c r="G346" s="24">
        <f t="shared" ref="G346:G409" si="66">(SUMIF($7:$7,F346,$8:$8)-SUMIF($7:$7,$F$24,$8:$8)+100)/100</f>
        <v>0.02</v>
      </c>
      <c r="H346" s="719"/>
      <c r="I346" s="24">
        <f t="shared" ref="I346:I409" si="67">(SUMIF($9:$9,H346,$10:$10)-SUMIF($9:$9,$H$24,$10:$10)+100)/100</f>
        <v>0.09</v>
      </c>
      <c r="J346" s="719"/>
      <c r="K346" s="24">
        <f t="shared" ref="K346:K409" si="68">(SUMIF($11:$11,J346,$12:$12)-SUMIF($11:$11,$J$24,$12:$12)+100)/100</f>
        <v>0</v>
      </c>
      <c r="L346" s="719"/>
      <c r="M346" s="24">
        <f t="shared" ref="M346:M409" si="69">(SUMIF($13:$13,L346,$14:$14)-SUMIF($13:$13,$L$24,$14:$14)+100)/100</f>
        <v>0.2</v>
      </c>
      <c r="N346" s="719"/>
      <c r="O346" s="24">
        <f t="shared" ref="O346:O409" si="70">(SUMIF($15:$15,N346,$16:$16)-SUMIF($15:$15,$N$24,$16:$16)+100)/100</f>
        <v>0.2</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0.06</v>
      </c>
      <c r="F347" s="719"/>
      <c r="G347" s="24">
        <f t="shared" si="66"/>
        <v>0.02</v>
      </c>
      <c r="H347" s="719"/>
      <c r="I347" s="24">
        <f t="shared" si="67"/>
        <v>0.09</v>
      </c>
      <c r="J347" s="719"/>
      <c r="K347" s="24">
        <f t="shared" si="68"/>
        <v>0</v>
      </c>
      <c r="L347" s="719"/>
      <c r="M347" s="24">
        <f t="shared" si="69"/>
        <v>0.2</v>
      </c>
      <c r="N347" s="719"/>
      <c r="O347" s="24">
        <f t="shared" si="70"/>
        <v>0.2</v>
      </c>
      <c r="P347" s="719"/>
      <c r="Q347" s="24">
        <f t="shared" si="71"/>
        <v>0</v>
      </c>
      <c r="R347" s="715">
        <f t="shared" si="72"/>
        <v>0</v>
      </c>
      <c r="S347" s="361">
        <f t="shared" si="63"/>
        <v>0</v>
      </c>
    </row>
    <row r="348" spans="1:19">
      <c r="A348" s="159"/>
      <c r="B348" s="59"/>
      <c r="C348" s="24">
        <f t="shared" si="64"/>
        <v>1</v>
      </c>
      <c r="D348" s="719"/>
      <c r="E348" s="24">
        <f t="shared" si="65"/>
        <v>0.06</v>
      </c>
      <c r="F348" s="719"/>
      <c r="G348" s="24">
        <f t="shared" si="66"/>
        <v>0.02</v>
      </c>
      <c r="H348" s="719"/>
      <c r="I348" s="24">
        <f t="shared" si="67"/>
        <v>0.09</v>
      </c>
      <c r="J348" s="719"/>
      <c r="K348" s="24">
        <f t="shared" si="68"/>
        <v>0</v>
      </c>
      <c r="L348" s="719"/>
      <c r="M348" s="24">
        <f t="shared" si="69"/>
        <v>0.2</v>
      </c>
      <c r="N348" s="719"/>
      <c r="O348" s="24">
        <f t="shared" si="70"/>
        <v>0.2</v>
      </c>
      <c r="P348" s="719"/>
      <c r="Q348" s="24">
        <f t="shared" si="71"/>
        <v>0</v>
      </c>
      <c r="R348" s="715">
        <f t="shared" si="72"/>
        <v>0</v>
      </c>
      <c r="S348" s="361">
        <f t="shared" si="63"/>
        <v>0</v>
      </c>
    </row>
    <row r="349" spans="1:19">
      <c r="A349" s="159"/>
      <c r="B349" s="59"/>
      <c r="C349" s="24">
        <f t="shared" si="64"/>
        <v>1</v>
      </c>
      <c r="D349" s="719"/>
      <c r="E349" s="24">
        <f t="shared" si="65"/>
        <v>0.06</v>
      </c>
      <c r="F349" s="719"/>
      <c r="G349" s="24">
        <f t="shared" si="66"/>
        <v>0.02</v>
      </c>
      <c r="H349" s="719"/>
      <c r="I349" s="24">
        <f t="shared" si="67"/>
        <v>0.09</v>
      </c>
      <c r="J349" s="719"/>
      <c r="K349" s="24">
        <f t="shared" si="68"/>
        <v>0</v>
      </c>
      <c r="L349" s="719"/>
      <c r="M349" s="24">
        <f t="shared" si="69"/>
        <v>0.2</v>
      </c>
      <c r="N349" s="719"/>
      <c r="O349" s="24">
        <f t="shared" si="70"/>
        <v>0.2</v>
      </c>
      <c r="P349" s="719"/>
      <c r="Q349" s="24">
        <f t="shared" si="71"/>
        <v>0</v>
      </c>
      <c r="R349" s="715">
        <f t="shared" si="72"/>
        <v>0</v>
      </c>
      <c r="S349" s="361">
        <f t="shared" si="63"/>
        <v>0</v>
      </c>
    </row>
    <row r="350" spans="1:19">
      <c r="A350" s="159"/>
      <c r="B350" s="59"/>
      <c r="C350" s="24">
        <f t="shared" si="64"/>
        <v>1</v>
      </c>
      <c r="D350" s="719"/>
      <c r="E350" s="24">
        <f t="shared" si="65"/>
        <v>0.06</v>
      </c>
      <c r="F350" s="719"/>
      <c r="G350" s="24">
        <f t="shared" si="66"/>
        <v>0.02</v>
      </c>
      <c r="H350" s="719"/>
      <c r="I350" s="24">
        <f t="shared" si="67"/>
        <v>0.09</v>
      </c>
      <c r="J350" s="719"/>
      <c r="K350" s="24">
        <f t="shared" si="68"/>
        <v>0</v>
      </c>
      <c r="L350" s="719"/>
      <c r="M350" s="24">
        <f t="shared" si="69"/>
        <v>0.2</v>
      </c>
      <c r="N350" s="719"/>
      <c r="O350" s="24">
        <f t="shared" si="70"/>
        <v>0.2</v>
      </c>
      <c r="P350" s="719"/>
      <c r="Q350" s="24">
        <f t="shared" si="71"/>
        <v>0</v>
      </c>
      <c r="R350" s="715">
        <f t="shared" si="72"/>
        <v>0</v>
      </c>
      <c r="S350" s="361">
        <f t="shared" si="63"/>
        <v>0</v>
      </c>
    </row>
    <row r="351" spans="1:19">
      <c r="A351" s="159"/>
      <c r="B351" s="59"/>
      <c r="C351" s="24">
        <f t="shared" si="64"/>
        <v>1</v>
      </c>
      <c r="D351" s="719"/>
      <c r="E351" s="24">
        <f t="shared" si="65"/>
        <v>0.06</v>
      </c>
      <c r="F351" s="719"/>
      <c r="G351" s="24">
        <f t="shared" si="66"/>
        <v>0.02</v>
      </c>
      <c r="H351" s="719"/>
      <c r="I351" s="24">
        <f t="shared" si="67"/>
        <v>0.09</v>
      </c>
      <c r="J351" s="719"/>
      <c r="K351" s="24">
        <f t="shared" si="68"/>
        <v>0</v>
      </c>
      <c r="L351" s="719"/>
      <c r="M351" s="24">
        <f t="shared" si="69"/>
        <v>0.2</v>
      </c>
      <c r="N351" s="719"/>
      <c r="O351" s="24">
        <f t="shared" si="70"/>
        <v>0.2</v>
      </c>
      <c r="P351" s="719"/>
      <c r="Q351" s="24">
        <f t="shared" si="71"/>
        <v>0</v>
      </c>
      <c r="R351" s="715">
        <f t="shared" si="72"/>
        <v>0</v>
      </c>
      <c r="S351" s="361">
        <f t="shared" si="63"/>
        <v>0</v>
      </c>
    </row>
    <row r="352" spans="1:19">
      <c r="A352" s="159"/>
      <c r="B352" s="59"/>
      <c r="C352" s="24">
        <f t="shared" si="64"/>
        <v>1</v>
      </c>
      <c r="D352" s="719"/>
      <c r="E352" s="24">
        <f t="shared" si="65"/>
        <v>0.06</v>
      </c>
      <c r="F352" s="719"/>
      <c r="G352" s="24">
        <f t="shared" si="66"/>
        <v>0.02</v>
      </c>
      <c r="H352" s="719"/>
      <c r="I352" s="24">
        <f t="shared" si="67"/>
        <v>0.09</v>
      </c>
      <c r="J352" s="719"/>
      <c r="K352" s="24">
        <f t="shared" si="68"/>
        <v>0</v>
      </c>
      <c r="L352" s="719"/>
      <c r="M352" s="24">
        <f t="shared" si="69"/>
        <v>0.2</v>
      </c>
      <c r="N352" s="719"/>
      <c r="O352" s="24">
        <f t="shared" si="70"/>
        <v>0.2</v>
      </c>
      <c r="P352" s="719"/>
      <c r="Q352" s="24">
        <f t="shared" si="71"/>
        <v>0</v>
      </c>
      <c r="R352" s="715">
        <f t="shared" si="72"/>
        <v>0</v>
      </c>
      <c r="S352" s="361">
        <f t="shared" si="63"/>
        <v>0</v>
      </c>
    </row>
    <row r="353" spans="1:19">
      <c r="A353" s="159"/>
      <c r="B353" s="59"/>
      <c r="C353" s="24">
        <f t="shared" si="64"/>
        <v>1</v>
      </c>
      <c r="D353" s="719"/>
      <c r="E353" s="24">
        <f t="shared" si="65"/>
        <v>0.06</v>
      </c>
      <c r="F353" s="719"/>
      <c r="G353" s="24">
        <f t="shared" si="66"/>
        <v>0.02</v>
      </c>
      <c r="H353" s="719"/>
      <c r="I353" s="24">
        <f t="shared" si="67"/>
        <v>0.09</v>
      </c>
      <c r="J353" s="719"/>
      <c r="K353" s="24">
        <f t="shared" si="68"/>
        <v>0</v>
      </c>
      <c r="L353" s="719"/>
      <c r="M353" s="24">
        <f t="shared" si="69"/>
        <v>0.2</v>
      </c>
      <c r="N353" s="719"/>
      <c r="O353" s="24">
        <f t="shared" si="70"/>
        <v>0.2</v>
      </c>
      <c r="P353" s="719"/>
      <c r="Q353" s="24">
        <f t="shared" si="71"/>
        <v>0</v>
      </c>
      <c r="R353" s="715">
        <f t="shared" si="72"/>
        <v>0</v>
      </c>
      <c r="S353" s="361">
        <f t="shared" si="63"/>
        <v>0</v>
      </c>
    </row>
    <row r="354" spans="1:19">
      <c r="A354" s="159"/>
      <c r="B354" s="59"/>
      <c r="C354" s="24">
        <f t="shared" si="64"/>
        <v>1</v>
      </c>
      <c r="D354" s="719"/>
      <c r="E354" s="24">
        <f t="shared" si="65"/>
        <v>0.06</v>
      </c>
      <c r="F354" s="719"/>
      <c r="G354" s="24">
        <f t="shared" si="66"/>
        <v>0.02</v>
      </c>
      <c r="H354" s="719"/>
      <c r="I354" s="24">
        <f t="shared" si="67"/>
        <v>0.09</v>
      </c>
      <c r="J354" s="719"/>
      <c r="K354" s="24">
        <f t="shared" si="68"/>
        <v>0</v>
      </c>
      <c r="L354" s="719"/>
      <c r="M354" s="24">
        <f t="shared" si="69"/>
        <v>0.2</v>
      </c>
      <c r="N354" s="719"/>
      <c r="O354" s="24">
        <f t="shared" si="70"/>
        <v>0.2</v>
      </c>
      <c r="P354" s="719"/>
      <c r="Q354" s="24">
        <f t="shared" si="71"/>
        <v>0</v>
      </c>
      <c r="R354" s="715">
        <f t="shared" si="72"/>
        <v>0</v>
      </c>
      <c r="S354" s="361">
        <f t="shared" si="63"/>
        <v>0</v>
      </c>
    </row>
    <row r="355" spans="1:19">
      <c r="A355" s="159"/>
      <c r="B355" s="59"/>
      <c r="C355" s="24">
        <f t="shared" si="64"/>
        <v>1</v>
      </c>
      <c r="D355" s="719"/>
      <c r="E355" s="24">
        <f t="shared" si="65"/>
        <v>0.06</v>
      </c>
      <c r="F355" s="719"/>
      <c r="G355" s="24">
        <f t="shared" si="66"/>
        <v>0.02</v>
      </c>
      <c r="H355" s="719"/>
      <c r="I355" s="24">
        <f t="shared" si="67"/>
        <v>0.09</v>
      </c>
      <c r="J355" s="719"/>
      <c r="K355" s="24">
        <f t="shared" si="68"/>
        <v>0</v>
      </c>
      <c r="L355" s="719"/>
      <c r="M355" s="24">
        <f t="shared" si="69"/>
        <v>0.2</v>
      </c>
      <c r="N355" s="719"/>
      <c r="O355" s="24">
        <f t="shared" si="70"/>
        <v>0.2</v>
      </c>
      <c r="P355" s="719"/>
      <c r="Q355" s="24">
        <f t="shared" si="71"/>
        <v>0</v>
      </c>
      <c r="R355" s="715">
        <f t="shared" si="72"/>
        <v>0</v>
      </c>
      <c r="S355" s="361">
        <f t="shared" si="63"/>
        <v>0</v>
      </c>
    </row>
    <row r="356" spans="1:19">
      <c r="A356" s="159"/>
      <c r="B356" s="59"/>
      <c r="C356" s="24">
        <f t="shared" si="64"/>
        <v>1</v>
      </c>
      <c r="D356" s="719"/>
      <c r="E356" s="24">
        <f t="shared" si="65"/>
        <v>0.06</v>
      </c>
      <c r="F356" s="719"/>
      <c r="G356" s="24">
        <f t="shared" si="66"/>
        <v>0.02</v>
      </c>
      <c r="H356" s="719"/>
      <c r="I356" s="24">
        <f t="shared" si="67"/>
        <v>0.09</v>
      </c>
      <c r="J356" s="719"/>
      <c r="K356" s="24">
        <f t="shared" si="68"/>
        <v>0</v>
      </c>
      <c r="L356" s="719"/>
      <c r="M356" s="24">
        <f t="shared" si="69"/>
        <v>0.2</v>
      </c>
      <c r="N356" s="719"/>
      <c r="O356" s="24">
        <f t="shared" si="70"/>
        <v>0.2</v>
      </c>
      <c r="P356" s="719"/>
      <c r="Q356" s="24">
        <f t="shared" si="71"/>
        <v>0</v>
      </c>
      <c r="R356" s="715">
        <f t="shared" si="72"/>
        <v>0</v>
      </c>
      <c r="S356" s="361">
        <f t="shared" si="63"/>
        <v>0</v>
      </c>
    </row>
    <row r="357" spans="1:19">
      <c r="A357" s="159"/>
      <c r="B357" s="59"/>
      <c r="C357" s="24">
        <f t="shared" si="64"/>
        <v>1</v>
      </c>
      <c r="D357" s="719"/>
      <c r="E357" s="24">
        <f t="shared" si="65"/>
        <v>0.06</v>
      </c>
      <c r="F357" s="719"/>
      <c r="G357" s="24">
        <f t="shared" si="66"/>
        <v>0.02</v>
      </c>
      <c r="H357" s="719"/>
      <c r="I357" s="24">
        <f t="shared" si="67"/>
        <v>0.09</v>
      </c>
      <c r="J357" s="719"/>
      <c r="K357" s="24">
        <f t="shared" si="68"/>
        <v>0</v>
      </c>
      <c r="L357" s="719"/>
      <c r="M357" s="24">
        <f t="shared" si="69"/>
        <v>0.2</v>
      </c>
      <c r="N357" s="719"/>
      <c r="O357" s="24">
        <f t="shared" si="70"/>
        <v>0.2</v>
      </c>
      <c r="P357" s="719"/>
      <c r="Q357" s="24">
        <f t="shared" si="71"/>
        <v>0</v>
      </c>
      <c r="R357" s="715">
        <f t="shared" si="72"/>
        <v>0</v>
      </c>
      <c r="S357" s="361">
        <f t="shared" si="63"/>
        <v>0</v>
      </c>
    </row>
    <row r="358" spans="1:19">
      <c r="A358" s="159"/>
      <c r="B358" s="59"/>
      <c r="C358" s="24">
        <f t="shared" si="64"/>
        <v>1</v>
      </c>
      <c r="D358" s="719"/>
      <c r="E358" s="24">
        <f t="shared" si="65"/>
        <v>0.06</v>
      </c>
      <c r="F358" s="719"/>
      <c r="G358" s="24">
        <f t="shared" si="66"/>
        <v>0.02</v>
      </c>
      <c r="H358" s="719"/>
      <c r="I358" s="24">
        <f t="shared" si="67"/>
        <v>0.09</v>
      </c>
      <c r="J358" s="719"/>
      <c r="K358" s="24">
        <f t="shared" si="68"/>
        <v>0</v>
      </c>
      <c r="L358" s="719"/>
      <c r="M358" s="24">
        <f t="shared" si="69"/>
        <v>0.2</v>
      </c>
      <c r="N358" s="719"/>
      <c r="O358" s="24">
        <f t="shared" si="70"/>
        <v>0.2</v>
      </c>
      <c r="P358" s="719"/>
      <c r="Q358" s="24">
        <f t="shared" si="71"/>
        <v>0</v>
      </c>
      <c r="R358" s="715">
        <f t="shared" si="72"/>
        <v>0</v>
      </c>
      <c r="S358" s="361">
        <f t="shared" si="63"/>
        <v>0</v>
      </c>
    </row>
    <row r="359" spans="1:19">
      <c r="A359" s="159"/>
      <c r="B359" s="59"/>
      <c r="C359" s="24">
        <f t="shared" si="64"/>
        <v>1</v>
      </c>
      <c r="D359" s="719"/>
      <c r="E359" s="24">
        <f t="shared" si="65"/>
        <v>0.06</v>
      </c>
      <c r="F359" s="719"/>
      <c r="G359" s="24">
        <f t="shared" si="66"/>
        <v>0.02</v>
      </c>
      <c r="H359" s="719"/>
      <c r="I359" s="24">
        <f t="shared" si="67"/>
        <v>0.09</v>
      </c>
      <c r="J359" s="719"/>
      <c r="K359" s="24">
        <f t="shared" si="68"/>
        <v>0</v>
      </c>
      <c r="L359" s="719"/>
      <c r="M359" s="24">
        <f t="shared" si="69"/>
        <v>0.2</v>
      </c>
      <c r="N359" s="719"/>
      <c r="O359" s="24">
        <f t="shared" si="70"/>
        <v>0.2</v>
      </c>
      <c r="P359" s="719"/>
      <c r="Q359" s="24">
        <f t="shared" si="71"/>
        <v>0</v>
      </c>
      <c r="R359" s="715">
        <f t="shared" si="72"/>
        <v>0</v>
      </c>
      <c r="S359" s="361">
        <f t="shared" si="63"/>
        <v>0</v>
      </c>
    </row>
    <row r="360" spans="1:19">
      <c r="A360" s="159"/>
      <c r="B360" s="59"/>
      <c r="C360" s="24">
        <f t="shared" si="64"/>
        <v>1</v>
      </c>
      <c r="D360" s="719"/>
      <c r="E360" s="24">
        <f t="shared" si="65"/>
        <v>0.06</v>
      </c>
      <c r="F360" s="719"/>
      <c r="G360" s="24">
        <f t="shared" si="66"/>
        <v>0.02</v>
      </c>
      <c r="H360" s="719"/>
      <c r="I360" s="24">
        <f t="shared" si="67"/>
        <v>0.09</v>
      </c>
      <c r="J360" s="719"/>
      <c r="K360" s="24">
        <f t="shared" si="68"/>
        <v>0</v>
      </c>
      <c r="L360" s="719"/>
      <c r="M360" s="24">
        <f t="shared" si="69"/>
        <v>0.2</v>
      </c>
      <c r="N360" s="719"/>
      <c r="O360" s="24">
        <f t="shared" si="70"/>
        <v>0.2</v>
      </c>
      <c r="P360" s="719"/>
      <c r="Q360" s="24">
        <f t="shared" si="71"/>
        <v>0</v>
      </c>
      <c r="R360" s="715">
        <f t="shared" si="72"/>
        <v>0</v>
      </c>
      <c r="S360" s="361">
        <f t="shared" si="63"/>
        <v>0</v>
      </c>
    </row>
    <row r="361" spans="1:19">
      <c r="A361" s="159"/>
      <c r="B361" s="59"/>
      <c r="C361" s="24">
        <f t="shared" si="64"/>
        <v>1</v>
      </c>
      <c r="D361" s="719"/>
      <c r="E361" s="24">
        <f t="shared" si="65"/>
        <v>0.06</v>
      </c>
      <c r="F361" s="719"/>
      <c r="G361" s="24">
        <f t="shared" si="66"/>
        <v>0.02</v>
      </c>
      <c r="H361" s="719"/>
      <c r="I361" s="24">
        <f t="shared" si="67"/>
        <v>0.09</v>
      </c>
      <c r="J361" s="719"/>
      <c r="K361" s="24">
        <f t="shared" si="68"/>
        <v>0</v>
      </c>
      <c r="L361" s="719"/>
      <c r="M361" s="24">
        <f t="shared" si="69"/>
        <v>0.2</v>
      </c>
      <c r="N361" s="719"/>
      <c r="O361" s="24">
        <f t="shared" si="70"/>
        <v>0.2</v>
      </c>
      <c r="P361" s="719"/>
      <c r="Q361" s="24">
        <f t="shared" si="71"/>
        <v>0</v>
      </c>
      <c r="R361" s="715">
        <f t="shared" si="72"/>
        <v>0</v>
      </c>
      <c r="S361" s="361">
        <f t="shared" si="63"/>
        <v>0</v>
      </c>
    </row>
    <row r="362" spans="1:19">
      <c r="A362" s="159"/>
      <c r="B362" s="59"/>
      <c r="C362" s="24">
        <f t="shared" si="64"/>
        <v>1</v>
      </c>
      <c r="D362" s="719"/>
      <c r="E362" s="24">
        <f t="shared" si="65"/>
        <v>0.06</v>
      </c>
      <c r="F362" s="719"/>
      <c r="G362" s="24">
        <f t="shared" si="66"/>
        <v>0.02</v>
      </c>
      <c r="H362" s="719"/>
      <c r="I362" s="24">
        <f t="shared" si="67"/>
        <v>0.09</v>
      </c>
      <c r="J362" s="719"/>
      <c r="K362" s="24">
        <f t="shared" si="68"/>
        <v>0</v>
      </c>
      <c r="L362" s="719"/>
      <c r="M362" s="24">
        <f t="shared" si="69"/>
        <v>0.2</v>
      </c>
      <c r="N362" s="719"/>
      <c r="O362" s="24">
        <f t="shared" si="70"/>
        <v>0.2</v>
      </c>
      <c r="P362" s="719"/>
      <c r="Q362" s="24">
        <f t="shared" si="71"/>
        <v>0</v>
      </c>
      <c r="R362" s="715">
        <f t="shared" si="72"/>
        <v>0</v>
      </c>
      <c r="S362" s="361">
        <f t="shared" si="63"/>
        <v>0</v>
      </c>
    </row>
    <row r="363" spans="1:19">
      <c r="A363" s="159"/>
      <c r="B363" s="59"/>
      <c r="C363" s="24">
        <f t="shared" si="64"/>
        <v>1</v>
      </c>
      <c r="D363" s="719"/>
      <c r="E363" s="24">
        <f t="shared" si="65"/>
        <v>0.06</v>
      </c>
      <c r="F363" s="719"/>
      <c r="G363" s="24">
        <f t="shared" si="66"/>
        <v>0.02</v>
      </c>
      <c r="H363" s="719"/>
      <c r="I363" s="24">
        <f t="shared" si="67"/>
        <v>0.09</v>
      </c>
      <c r="J363" s="719"/>
      <c r="K363" s="24">
        <f t="shared" si="68"/>
        <v>0</v>
      </c>
      <c r="L363" s="719"/>
      <c r="M363" s="24">
        <f t="shared" si="69"/>
        <v>0.2</v>
      </c>
      <c r="N363" s="719"/>
      <c r="O363" s="24">
        <f t="shared" si="70"/>
        <v>0.2</v>
      </c>
      <c r="P363" s="719"/>
      <c r="Q363" s="24">
        <f t="shared" si="71"/>
        <v>0</v>
      </c>
      <c r="R363" s="715">
        <f t="shared" si="72"/>
        <v>0</v>
      </c>
      <c r="S363" s="361">
        <f t="shared" si="63"/>
        <v>0</v>
      </c>
    </row>
    <row r="364" spans="1:19">
      <c r="A364" s="159"/>
      <c r="B364" s="59"/>
      <c r="C364" s="24">
        <f t="shared" si="64"/>
        <v>1</v>
      </c>
      <c r="D364" s="719"/>
      <c r="E364" s="24">
        <f t="shared" si="65"/>
        <v>0.06</v>
      </c>
      <c r="F364" s="719"/>
      <c r="G364" s="24">
        <f t="shared" si="66"/>
        <v>0.02</v>
      </c>
      <c r="H364" s="719"/>
      <c r="I364" s="24">
        <f t="shared" si="67"/>
        <v>0.09</v>
      </c>
      <c r="J364" s="719"/>
      <c r="K364" s="24">
        <f t="shared" si="68"/>
        <v>0</v>
      </c>
      <c r="L364" s="719"/>
      <c r="M364" s="24">
        <f t="shared" si="69"/>
        <v>0.2</v>
      </c>
      <c r="N364" s="719"/>
      <c r="O364" s="24">
        <f t="shared" si="70"/>
        <v>0.2</v>
      </c>
      <c r="P364" s="719"/>
      <c r="Q364" s="24">
        <f t="shared" si="71"/>
        <v>0</v>
      </c>
      <c r="R364" s="715">
        <f t="shared" si="72"/>
        <v>0</v>
      </c>
      <c r="S364" s="361">
        <f t="shared" si="63"/>
        <v>0</v>
      </c>
    </row>
    <row r="365" spans="1:19">
      <c r="A365" s="159"/>
      <c r="B365" s="59"/>
      <c r="C365" s="24">
        <f t="shared" si="64"/>
        <v>1</v>
      </c>
      <c r="D365" s="719"/>
      <c r="E365" s="24">
        <f t="shared" si="65"/>
        <v>0.06</v>
      </c>
      <c r="F365" s="719"/>
      <c r="G365" s="24">
        <f t="shared" si="66"/>
        <v>0.02</v>
      </c>
      <c r="H365" s="719"/>
      <c r="I365" s="24">
        <f t="shared" si="67"/>
        <v>0.09</v>
      </c>
      <c r="J365" s="719"/>
      <c r="K365" s="24">
        <f t="shared" si="68"/>
        <v>0</v>
      </c>
      <c r="L365" s="719"/>
      <c r="M365" s="24">
        <f t="shared" si="69"/>
        <v>0.2</v>
      </c>
      <c r="N365" s="719"/>
      <c r="O365" s="24">
        <f t="shared" si="70"/>
        <v>0.2</v>
      </c>
      <c r="P365" s="719"/>
      <c r="Q365" s="24">
        <f t="shared" si="71"/>
        <v>0</v>
      </c>
      <c r="R365" s="715">
        <f t="shared" si="72"/>
        <v>0</v>
      </c>
      <c r="S365" s="361">
        <f t="shared" si="63"/>
        <v>0</v>
      </c>
    </row>
    <row r="366" spans="1:19">
      <c r="A366" s="159"/>
      <c r="B366" s="59"/>
      <c r="C366" s="24">
        <f t="shared" si="64"/>
        <v>1</v>
      </c>
      <c r="D366" s="719"/>
      <c r="E366" s="24">
        <f t="shared" si="65"/>
        <v>0.06</v>
      </c>
      <c r="F366" s="719"/>
      <c r="G366" s="24">
        <f t="shared" si="66"/>
        <v>0.02</v>
      </c>
      <c r="H366" s="719"/>
      <c r="I366" s="24">
        <f t="shared" si="67"/>
        <v>0.09</v>
      </c>
      <c r="J366" s="719"/>
      <c r="K366" s="24">
        <f t="shared" si="68"/>
        <v>0</v>
      </c>
      <c r="L366" s="719"/>
      <c r="M366" s="24">
        <f t="shared" si="69"/>
        <v>0.2</v>
      </c>
      <c r="N366" s="719"/>
      <c r="O366" s="24">
        <f t="shared" si="70"/>
        <v>0.2</v>
      </c>
      <c r="P366" s="719"/>
      <c r="Q366" s="24">
        <f t="shared" si="71"/>
        <v>0</v>
      </c>
      <c r="R366" s="715">
        <f t="shared" si="72"/>
        <v>0</v>
      </c>
      <c r="S366" s="361">
        <f t="shared" si="63"/>
        <v>0</v>
      </c>
    </row>
    <row r="367" spans="1:19">
      <c r="A367" s="159"/>
      <c r="B367" s="59"/>
      <c r="C367" s="24">
        <f t="shared" si="64"/>
        <v>1</v>
      </c>
      <c r="D367" s="719"/>
      <c r="E367" s="24">
        <f t="shared" si="65"/>
        <v>0.06</v>
      </c>
      <c r="F367" s="719"/>
      <c r="G367" s="24">
        <f t="shared" si="66"/>
        <v>0.02</v>
      </c>
      <c r="H367" s="719"/>
      <c r="I367" s="24">
        <f t="shared" si="67"/>
        <v>0.09</v>
      </c>
      <c r="J367" s="719"/>
      <c r="K367" s="24">
        <f t="shared" si="68"/>
        <v>0</v>
      </c>
      <c r="L367" s="719"/>
      <c r="M367" s="24">
        <f t="shared" si="69"/>
        <v>0.2</v>
      </c>
      <c r="N367" s="719"/>
      <c r="O367" s="24">
        <f t="shared" si="70"/>
        <v>0.2</v>
      </c>
      <c r="P367" s="719"/>
      <c r="Q367" s="24">
        <f t="shared" si="71"/>
        <v>0</v>
      </c>
      <c r="R367" s="715">
        <f t="shared" si="72"/>
        <v>0</v>
      </c>
      <c r="S367" s="361">
        <f t="shared" si="63"/>
        <v>0</v>
      </c>
    </row>
    <row r="368" spans="1:19">
      <c r="A368" s="159"/>
      <c r="B368" s="59"/>
      <c r="C368" s="24">
        <f t="shared" si="64"/>
        <v>1</v>
      </c>
      <c r="D368" s="719"/>
      <c r="E368" s="24">
        <f t="shared" si="65"/>
        <v>0.06</v>
      </c>
      <c r="F368" s="719"/>
      <c r="G368" s="24">
        <f t="shared" si="66"/>
        <v>0.02</v>
      </c>
      <c r="H368" s="719"/>
      <c r="I368" s="24">
        <f t="shared" si="67"/>
        <v>0.09</v>
      </c>
      <c r="J368" s="719"/>
      <c r="K368" s="24">
        <f t="shared" si="68"/>
        <v>0</v>
      </c>
      <c r="L368" s="719"/>
      <c r="M368" s="24">
        <f t="shared" si="69"/>
        <v>0.2</v>
      </c>
      <c r="N368" s="719"/>
      <c r="O368" s="24">
        <f t="shared" si="70"/>
        <v>0.2</v>
      </c>
      <c r="P368" s="719"/>
      <c r="Q368" s="24">
        <f t="shared" si="71"/>
        <v>0</v>
      </c>
      <c r="R368" s="715">
        <f t="shared" si="72"/>
        <v>0</v>
      </c>
      <c r="S368" s="361">
        <f t="shared" si="63"/>
        <v>0</v>
      </c>
    </row>
    <row r="369" spans="1:19">
      <c r="A369" s="159"/>
      <c r="B369" s="59"/>
      <c r="C369" s="24">
        <f t="shared" si="64"/>
        <v>1</v>
      </c>
      <c r="D369" s="719"/>
      <c r="E369" s="24">
        <f t="shared" si="65"/>
        <v>0.06</v>
      </c>
      <c r="F369" s="719"/>
      <c r="G369" s="24">
        <f t="shared" si="66"/>
        <v>0.02</v>
      </c>
      <c r="H369" s="719"/>
      <c r="I369" s="24">
        <f t="shared" si="67"/>
        <v>0.09</v>
      </c>
      <c r="J369" s="719"/>
      <c r="K369" s="24">
        <f t="shared" si="68"/>
        <v>0</v>
      </c>
      <c r="L369" s="719"/>
      <c r="M369" s="24">
        <f t="shared" si="69"/>
        <v>0.2</v>
      </c>
      <c r="N369" s="719"/>
      <c r="O369" s="24">
        <f t="shared" si="70"/>
        <v>0.2</v>
      </c>
      <c r="P369" s="719"/>
      <c r="Q369" s="24">
        <f t="shared" si="71"/>
        <v>0</v>
      </c>
      <c r="R369" s="715">
        <f t="shared" si="72"/>
        <v>0</v>
      </c>
      <c r="S369" s="361">
        <f t="shared" si="63"/>
        <v>0</v>
      </c>
    </row>
    <row r="370" spans="1:19">
      <c r="A370" s="159"/>
      <c r="B370" s="59"/>
      <c r="C370" s="24">
        <f t="shared" si="64"/>
        <v>1</v>
      </c>
      <c r="D370" s="719"/>
      <c r="E370" s="24">
        <f t="shared" si="65"/>
        <v>0.06</v>
      </c>
      <c r="F370" s="719"/>
      <c r="G370" s="24">
        <f t="shared" si="66"/>
        <v>0.02</v>
      </c>
      <c r="H370" s="719"/>
      <c r="I370" s="24">
        <f t="shared" si="67"/>
        <v>0.09</v>
      </c>
      <c r="J370" s="719"/>
      <c r="K370" s="24">
        <f t="shared" si="68"/>
        <v>0</v>
      </c>
      <c r="L370" s="719"/>
      <c r="M370" s="24">
        <f t="shared" si="69"/>
        <v>0.2</v>
      </c>
      <c r="N370" s="719"/>
      <c r="O370" s="24">
        <f t="shared" si="70"/>
        <v>0.2</v>
      </c>
      <c r="P370" s="719"/>
      <c r="Q370" s="24">
        <f t="shared" si="71"/>
        <v>0</v>
      </c>
      <c r="R370" s="715">
        <f t="shared" si="72"/>
        <v>0</v>
      </c>
      <c r="S370" s="361">
        <f t="shared" si="63"/>
        <v>0</v>
      </c>
    </row>
    <row r="371" spans="1:19">
      <c r="A371" s="159"/>
      <c r="B371" s="59"/>
      <c r="C371" s="24">
        <f t="shared" si="64"/>
        <v>1</v>
      </c>
      <c r="D371" s="719"/>
      <c r="E371" s="24">
        <f t="shared" si="65"/>
        <v>0.06</v>
      </c>
      <c r="F371" s="719"/>
      <c r="G371" s="24">
        <f t="shared" si="66"/>
        <v>0.02</v>
      </c>
      <c r="H371" s="719"/>
      <c r="I371" s="24">
        <f t="shared" si="67"/>
        <v>0.09</v>
      </c>
      <c r="J371" s="719"/>
      <c r="K371" s="24">
        <f t="shared" si="68"/>
        <v>0</v>
      </c>
      <c r="L371" s="719"/>
      <c r="M371" s="24">
        <f t="shared" si="69"/>
        <v>0.2</v>
      </c>
      <c r="N371" s="719"/>
      <c r="O371" s="24">
        <f t="shared" si="70"/>
        <v>0.2</v>
      </c>
      <c r="P371" s="719"/>
      <c r="Q371" s="24">
        <f t="shared" si="71"/>
        <v>0</v>
      </c>
      <c r="R371" s="715">
        <f t="shared" si="72"/>
        <v>0</v>
      </c>
      <c r="S371" s="361">
        <f t="shared" si="63"/>
        <v>0</v>
      </c>
    </row>
    <row r="372" spans="1:19">
      <c r="A372" s="159"/>
      <c r="B372" s="59"/>
      <c r="C372" s="24">
        <f t="shared" si="64"/>
        <v>1</v>
      </c>
      <c r="D372" s="719"/>
      <c r="E372" s="24">
        <f t="shared" si="65"/>
        <v>0.06</v>
      </c>
      <c r="F372" s="719"/>
      <c r="G372" s="24">
        <f t="shared" si="66"/>
        <v>0.02</v>
      </c>
      <c r="H372" s="719"/>
      <c r="I372" s="24">
        <f t="shared" si="67"/>
        <v>0.09</v>
      </c>
      <c r="J372" s="719"/>
      <c r="K372" s="24">
        <f t="shared" si="68"/>
        <v>0</v>
      </c>
      <c r="L372" s="719"/>
      <c r="M372" s="24">
        <f t="shared" si="69"/>
        <v>0.2</v>
      </c>
      <c r="N372" s="719"/>
      <c r="O372" s="24">
        <f t="shared" si="70"/>
        <v>0.2</v>
      </c>
      <c r="P372" s="719"/>
      <c r="Q372" s="24">
        <f t="shared" si="71"/>
        <v>0</v>
      </c>
      <c r="R372" s="715">
        <f t="shared" si="72"/>
        <v>0</v>
      </c>
      <c r="S372" s="361">
        <f t="shared" si="63"/>
        <v>0</v>
      </c>
    </row>
    <row r="373" spans="1:19">
      <c r="A373" s="159"/>
      <c r="B373" s="59"/>
      <c r="C373" s="24">
        <f t="shared" si="64"/>
        <v>1</v>
      </c>
      <c r="D373" s="719"/>
      <c r="E373" s="24">
        <f t="shared" si="65"/>
        <v>0.06</v>
      </c>
      <c r="F373" s="719"/>
      <c r="G373" s="24">
        <f t="shared" si="66"/>
        <v>0.02</v>
      </c>
      <c r="H373" s="719"/>
      <c r="I373" s="24">
        <f t="shared" si="67"/>
        <v>0.09</v>
      </c>
      <c r="J373" s="719"/>
      <c r="K373" s="24">
        <f t="shared" si="68"/>
        <v>0</v>
      </c>
      <c r="L373" s="719"/>
      <c r="M373" s="24">
        <f t="shared" si="69"/>
        <v>0.2</v>
      </c>
      <c r="N373" s="719"/>
      <c r="O373" s="24">
        <f t="shared" si="70"/>
        <v>0.2</v>
      </c>
      <c r="P373" s="719"/>
      <c r="Q373" s="24">
        <f t="shared" si="71"/>
        <v>0</v>
      </c>
      <c r="R373" s="715">
        <f t="shared" si="72"/>
        <v>0</v>
      </c>
      <c r="S373" s="361">
        <f t="shared" si="63"/>
        <v>0</v>
      </c>
    </row>
    <row r="374" spans="1:19">
      <c r="A374" s="159"/>
      <c r="B374" s="59"/>
      <c r="C374" s="24">
        <f t="shared" si="64"/>
        <v>1</v>
      </c>
      <c r="D374" s="719"/>
      <c r="E374" s="24">
        <f t="shared" si="65"/>
        <v>0.06</v>
      </c>
      <c r="F374" s="719"/>
      <c r="G374" s="24">
        <f t="shared" si="66"/>
        <v>0.02</v>
      </c>
      <c r="H374" s="719"/>
      <c r="I374" s="24">
        <f t="shared" si="67"/>
        <v>0.09</v>
      </c>
      <c r="J374" s="719"/>
      <c r="K374" s="24">
        <f t="shared" si="68"/>
        <v>0</v>
      </c>
      <c r="L374" s="719"/>
      <c r="M374" s="24">
        <f t="shared" si="69"/>
        <v>0.2</v>
      </c>
      <c r="N374" s="719"/>
      <c r="O374" s="24">
        <f t="shared" si="70"/>
        <v>0.2</v>
      </c>
      <c r="P374" s="719"/>
      <c r="Q374" s="24">
        <f t="shared" si="71"/>
        <v>0</v>
      </c>
      <c r="R374" s="715">
        <f t="shared" si="72"/>
        <v>0</v>
      </c>
      <c r="S374" s="361">
        <f t="shared" si="63"/>
        <v>0</v>
      </c>
    </row>
    <row r="375" spans="1:19">
      <c r="A375" s="159"/>
      <c r="B375" s="59"/>
      <c r="C375" s="24">
        <f t="shared" si="64"/>
        <v>1</v>
      </c>
      <c r="D375" s="719"/>
      <c r="E375" s="24">
        <f t="shared" si="65"/>
        <v>0.06</v>
      </c>
      <c r="F375" s="719"/>
      <c r="G375" s="24">
        <f t="shared" si="66"/>
        <v>0.02</v>
      </c>
      <c r="H375" s="719"/>
      <c r="I375" s="24">
        <f t="shared" si="67"/>
        <v>0.09</v>
      </c>
      <c r="J375" s="719"/>
      <c r="K375" s="24">
        <f t="shared" si="68"/>
        <v>0</v>
      </c>
      <c r="L375" s="719"/>
      <c r="M375" s="24">
        <f t="shared" si="69"/>
        <v>0.2</v>
      </c>
      <c r="N375" s="719"/>
      <c r="O375" s="24">
        <f t="shared" si="70"/>
        <v>0.2</v>
      </c>
      <c r="P375" s="719"/>
      <c r="Q375" s="24">
        <f t="shared" si="71"/>
        <v>0</v>
      </c>
      <c r="R375" s="715">
        <f t="shared" si="72"/>
        <v>0</v>
      </c>
      <c r="S375" s="361">
        <f t="shared" si="63"/>
        <v>0</v>
      </c>
    </row>
    <row r="376" spans="1:19">
      <c r="A376" s="159"/>
      <c r="B376" s="59"/>
      <c r="C376" s="24">
        <f t="shared" si="64"/>
        <v>1</v>
      </c>
      <c r="D376" s="719"/>
      <c r="E376" s="24">
        <f t="shared" si="65"/>
        <v>0.06</v>
      </c>
      <c r="F376" s="719"/>
      <c r="G376" s="24">
        <f t="shared" si="66"/>
        <v>0.02</v>
      </c>
      <c r="H376" s="719"/>
      <c r="I376" s="24">
        <f t="shared" si="67"/>
        <v>0.09</v>
      </c>
      <c r="J376" s="719"/>
      <c r="K376" s="24">
        <f t="shared" si="68"/>
        <v>0</v>
      </c>
      <c r="L376" s="719"/>
      <c r="M376" s="24">
        <f t="shared" si="69"/>
        <v>0.2</v>
      </c>
      <c r="N376" s="719"/>
      <c r="O376" s="24">
        <f t="shared" si="70"/>
        <v>0.2</v>
      </c>
      <c r="P376" s="719"/>
      <c r="Q376" s="24">
        <f t="shared" si="71"/>
        <v>0</v>
      </c>
      <c r="R376" s="715">
        <f t="shared" si="72"/>
        <v>0</v>
      </c>
      <c r="S376" s="361">
        <f t="shared" si="63"/>
        <v>0</v>
      </c>
    </row>
    <row r="377" spans="1:19">
      <c r="A377" s="159"/>
      <c r="B377" s="59"/>
      <c r="C377" s="24">
        <f t="shared" si="64"/>
        <v>1</v>
      </c>
      <c r="D377" s="719"/>
      <c r="E377" s="24">
        <f t="shared" si="65"/>
        <v>0.06</v>
      </c>
      <c r="F377" s="719"/>
      <c r="G377" s="24">
        <f t="shared" si="66"/>
        <v>0.02</v>
      </c>
      <c r="H377" s="719"/>
      <c r="I377" s="24">
        <f t="shared" si="67"/>
        <v>0.09</v>
      </c>
      <c r="J377" s="719"/>
      <c r="K377" s="24">
        <f t="shared" si="68"/>
        <v>0</v>
      </c>
      <c r="L377" s="719"/>
      <c r="M377" s="24">
        <f t="shared" si="69"/>
        <v>0.2</v>
      </c>
      <c r="N377" s="719"/>
      <c r="O377" s="24">
        <f t="shared" si="70"/>
        <v>0.2</v>
      </c>
      <c r="P377" s="719"/>
      <c r="Q377" s="24">
        <f t="shared" si="71"/>
        <v>0</v>
      </c>
      <c r="R377" s="715">
        <f t="shared" si="72"/>
        <v>0</v>
      </c>
      <c r="S377" s="361">
        <f t="shared" si="63"/>
        <v>0</v>
      </c>
    </row>
    <row r="378" spans="1:19">
      <c r="A378" s="159"/>
      <c r="B378" s="59"/>
      <c r="C378" s="24">
        <f t="shared" si="64"/>
        <v>1</v>
      </c>
      <c r="D378" s="719"/>
      <c r="E378" s="24">
        <f t="shared" si="65"/>
        <v>0.06</v>
      </c>
      <c r="F378" s="719"/>
      <c r="G378" s="24">
        <f t="shared" si="66"/>
        <v>0.02</v>
      </c>
      <c r="H378" s="719"/>
      <c r="I378" s="24">
        <f t="shared" si="67"/>
        <v>0.09</v>
      </c>
      <c r="J378" s="719"/>
      <c r="K378" s="24">
        <f t="shared" si="68"/>
        <v>0</v>
      </c>
      <c r="L378" s="719"/>
      <c r="M378" s="24">
        <f t="shared" si="69"/>
        <v>0.2</v>
      </c>
      <c r="N378" s="719"/>
      <c r="O378" s="24">
        <f t="shared" si="70"/>
        <v>0.2</v>
      </c>
      <c r="P378" s="719"/>
      <c r="Q378" s="24">
        <f t="shared" si="71"/>
        <v>0</v>
      </c>
      <c r="R378" s="715">
        <f t="shared" si="72"/>
        <v>0</v>
      </c>
      <c r="S378" s="361">
        <f t="shared" si="63"/>
        <v>0</v>
      </c>
    </row>
    <row r="379" spans="1:19">
      <c r="A379" s="159"/>
      <c r="B379" s="59"/>
      <c r="C379" s="24">
        <f t="shared" si="64"/>
        <v>1</v>
      </c>
      <c r="D379" s="719"/>
      <c r="E379" s="24">
        <f t="shared" si="65"/>
        <v>0.06</v>
      </c>
      <c r="F379" s="719"/>
      <c r="G379" s="24">
        <f t="shared" si="66"/>
        <v>0.02</v>
      </c>
      <c r="H379" s="719"/>
      <c r="I379" s="24">
        <f t="shared" si="67"/>
        <v>0.09</v>
      </c>
      <c r="J379" s="719"/>
      <c r="K379" s="24">
        <f t="shared" si="68"/>
        <v>0</v>
      </c>
      <c r="L379" s="719"/>
      <c r="M379" s="24">
        <f t="shared" si="69"/>
        <v>0.2</v>
      </c>
      <c r="N379" s="719"/>
      <c r="O379" s="24">
        <f t="shared" si="70"/>
        <v>0.2</v>
      </c>
      <c r="P379" s="719"/>
      <c r="Q379" s="24">
        <f t="shared" si="71"/>
        <v>0</v>
      </c>
      <c r="R379" s="715">
        <f t="shared" si="72"/>
        <v>0</v>
      </c>
      <c r="S379" s="361">
        <f t="shared" si="63"/>
        <v>0</v>
      </c>
    </row>
    <row r="380" spans="1:19">
      <c r="A380" s="159"/>
      <c r="B380" s="59"/>
      <c r="C380" s="24">
        <f t="shared" si="64"/>
        <v>1</v>
      </c>
      <c r="D380" s="719"/>
      <c r="E380" s="24">
        <f t="shared" si="65"/>
        <v>0.06</v>
      </c>
      <c r="F380" s="719"/>
      <c r="G380" s="24">
        <f t="shared" si="66"/>
        <v>0.02</v>
      </c>
      <c r="H380" s="719"/>
      <c r="I380" s="24">
        <f t="shared" si="67"/>
        <v>0.09</v>
      </c>
      <c r="J380" s="719"/>
      <c r="K380" s="24">
        <f t="shared" si="68"/>
        <v>0</v>
      </c>
      <c r="L380" s="719"/>
      <c r="M380" s="24">
        <f t="shared" si="69"/>
        <v>0.2</v>
      </c>
      <c r="N380" s="719"/>
      <c r="O380" s="24">
        <f t="shared" si="70"/>
        <v>0.2</v>
      </c>
      <c r="P380" s="719"/>
      <c r="Q380" s="24">
        <f t="shared" si="71"/>
        <v>0</v>
      </c>
      <c r="R380" s="715">
        <f t="shared" si="72"/>
        <v>0</v>
      </c>
      <c r="S380" s="361">
        <f t="shared" si="63"/>
        <v>0</v>
      </c>
    </row>
    <row r="381" spans="1:19">
      <c r="A381" s="159"/>
      <c r="B381" s="59"/>
      <c r="C381" s="24">
        <f t="shared" si="64"/>
        <v>1</v>
      </c>
      <c r="D381" s="719"/>
      <c r="E381" s="24">
        <f t="shared" si="65"/>
        <v>0.06</v>
      </c>
      <c r="F381" s="719"/>
      <c r="G381" s="24">
        <f t="shared" si="66"/>
        <v>0.02</v>
      </c>
      <c r="H381" s="719"/>
      <c r="I381" s="24">
        <f t="shared" si="67"/>
        <v>0.09</v>
      </c>
      <c r="J381" s="719"/>
      <c r="K381" s="24">
        <f t="shared" si="68"/>
        <v>0</v>
      </c>
      <c r="L381" s="719"/>
      <c r="M381" s="24">
        <f t="shared" si="69"/>
        <v>0.2</v>
      </c>
      <c r="N381" s="719"/>
      <c r="O381" s="24">
        <f t="shared" si="70"/>
        <v>0.2</v>
      </c>
      <c r="P381" s="719"/>
      <c r="Q381" s="24">
        <f t="shared" si="71"/>
        <v>0</v>
      </c>
      <c r="R381" s="715">
        <f t="shared" si="72"/>
        <v>0</v>
      </c>
      <c r="S381" s="361">
        <f t="shared" si="63"/>
        <v>0</v>
      </c>
    </row>
    <row r="382" spans="1:19">
      <c r="A382" s="159"/>
      <c r="B382" s="59"/>
      <c r="C382" s="24">
        <f t="shared" si="64"/>
        <v>1</v>
      </c>
      <c r="D382" s="719"/>
      <c r="E382" s="24">
        <f t="shared" si="65"/>
        <v>0.06</v>
      </c>
      <c r="F382" s="719"/>
      <c r="G382" s="24">
        <f t="shared" si="66"/>
        <v>0.02</v>
      </c>
      <c r="H382" s="719"/>
      <c r="I382" s="24">
        <f t="shared" si="67"/>
        <v>0.09</v>
      </c>
      <c r="J382" s="719"/>
      <c r="K382" s="24">
        <f t="shared" si="68"/>
        <v>0</v>
      </c>
      <c r="L382" s="719"/>
      <c r="M382" s="24">
        <f t="shared" si="69"/>
        <v>0.2</v>
      </c>
      <c r="N382" s="719"/>
      <c r="O382" s="24">
        <f t="shared" si="70"/>
        <v>0.2</v>
      </c>
      <c r="P382" s="719"/>
      <c r="Q382" s="24">
        <f t="shared" si="71"/>
        <v>0</v>
      </c>
      <c r="R382" s="715">
        <f t="shared" si="72"/>
        <v>0</v>
      </c>
      <c r="S382" s="361">
        <f t="shared" si="63"/>
        <v>0</v>
      </c>
    </row>
    <row r="383" spans="1:19">
      <c r="A383" s="159"/>
      <c r="B383" s="59"/>
      <c r="C383" s="24">
        <f t="shared" si="64"/>
        <v>1</v>
      </c>
      <c r="D383" s="719"/>
      <c r="E383" s="24">
        <f t="shared" si="65"/>
        <v>0.06</v>
      </c>
      <c r="F383" s="719"/>
      <c r="G383" s="24">
        <f t="shared" si="66"/>
        <v>0.02</v>
      </c>
      <c r="H383" s="719"/>
      <c r="I383" s="24">
        <f t="shared" si="67"/>
        <v>0.09</v>
      </c>
      <c r="J383" s="719"/>
      <c r="K383" s="24">
        <f t="shared" si="68"/>
        <v>0</v>
      </c>
      <c r="L383" s="719"/>
      <c r="M383" s="24">
        <f t="shared" si="69"/>
        <v>0.2</v>
      </c>
      <c r="N383" s="719"/>
      <c r="O383" s="24">
        <f t="shared" si="70"/>
        <v>0.2</v>
      </c>
      <c r="P383" s="719"/>
      <c r="Q383" s="24">
        <f t="shared" si="71"/>
        <v>0</v>
      </c>
      <c r="R383" s="715">
        <f t="shared" si="72"/>
        <v>0</v>
      </c>
      <c r="S383" s="361">
        <f t="shared" si="63"/>
        <v>0</v>
      </c>
    </row>
    <row r="384" spans="1:19">
      <c r="A384" s="159"/>
      <c r="B384" s="59"/>
      <c r="C384" s="24">
        <f t="shared" si="64"/>
        <v>1</v>
      </c>
      <c r="D384" s="719"/>
      <c r="E384" s="24">
        <f t="shared" si="65"/>
        <v>0.06</v>
      </c>
      <c r="F384" s="719"/>
      <c r="G384" s="24">
        <f t="shared" si="66"/>
        <v>0.02</v>
      </c>
      <c r="H384" s="719"/>
      <c r="I384" s="24">
        <f t="shared" si="67"/>
        <v>0.09</v>
      </c>
      <c r="J384" s="719"/>
      <c r="K384" s="24">
        <f t="shared" si="68"/>
        <v>0</v>
      </c>
      <c r="L384" s="719"/>
      <c r="M384" s="24">
        <f t="shared" si="69"/>
        <v>0.2</v>
      </c>
      <c r="N384" s="719"/>
      <c r="O384" s="24">
        <f t="shared" si="70"/>
        <v>0.2</v>
      </c>
      <c r="P384" s="719"/>
      <c r="Q384" s="24">
        <f t="shared" si="71"/>
        <v>0</v>
      </c>
      <c r="R384" s="715">
        <f t="shared" si="72"/>
        <v>0</v>
      </c>
      <c r="S384" s="361">
        <f t="shared" si="63"/>
        <v>0</v>
      </c>
    </row>
    <row r="385" spans="1:19">
      <c r="A385" s="159"/>
      <c r="B385" s="59"/>
      <c r="C385" s="24">
        <f t="shared" si="64"/>
        <v>1</v>
      </c>
      <c r="D385" s="719"/>
      <c r="E385" s="24">
        <f t="shared" si="65"/>
        <v>0.06</v>
      </c>
      <c r="F385" s="719"/>
      <c r="G385" s="24">
        <f t="shared" si="66"/>
        <v>0.02</v>
      </c>
      <c r="H385" s="719"/>
      <c r="I385" s="24">
        <f t="shared" si="67"/>
        <v>0.09</v>
      </c>
      <c r="J385" s="719"/>
      <c r="K385" s="24">
        <f t="shared" si="68"/>
        <v>0</v>
      </c>
      <c r="L385" s="719"/>
      <c r="M385" s="24">
        <f t="shared" si="69"/>
        <v>0.2</v>
      </c>
      <c r="N385" s="719"/>
      <c r="O385" s="24">
        <f t="shared" si="70"/>
        <v>0.2</v>
      </c>
      <c r="P385" s="719"/>
      <c r="Q385" s="24">
        <f t="shared" si="71"/>
        <v>0</v>
      </c>
      <c r="R385" s="715">
        <f t="shared" si="72"/>
        <v>0</v>
      </c>
      <c r="S385" s="361">
        <f t="shared" ref="S385:S422" si="73">ROUND(R385*B385/10000,0)</f>
        <v>0</v>
      </c>
    </row>
    <row r="386" spans="1:19">
      <c r="A386" s="159"/>
      <c r="B386" s="59"/>
      <c r="C386" s="24">
        <f t="shared" si="64"/>
        <v>1</v>
      </c>
      <c r="D386" s="719"/>
      <c r="E386" s="24">
        <f t="shared" si="65"/>
        <v>0.06</v>
      </c>
      <c r="F386" s="719"/>
      <c r="G386" s="24">
        <f t="shared" si="66"/>
        <v>0.02</v>
      </c>
      <c r="H386" s="719"/>
      <c r="I386" s="24">
        <f t="shared" si="67"/>
        <v>0.09</v>
      </c>
      <c r="J386" s="719"/>
      <c r="K386" s="24">
        <f t="shared" si="68"/>
        <v>0</v>
      </c>
      <c r="L386" s="719"/>
      <c r="M386" s="24">
        <f t="shared" si="69"/>
        <v>0.2</v>
      </c>
      <c r="N386" s="719"/>
      <c r="O386" s="24">
        <f t="shared" si="70"/>
        <v>0.2</v>
      </c>
      <c r="P386" s="719"/>
      <c r="Q386" s="24">
        <f t="shared" si="71"/>
        <v>0</v>
      </c>
      <c r="R386" s="715">
        <f t="shared" si="72"/>
        <v>0</v>
      </c>
      <c r="S386" s="361">
        <f t="shared" si="73"/>
        <v>0</v>
      </c>
    </row>
    <row r="387" spans="1:19">
      <c r="A387" s="159"/>
      <c r="B387" s="59"/>
      <c r="C387" s="24">
        <f t="shared" si="64"/>
        <v>1</v>
      </c>
      <c r="D387" s="719"/>
      <c r="E387" s="24">
        <f t="shared" si="65"/>
        <v>0.06</v>
      </c>
      <c r="F387" s="719"/>
      <c r="G387" s="24">
        <f t="shared" si="66"/>
        <v>0.02</v>
      </c>
      <c r="H387" s="719"/>
      <c r="I387" s="24">
        <f t="shared" si="67"/>
        <v>0.09</v>
      </c>
      <c r="J387" s="719"/>
      <c r="K387" s="24">
        <f t="shared" si="68"/>
        <v>0</v>
      </c>
      <c r="L387" s="719"/>
      <c r="M387" s="24">
        <f t="shared" si="69"/>
        <v>0.2</v>
      </c>
      <c r="N387" s="719"/>
      <c r="O387" s="24">
        <f t="shared" si="70"/>
        <v>0.2</v>
      </c>
      <c r="P387" s="719"/>
      <c r="Q387" s="24">
        <f t="shared" si="71"/>
        <v>0</v>
      </c>
      <c r="R387" s="715">
        <f t="shared" si="72"/>
        <v>0</v>
      </c>
      <c r="S387" s="361">
        <f t="shared" si="73"/>
        <v>0</v>
      </c>
    </row>
    <row r="388" spans="1:19">
      <c r="A388" s="159"/>
      <c r="B388" s="59"/>
      <c r="C388" s="24">
        <f t="shared" si="64"/>
        <v>1</v>
      </c>
      <c r="D388" s="719"/>
      <c r="E388" s="24">
        <f t="shared" si="65"/>
        <v>0.06</v>
      </c>
      <c r="F388" s="719"/>
      <c r="G388" s="24">
        <f t="shared" si="66"/>
        <v>0.02</v>
      </c>
      <c r="H388" s="719"/>
      <c r="I388" s="24">
        <f t="shared" si="67"/>
        <v>0.09</v>
      </c>
      <c r="J388" s="719"/>
      <c r="K388" s="24">
        <f t="shared" si="68"/>
        <v>0</v>
      </c>
      <c r="L388" s="719"/>
      <c r="M388" s="24">
        <f t="shared" si="69"/>
        <v>0.2</v>
      </c>
      <c r="N388" s="719"/>
      <c r="O388" s="24">
        <f t="shared" si="70"/>
        <v>0.2</v>
      </c>
      <c r="P388" s="719"/>
      <c r="Q388" s="24">
        <f t="shared" si="71"/>
        <v>0</v>
      </c>
      <c r="R388" s="715">
        <f t="shared" si="72"/>
        <v>0</v>
      </c>
      <c r="S388" s="361">
        <f t="shared" si="73"/>
        <v>0</v>
      </c>
    </row>
    <row r="389" spans="1:19">
      <c r="A389" s="159"/>
      <c r="B389" s="59"/>
      <c r="C389" s="24">
        <f t="shared" si="64"/>
        <v>1</v>
      </c>
      <c r="D389" s="719"/>
      <c r="E389" s="24">
        <f t="shared" si="65"/>
        <v>0.06</v>
      </c>
      <c r="F389" s="719"/>
      <c r="G389" s="24">
        <f t="shared" si="66"/>
        <v>0.02</v>
      </c>
      <c r="H389" s="719"/>
      <c r="I389" s="24">
        <f t="shared" si="67"/>
        <v>0.09</v>
      </c>
      <c r="J389" s="719"/>
      <c r="K389" s="24">
        <f t="shared" si="68"/>
        <v>0</v>
      </c>
      <c r="L389" s="719"/>
      <c r="M389" s="24">
        <f t="shared" si="69"/>
        <v>0.2</v>
      </c>
      <c r="N389" s="719"/>
      <c r="O389" s="24">
        <f t="shared" si="70"/>
        <v>0.2</v>
      </c>
      <c r="P389" s="719"/>
      <c r="Q389" s="24">
        <f t="shared" si="71"/>
        <v>0</v>
      </c>
      <c r="R389" s="715">
        <f t="shared" si="72"/>
        <v>0</v>
      </c>
      <c r="S389" s="361">
        <f t="shared" si="73"/>
        <v>0</v>
      </c>
    </row>
    <row r="390" spans="1:19">
      <c r="A390" s="159"/>
      <c r="B390" s="59"/>
      <c r="C390" s="24">
        <f t="shared" si="64"/>
        <v>1</v>
      </c>
      <c r="D390" s="719"/>
      <c r="E390" s="24">
        <f t="shared" si="65"/>
        <v>0.06</v>
      </c>
      <c r="F390" s="719"/>
      <c r="G390" s="24">
        <f t="shared" si="66"/>
        <v>0.02</v>
      </c>
      <c r="H390" s="719"/>
      <c r="I390" s="24">
        <f t="shared" si="67"/>
        <v>0.09</v>
      </c>
      <c r="J390" s="719"/>
      <c r="K390" s="24">
        <f t="shared" si="68"/>
        <v>0</v>
      </c>
      <c r="L390" s="719"/>
      <c r="M390" s="24">
        <f t="shared" si="69"/>
        <v>0.2</v>
      </c>
      <c r="N390" s="719"/>
      <c r="O390" s="24">
        <f t="shared" si="70"/>
        <v>0.2</v>
      </c>
      <c r="P390" s="719"/>
      <c r="Q390" s="24">
        <f t="shared" si="71"/>
        <v>0</v>
      </c>
      <c r="R390" s="715">
        <f t="shared" si="72"/>
        <v>0</v>
      </c>
      <c r="S390" s="361">
        <f t="shared" si="73"/>
        <v>0</v>
      </c>
    </row>
    <row r="391" spans="1:19">
      <c r="A391" s="159"/>
      <c r="B391" s="59"/>
      <c r="C391" s="24">
        <f t="shared" si="64"/>
        <v>1</v>
      </c>
      <c r="D391" s="719"/>
      <c r="E391" s="24">
        <f t="shared" si="65"/>
        <v>0.06</v>
      </c>
      <c r="F391" s="719"/>
      <c r="G391" s="24">
        <f t="shared" si="66"/>
        <v>0.02</v>
      </c>
      <c r="H391" s="719"/>
      <c r="I391" s="24">
        <f t="shared" si="67"/>
        <v>0.09</v>
      </c>
      <c r="J391" s="719"/>
      <c r="K391" s="24">
        <f t="shared" si="68"/>
        <v>0</v>
      </c>
      <c r="L391" s="719"/>
      <c r="M391" s="24">
        <f t="shared" si="69"/>
        <v>0.2</v>
      </c>
      <c r="N391" s="719"/>
      <c r="O391" s="24">
        <f t="shared" si="70"/>
        <v>0.2</v>
      </c>
      <c r="P391" s="719"/>
      <c r="Q391" s="24">
        <f t="shared" si="71"/>
        <v>0</v>
      </c>
      <c r="R391" s="715">
        <f t="shared" si="72"/>
        <v>0</v>
      </c>
      <c r="S391" s="361">
        <f t="shared" si="73"/>
        <v>0</v>
      </c>
    </row>
    <row r="392" spans="1:19">
      <c r="A392" s="159"/>
      <c r="B392" s="59"/>
      <c r="C392" s="24">
        <f t="shared" si="64"/>
        <v>1</v>
      </c>
      <c r="D392" s="719"/>
      <c r="E392" s="24">
        <f t="shared" si="65"/>
        <v>0.06</v>
      </c>
      <c r="F392" s="719"/>
      <c r="G392" s="24">
        <f t="shared" si="66"/>
        <v>0.02</v>
      </c>
      <c r="H392" s="719"/>
      <c r="I392" s="24">
        <f t="shared" si="67"/>
        <v>0.09</v>
      </c>
      <c r="J392" s="719"/>
      <c r="K392" s="24">
        <f t="shared" si="68"/>
        <v>0</v>
      </c>
      <c r="L392" s="719"/>
      <c r="M392" s="24">
        <f t="shared" si="69"/>
        <v>0.2</v>
      </c>
      <c r="N392" s="719"/>
      <c r="O392" s="24">
        <f t="shared" si="70"/>
        <v>0.2</v>
      </c>
      <c r="P392" s="719"/>
      <c r="Q392" s="24">
        <f t="shared" si="71"/>
        <v>0</v>
      </c>
      <c r="R392" s="715">
        <f t="shared" si="72"/>
        <v>0</v>
      </c>
      <c r="S392" s="361">
        <f t="shared" si="73"/>
        <v>0</v>
      </c>
    </row>
    <row r="393" spans="1:19">
      <c r="A393" s="159"/>
      <c r="B393" s="59"/>
      <c r="C393" s="24">
        <f t="shared" si="64"/>
        <v>1</v>
      </c>
      <c r="D393" s="719"/>
      <c r="E393" s="24">
        <f t="shared" si="65"/>
        <v>0.06</v>
      </c>
      <c r="F393" s="719"/>
      <c r="G393" s="24">
        <f t="shared" si="66"/>
        <v>0.02</v>
      </c>
      <c r="H393" s="719"/>
      <c r="I393" s="24">
        <f t="shared" si="67"/>
        <v>0.09</v>
      </c>
      <c r="J393" s="719"/>
      <c r="K393" s="24">
        <f t="shared" si="68"/>
        <v>0</v>
      </c>
      <c r="L393" s="719"/>
      <c r="M393" s="24">
        <f t="shared" si="69"/>
        <v>0.2</v>
      </c>
      <c r="N393" s="719"/>
      <c r="O393" s="24">
        <f t="shared" si="70"/>
        <v>0.2</v>
      </c>
      <c r="P393" s="719"/>
      <c r="Q393" s="24">
        <f t="shared" si="71"/>
        <v>0</v>
      </c>
      <c r="R393" s="715">
        <f t="shared" si="72"/>
        <v>0</v>
      </c>
      <c r="S393" s="361">
        <f t="shared" si="73"/>
        <v>0</v>
      </c>
    </row>
    <row r="394" spans="1:19">
      <c r="A394" s="159"/>
      <c r="B394" s="59"/>
      <c r="C394" s="24">
        <f t="shared" si="64"/>
        <v>1</v>
      </c>
      <c r="D394" s="719"/>
      <c r="E394" s="24">
        <f t="shared" si="65"/>
        <v>0.06</v>
      </c>
      <c r="F394" s="719"/>
      <c r="G394" s="24">
        <f t="shared" si="66"/>
        <v>0.02</v>
      </c>
      <c r="H394" s="719"/>
      <c r="I394" s="24">
        <f t="shared" si="67"/>
        <v>0.09</v>
      </c>
      <c r="J394" s="719"/>
      <c r="K394" s="24">
        <f t="shared" si="68"/>
        <v>0</v>
      </c>
      <c r="L394" s="719"/>
      <c r="M394" s="24">
        <f t="shared" si="69"/>
        <v>0.2</v>
      </c>
      <c r="N394" s="719"/>
      <c r="O394" s="24">
        <f t="shared" si="70"/>
        <v>0.2</v>
      </c>
      <c r="P394" s="719"/>
      <c r="Q394" s="24">
        <f t="shared" si="71"/>
        <v>0</v>
      </c>
      <c r="R394" s="715">
        <f t="shared" si="72"/>
        <v>0</v>
      </c>
      <c r="S394" s="361">
        <f t="shared" si="73"/>
        <v>0</v>
      </c>
    </row>
    <row r="395" spans="1:19">
      <c r="A395" s="159"/>
      <c r="B395" s="59"/>
      <c r="C395" s="24">
        <f t="shared" si="64"/>
        <v>1</v>
      </c>
      <c r="D395" s="719"/>
      <c r="E395" s="24">
        <f t="shared" si="65"/>
        <v>0.06</v>
      </c>
      <c r="F395" s="719"/>
      <c r="G395" s="24">
        <f t="shared" si="66"/>
        <v>0.02</v>
      </c>
      <c r="H395" s="719"/>
      <c r="I395" s="24">
        <f t="shared" si="67"/>
        <v>0.09</v>
      </c>
      <c r="J395" s="719"/>
      <c r="K395" s="24">
        <f t="shared" si="68"/>
        <v>0</v>
      </c>
      <c r="L395" s="719"/>
      <c r="M395" s="24">
        <f t="shared" si="69"/>
        <v>0.2</v>
      </c>
      <c r="N395" s="719"/>
      <c r="O395" s="24">
        <f t="shared" si="70"/>
        <v>0.2</v>
      </c>
      <c r="P395" s="719"/>
      <c r="Q395" s="24">
        <f t="shared" si="71"/>
        <v>0</v>
      </c>
      <c r="R395" s="715">
        <f t="shared" si="72"/>
        <v>0</v>
      </c>
      <c r="S395" s="361">
        <f t="shared" si="73"/>
        <v>0</v>
      </c>
    </row>
    <row r="396" spans="1:19">
      <c r="A396" s="159"/>
      <c r="B396" s="59"/>
      <c r="C396" s="24">
        <f t="shared" si="64"/>
        <v>1</v>
      </c>
      <c r="D396" s="719"/>
      <c r="E396" s="24">
        <f t="shared" si="65"/>
        <v>0.06</v>
      </c>
      <c r="F396" s="719"/>
      <c r="G396" s="24">
        <f t="shared" si="66"/>
        <v>0.02</v>
      </c>
      <c r="H396" s="719"/>
      <c r="I396" s="24">
        <f t="shared" si="67"/>
        <v>0.09</v>
      </c>
      <c r="J396" s="719"/>
      <c r="K396" s="24">
        <f t="shared" si="68"/>
        <v>0</v>
      </c>
      <c r="L396" s="719"/>
      <c r="M396" s="24">
        <f t="shared" si="69"/>
        <v>0.2</v>
      </c>
      <c r="N396" s="719"/>
      <c r="O396" s="24">
        <f t="shared" si="70"/>
        <v>0.2</v>
      </c>
      <c r="P396" s="719"/>
      <c r="Q396" s="24">
        <f t="shared" si="71"/>
        <v>0</v>
      </c>
      <c r="R396" s="715">
        <f t="shared" si="72"/>
        <v>0</v>
      </c>
      <c r="S396" s="361">
        <f t="shared" si="73"/>
        <v>0</v>
      </c>
    </row>
    <row r="397" spans="1:19">
      <c r="A397" s="159"/>
      <c r="B397" s="59"/>
      <c r="C397" s="24">
        <f t="shared" si="64"/>
        <v>1</v>
      </c>
      <c r="D397" s="719"/>
      <c r="E397" s="24">
        <f t="shared" si="65"/>
        <v>0.06</v>
      </c>
      <c r="F397" s="719"/>
      <c r="G397" s="24">
        <f t="shared" si="66"/>
        <v>0.02</v>
      </c>
      <c r="H397" s="719"/>
      <c r="I397" s="24">
        <f t="shared" si="67"/>
        <v>0.09</v>
      </c>
      <c r="J397" s="719"/>
      <c r="K397" s="24">
        <f t="shared" si="68"/>
        <v>0</v>
      </c>
      <c r="L397" s="719"/>
      <c r="M397" s="24">
        <f t="shared" si="69"/>
        <v>0.2</v>
      </c>
      <c r="N397" s="719"/>
      <c r="O397" s="24">
        <f t="shared" si="70"/>
        <v>0.2</v>
      </c>
      <c r="P397" s="719"/>
      <c r="Q397" s="24">
        <f t="shared" si="71"/>
        <v>0</v>
      </c>
      <c r="R397" s="715">
        <f t="shared" si="72"/>
        <v>0</v>
      </c>
      <c r="S397" s="361">
        <f t="shared" si="73"/>
        <v>0</v>
      </c>
    </row>
    <row r="398" spans="1:19">
      <c r="A398" s="159"/>
      <c r="B398" s="59"/>
      <c r="C398" s="24">
        <f t="shared" si="64"/>
        <v>1</v>
      </c>
      <c r="D398" s="719"/>
      <c r="E398" s="24">
        <f t="shared" si="65"/>
        <v>0.06</v>
      </c>
      <c r="F398" s="719"/>
      <c r="G398" s="24">
        <f t="shared" si="66"/>
        <v>0.02</v>
      </c>
      <c r="H398" s="719"/>
      <c r="I398" s="24">
        <f t="shared" si="67"/>
        <v>0.09</v>
      </c>
      <c r="J398" s="719"/>
      <c r="K398" s="24">
        <f t="shared" si="68"/>
        <v>0</v>
      </c>
      <c r="L398" s="719"/>
      <c r="M398" s="24">
        <f t="shared" si="69"/>
        <v>0.2</v>
      </c>
      <c r="N398" s="719"/>
      <c r="O398" s="24">
        <f t="shared" si="70"/>
        <v>0.2</v>
      </c>
      <c r="P398" s="719"/>
      <c r="Q398" s="24">
        <f t="shared" si="71"/>
        <v>0</v>
      </c>
      <c r="R398" s="715">
        <f t="shared" si="72"/>
        <v>0</v>
      </c>
      <c r="S398" s="361">
        <f t="shared" si="73"/>
        <v>0</v>
      </c>
    </row>
    <row r="399" spans="1:19">
      <c r="A399" s="159"/>
      <c r="B399" s="59"/>
      <c r="C399" s="24">
        <f t="shared" si="64"/>
        <v>1</v>
      </c>
      <c r="D399" s="719"/>
      <c r="E399" s="24">
        <f t="shared" si="65"/>
        <v>0.06</v>
      </c>
      <c r="F399" s="719"/>
      <c r="G399" s="24">
        <f t="shared" si="66"/>
        <v>0.02</v>
      </c>
      <c r="H399" s="719"/>
      <c r="I399" s="24">
        <f t="shared" si="67"/>
        <v>0.09</v>
      </c>
      <c r="J399" s="719"/>
      <c r="K399" s="24">
        <f t="shared" si="68"/>
        <v>0</v>
      </c>
      <c r="L399" s="719"/>
      <c r="M399" s="24">
        <f t="shared" si="69"/>
        <v>0.2</v>
      </c>
      <c r="N399" s="719"/>
      <c r="O399" s="24">
        <f t="shared" si="70"/>
        <v>0.2</v>
      </c>
      <c r="P399" s="719"/>
      <c r="Q399" s="24">
        <f t="shared" si="71"/>
        <v>0</v>
      </c>
      <c r="R399" s="715">
        <f t="shared" si="72"/>
        <v>0</v>
      </c>
      <c r="S399" s="361">
        <f t="shared" si="73"/>
        <v>0</v>
      </c>
    </row>
    <row r="400" spans="1:19">
      <c r="A400" s="159"/>
      <c r="B400" s="59"/>
      <c r="C400" s="24">
        <f t="shared" si="64"/>
        <v>1</v>
      </c>
      <c r="D400" s="719"/>
      <c r="E400" s="24">
        <f t="shared" si="65"/>
        <v>0.06</v>
      </c>
      <c r="F400" s="719"/>
      <c r="G400" s="24">
        <f t="shared" si="66"/>
        <v>0.02</v>
      </c>
      <c r="H400" s="719"/>
      <c r="I400" s="24">
        <f t="shared" si="67"/>
        <v>0.09</v>
      </c>
      <c r="J400" s="719"/>
      <c r="K400" s="24">
        <f t="shared" si="68"/>
        <v>0</v>
      </c>
      <c r="L400" s="719"/>
      <c r="M400" s="24">
        <f t="shared" si="69"/>
        <v>0.2</v>
      </c>
      <c r="N400" s="719"/>
      <c r="O400" s="24">
        <f t="shared" si="70"/>
        <v>0.2</v>
      </c>
      <c r="P400" s="719"/>
      <c r="Q400" s="24">
        <f t="shared" si="71"/>
        <v>0</v>
      </c>
      <c r="R400" s="715">
        <f t="shared" si="72"/>
        <v>0</v>
      </c>
      <c r="S400" s="361">
        <f t="shared" si="73"/>
        <v>0</v>
      </c>
    </row>
    <row r="401" spans="1:19">
      <c r="A401" s="159"/>
      <c r="B401" s="59"/>
      <c r="C401" s="24">
        <f t="shared" si="64"/>
        <v>1</v>
      </c>
      <c r="D401" s="719"/>
      <c r="E401" s="24">
        <f t="shared" si="65"/>
        <v>0.06</v>
      </c>
      <c r="F401" s="719"/>
      <c r="G401" s="24">
        <f t="shared" si="66"/>
        <v>0.02</v>
      </c>
      <c r="H401" s="719"/>
      <c r="I401" s="24">
        <f t="shared" si="67"/>
        <v>0.09</v>
      </c>
      <c r="J401" s="719"/>
      <c r="K401" s="24">
        <f t="shared" si="68"/>
        <v>0</v>
      </c>
      <c r="L401" s="719"/>
      <c r="M401" s="24">
        <f t="shared" si="69"/>
        <v>0.2</v>
      </c>
      <c r="N401" s="719"/>
      <c r="O401" s="24">
        <f t="shared" si="70"/>
        <v>0.2</v>
      </c>
      <c r="P401" s="719"/>
      <c r="Q401" s="24">
        <f t="shared" si="71"/>
        <v>0</v>
      </c>
      <c r="R401" s="715">
        <f t="shared" si="72"/>
        <v>0</v>
      </c>
      <c r="S401" s="361">
        <f t="shared" si="73"/>
        <v>0</v>
      </c>
    </row>
    <row r="402" spans="1:19">
      <c r="A402" s="159"/>
      <c r="B402" s="59"/>
      <c r="C402" s="24">
        <f t="shared" si="64"/>
        <v>1</v>
      </c>
      <c r="D402" s="719"/>
      <c r="E402" s="24">
        <f t="shared" si="65"/>
        <v>0.06</v>
      </c>
      <c r="F402" s="719"/>
      <c r="G402" s="24">
        <f t="shared" si="66"/>
        <v>0.02</v>
      </c>
      <c r="H402" s="719"/>
      <c r="I402" s="24">
        <f t="shared" si="67"/>
        <v>0.09</v>
      </c>
      <c r="J402" s="719"/>
      <c r="K402" s="24">
        <f t="shared" si="68"/>
        <v>0</v>
      </c>
      <c r="L402" s="719"/>
      <c r="M402" s="24">
        <f t="shared" si="69"/>
        <v>0.2</v>
      </c>
      <c r="N402" s="719"/>
      <c r="O402" s="24">
        <f t="shared" si="70"/>
        <v>0.2</v>
      </c>
      <c r="P402" s="719"/>
      <c r="Q402" s="24">
        <f t="shared" si="71"/>
        <v>0</v>
      </c>
      <c r="R402" s="715">
        <f t="shared" si="72"/>
        <v>0</v>
      </c>
      <c r="S402" s="361">
        <f t="shared" si="73"/>
        <v>0</v>
      </c>
    </row>
    <row r="403" spans="1:19">
      <c r="A403" s="159"/>
      <c r="B403" s="59"/>
      <c r="C403" s="24">
        <f t="shared" si="64"/>
        <v>1</v>
      </c>
      <c r="D403" s="719"/>
      <c r="E403" s="24">
        <f t="shared" si="65"/>
        <v>0.06</v>
      </c>
      <c r="F403" s="719"/>
      <c r="G403" s="24">
        <f t="shared" si="66"/>
        <v>0.02</v>
      </c>
      <c r="H403" s="719"/>
      <c r="I403" s="24">
        <f t="shared" si="67"/>
        <v>0.09</v>
      </c>
      <c r="J403" s="719"/>
      <c r="K403" s="24">
        <f t="shared" si="68"/>
        <v>0</v>
      </c>
      <c r="L403" s="719"/>
      <c r="M403" s="24">
        <f t="shared" si="69"/>
        <v>0.2</v>
      </c>
      <c r="N403" s="719"/>
      <c r="O403" s="24">
        <f t="shared" si="70"/>
        <v>0.2</v>
      </c>
      <c r="P403" s="719"/>
      <c r="Q403" s="24">
        <f t="shared" si="71"/>
        <v>0</v>
      </c>
      <c r="R403" s="715">
        <f t="shared" si="72"/>
        <v>0</v>
      </c>
      <c r="S403" s="361">
        <f t="shared" si="73"/>
        <v>0</v>
      </c>
    </row>
    <row r="404" spans="1:19">
      <c r="A404" s="159"/>
      <c r="B404" s="59"/>
      <c r="C404" s="24">
        <f t="shared" si="64"/>
        <v>1</v>
      </c>
      <c r="D404" s="719"/>
      <c r="E404" s="24">
        <f t="shared" si="65"/>
        <v>0.06</v>
      </c>
      <c r="F404" s="719"/>
      <c r="G404" s="24">
        <f t="shared" si="66"/>
        <v>0.02</v>
      </c>
      <c r="H404" s="719"/>
      <c r="I404" s="24">
        <f t="shared" si="67"/>
        <v>0.09</v>
      </c>
      <c r="J404" s="719"/>
      <c r="K404" s="24">
        <f t="shared" si="68"/>
        <v>0</v>
      </c>
      <c r="L404" s="719"/>
      <c r="M404" s="24">
        <f t="shared" si="69"/>
        <v>0.2</v>
      </c>
      <c r="N404" s="719"/>
      <c r="O404" s="24">
        <f t="shared" si="70"/>
        <v>0.2</v>
      </c>
      <c r="P404" s="719"/>
      <c r="Q404" s="24">
        <f t="shared" si="71"/>
        <v>0</v>
      </c>
      <c r="R404" s="715">
        <f t="shared" si="72"/>
        <v>0</v>
      </c>
      <c r="S404" s="361">
        <f t="shared" si="73"/>
        <v>0</v>
      </c>
    </row>
    <row r="405" spans="1:19">
      <c r="A405" s="159"/>
      <c r="B405" s="59"/>
      <c r="C405" s="24">
        <f t="shared" si="64"/>
        <v>1</v>
      </c>
      <c r="D405" s="719"/>
      <c r="E405" s="24">
        <f t="shared" si="65"/>
        <v>0.06</v>
      </c>
      <c r="F405" s="719"/>
      <c r="G405" s="24">
        <f t="shared" si="66"/>
        <v>0.02</v>
      </c>
      <c r="H405" s="719"/>
      <c r="I405" s="24">
        <f t="shared" si="67"/>
        <v>0.09</v>
      </c>
      <c r="J405" s="719"/>
      <c r="K405" s="24">
        <f t="shared" si="68"/>
        <v>0</v>
      </c>
      <c r="L405" s="719"/>
      <c r="M405" s="24">
        <f t="shared" si="69"/>
        <v>0.2</v>
      </c>
      <c r="N405" s="719"/>
      <c r="O405" s="24">
        <f t="shared" si="70"/>
        <v>0.2</v>
      </c>
      <c r="P405" s="719"/>
      <c r="Q405" s="24">
        <f t="shared" si="71"/>
        <v>0</v>
      </c>
      <c r="R405" s="715">
        <f t="shared" si="72"/>
        <v>0</v>
      </c>
      <c r="S405" s="361">
        <f t="shared" si="73"/>
        <v>0</v>
      </c>
    </row>
    <row r="406" spans="1:19">
      <c r="A406" s="159"/>
      <c r="B406" s="59"/>
      <c r="C406" s="24">
        <f t="shared" si="64"/>
        <v>1</v>
      </c>
      <c r="D406" s="719"/>
      <c r="E406" s="24">
        <f t="shared" si="65"/>
        <v>0.06</v>
      </c>
      <c r="F406" s="719"/>
      <c r="G406" s="24">
        <f t="shared" si="66"/>
        <v>0.02</v>
      </c>
      <c r="H406" s="719"/>
      <c r="I406" s="24">
        <f t="shared" si="67"/>
        <v>0.09</v>
      </c>
      <c r="J406" s="719"/>
      <c r="K406" s="24">
        <f t="shared" si="68"/>
        <v>0</v>
      </c>
      <c r="L406" s="719"/>
      <c r="M406" s="24">
        <f t="shared" si="69"/>
        <v>0.2</v>
      </c>
      <c r="N406" s="719"/>
      <c r="O406" s="24">
        <f t="shared" si="70"/>
        <v>0.2</v>
      </c>
      <c r="P406" s="719"/>
      <c r="Q406" s="24">
        <f t="shared" si="71"/>
        <v>0</v>
      </c>
      <c r="R406" s="715">
        <f t="shared" si="72"/>
        <v>0</v>
      </c>
      <c r="S406" s="361">
        <f t="shared" si="73"/>
        <v>0</v>
      </c>
    </row>
    <row r="407" spans="1:19">
      <c r="A407" s="159"/>
      <c r="B407" s="59"/>
      <c r="C407" s="24">
        <f t="shared" si="64"/>
        <v>1</v>
      </c>
      <c r="D407" s="719"/>
      <c r="E407" s="24">
        <f t="shared" si="65"/>
        <v>0.06</v>
      </c>
      <c r="F407" s="719"/>
      <c r="G407" s="24">
        <f t="shared" si="66"/>
        <v>0.02</v>
      </c>
      <c r="H407" s="719"/>
      <c r="I407" s="24">
        <f t="shared" si="67"/>
        <v>0.09</v>
      </c>
      <c r="J407" s="719"/>
      <c r="K407" s="24">
        <f t="shared" si="68"/>
        <v>0</v>
      </c>
      <c r="L407" s="719"/>
      <c r="M407" s="24">
        <f t="shared" si="69"/>
        <v>0.2</v>
      </c>
      <c r="N407" s="719"/>
      <c r="O407" s="24">
        <f t="shared" si="70"/>
        <v>0.2</v>
      </c>
      <c r="P407" s="719"/>
      <c r="Q407" s="24">
        <f t="shared" si="71"/>
        <v>0</v>
      </c>
      <c r="R407" s="715">
        <f t="shared" si="72"/>
        <v>0</v>
      </c>
      <c r="S407" s="361">
        <f t="shared" si="73"/>
        <v>0</v>
      </c>
    </row>
    <row r="408" spans="1:19">
      <c r="A408" s="159"/>
      <c r="B408" s="59"/>
      <c r="C408" s="24">
        <f t="shared" si="64"/>
        <v>1</v>
      </c>
      <c r="D408" s="719"/>
      <c r="E408" s="24">
        <f t="shared" si="65"/>
        <v>0.06</v>
      </c>
      <c r="F408" s="719"/>
      <c r="G408" s="24">
        <f t="shared" si="66"/>
        <v>0.02</v>
      </c>
      <c r="H408" s="719"/>
      <c r="I408" s="24">
        <f t="shared" si="67"/>
        <v>0.09</v>
      </c>
      <c r="J408" s="719"/>
      <c r="K408" s="24">
        <f t="shared" si="68"/>
        <v>0</v>
      </c>
      <c r="L408" s="719"/>
      <c r="M408" s="24">
        <f t="shared" si="69"/>
        <v>0.2</v>
      </c>
      <c r="N408" s="719"/>
      <c r="O408" s="24">
        <f t="shared" si="70"/>
        <v>0.2</v>
      </c>
      <c r="P408" s="719"/>
      <c r="Q408" s="24">
        <f t="shared" si="71"/>
        <v>0</v>
      </c>
      <c r="R408" s="715">
        <f t="shared" si="72"/>
        <v>0</v>
      </c>
      <c r="S408" s="361">
        <f t="shared" si="73"/>
        <v>0</v>
      </c>
    </row>
    <row r="409" spans="1:19">
      <c r="A409" s="159"/>
      <c r="B409" s="59"/>
      <c r="C409" s="24">
        <f t="shared" si="64"/>
        <v>1</v>
      </c>
      <c r="D409" s="719"/>
      <c r="E409" s="24">
        <f t="shared" si="65"/>
        <v>0.06</v>
      </c>
      <c r="F409" s="719"/>
      <c r="G409" s="24">
        <f t="shared" si="66"/>
        <v>0.02</v>
      </c>
      <c r="H409" s="719"/>
      <c r="I409" s="24">
        <f t="shared" si="67"/>
        <v>0.09</v>
      </c>
      <c r="J409" s="719"/>
      <c r="K409" s="24">
        <f t="shared" si="68"/>
        <v>0</v>
      </c>
      <c r="L409" s="719"/>
      <c r="M409" s="24">
        <f t="shared" si="69"/>
        <v>0.2</v>
      </c>
      <c r="N409" s="719"/>
      <c r="O409" s="24">
        <f t="shared" si="70"/>
        <v>0.2</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0.06</v>
      </c>
      <c r="F410" s="719"/>
      <c r="G410" s="24">
        <f t="shared" ref="G410:G473" si="76">(SUMIF($7:$7,F410,$8:$8)-SUMIF($7:$7,$F$24,$8:$8)+100)/100</f>
        <v>0.02</v>
      </c>
      <c r="H410" s="719"/>
      <c r="I410" s="24">
        <f t="shared" ref="I410:I473" si="77">(SUMIF($9:$9,H410,$10:$10)-SUMIF($9:$9,$H$24,$10:$10)+100)/100</f>
        <v>0.09</v>
      </c>
      <c r="J410" s="719"/>
      <c r="K410" s="24">
        <f t="shared" ref="K410:K473" si="78">(SUMIF($11:$11,J410,$12:$12)-SUMIF($11:$11,$J$24,$12:$12)+100)/100</f>
        <v>0</v>
      </c>
      <c r="L410" s="719"/>
      <c r="M410" s="24">
        <f t="shared" ref="M410:M473" si="79">(SUMIF($13:$13,L410,$14:$14)-SUMIF($13:$13,$L$24,$14:$14)+100)/100</f>
        <v>0.2</v>
      </c>
      <c r="N410" s="719"/>
      <c r="O410" s="24">
        <f t="shared" ref="O410:O473" si="80">(SUMIF($15:$15,N410,$16:$16)-SUMIF($15:$15,$N$24,$16:$16)+100)/100</f>
        <v>0.2</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0.06</v>
      </c>
      <c r="F411" s="719"/>
      <c r="G411" s="24">
        <f t="shared" si="76"/>
        <v>0.02</v>
      </c>
      <c r="H411" s="719"/>
      <c r="I411" s="24">
        <f t="shared" si="77"/>
        <v>0.09</v>
      </c>
      <c r="J411" s="719"/>
      <c r="K411" s="24">
        <f t="shared" si="78"/>
        <v>0</v>
      </c>
      <c r="L411" s="719"/>
      <c r="M411" s="24">
        <f t="shared" si="79"/>
        <v>0.2</v>
      </c>
      <c r="N411" s="719"/>
      <c r="O411" s="24">
        <f t="shared" si="80"/>
        <v>0.2</v>
      </c>
      <c r="P411" s="719"/>
      <c r="Q411" s="24">
        <f t="shared" si="81"/>
        <v>0</v>
      </c>
      <c r="R411" s="715">
        <f t="shared" si="82"/>
        <v>0</v>
      </c>
      <c r="S411" s="361">
        <f t="shared" si="73"/>
        <v>0</v>
      </c>
    </row>
    <row r="412" spans="1:19">
      <c r="A412" s="159"/>
      <c r="B412" s="59"/>
      <c r="C412" s="24">
        <f t="shared" si="74"/>
        <v>1</v>
      </c>
      <c r="D412" s="719"/>
      <c r="E412" s="24">
        <f t="shared" si="75"/>
        <v>0.06</v>
      </c>
      <c r="F412" s="719"/>
      <c r="G412" s="24">
        <f t="shared" si="76"/>
        <v>0.02</v>
      </c>
      <c r="H412" s="719"/>
      <c r="I412" s="24">
        <f t="shared" si="77"/>
        <v>0.09</v>
      </c>
      <c r="J412" s="719"/>
      <c r="K412" s="24">
        <f t="shared" si="78"/>
        <v>0</v>
      </c>
      <c r="L412" s="719"/>
      <c r="M412" s="24">
        <f t="shared" si="79"/>
        <v>0.2</v>
      </c>
      <c r="N412" s="719"/>
      <c r="O412" s="24">
        <f t="shared" si="80"/>
        <v>0.2</v>
      </c>
      <c r="P412" s="719"/>
      <c r="Q412" s="24">
        <f t="shared" si="81"/>
        <v>0</v>
      </c>
      <c r="R412" s="715">
        <f t="shared" si="82"/>
        <v>0</v>
      </c>
      <c r="S412" s="361">
        <f t="shared" si="73"/>
        <v>0</v>
      </c>
    </row>
    <row r="413" spans="1:19">
      <c r="A413" s="159"/>
      <c r="B413" s="59"/>
      <c r="C413" s="24">
        <f t="shared" si="74"/>
        <v>1</v>
      </c>
      <c r="D413" s="719"/>
      <c r="E413" s="24">
        <f t="shared" si="75"/>
        <v>0.06</v>
      </c>
      <c r="F413" s="719"/>
      <c r="G413" s="24">
        <f t="shared" si="76"/>
        <v>0.02</v>
      </c>
      <c r="H413" s="719"/>
      <c r="I413" s="24">
        <f t="shared" si="77"/>
        <v>0.09</v>
      </c>
      <c r="J413" s="719"/>
      <c r="K413" s="24">
        <f t="shared" si="78"/>
        <v>0</v>
      </c>
      <c r="L413" s="719"/>
      <c r="M413" s="24">
        <f t="shared" si="79"/>
        <v>0.2</v>
      </c>
      <c r="N413" s="719"/>
      <c r="O413" s="24">
        <f t="shared" si="80"/>
        <v>0.2</v>
      </c>
      <c r="P413" s="719"/>
      <c r="Q413" s="24">
        <f t="shared" si="81"/>
        <v>0</v>
      </c>
      <c r="R413" s="715">
        <f t="shared" si="82"/>
        <v>0</v>
      </c>
      <c r="S413" s="361">
        <f t="shared" si="73"/>
        <v>0</v>
      </c>
    </row>
    <row r="414" spans="1:19">
      <c r="A414" s="159"/>
      <c r="B414" s="59"/>
      <c r="C414" s="24">
        <f t="shared" si="74"/>
        <v>1</v>
      </c>
      <c r="D414" s="719"/>
      <c r="E414" s="24">
        <f t="shared" si="75"/>
        <v>0.06</v>
      </c>
      <c r="F414" s="719"/>
      <c r="G414" s="24">
        <f t="shared" si="76"/>
        <v>0.02</v>
      </c>
      <c r="H414" s="719"/>
      <c r="I414" s="24">
        <f t="shared" si="77"/>
        <v>0.09</v>
      </c>
      <c r="J414" s="719"/>
      <c r="K414" s="24">
        <f t="shared" si="78"/>
        <v>0</v>
      </c>
      <c r="L414" s="719"/>
      <c r="M414" s="24">
        <f t="shared" si="79"/>
        <v>0.2</v>
      </c>
      <c r="N414" s="719"/>
      <c r="O414" s="24">
        <f t="shared" si="80"/>
        <v>0.2</v>
      </c>
      <c r="P414" s="719"/>
      <c r="Q414" s="24">
        <f t="shared" si="81"/>
        <v>0</v>
      </c>
      <c r="R414" s="715">
        <f t="shared" si="82"/>
        <v>0</v>
      </c>
      <c r="S414" s="361">
        <f t="shared" si="73"/>
        <v>0</v>
      </c>
    </row>
    <row r="415" spans="1:19">
      <c r="A415" s="159"/>
      <c r="B415" s="59"/>
      <c r="C415" s="24">
        <f t="shared" si="74"/>
        <v>1</v>
      </c>
      <c r="D415" s="719"/>
      <c r="E415" s="24">
        <f t="shared" si="75"/>
        <v>0.06</v>
      </c>
      <c r="F415" s="719"/>
      <c r="G415" s="24">
        <f t="shared" si="76"/>
        <v>0.02</v>
      </c>
      <c r="H415" s="719"/>
      <c r="I415" s="24">
        <f t="shared" si="77"/>
        <v>0.09</v>
      </c>
      <c r="J415" s="719"/>
      <c r="K415" s="24">
        <f t="shared" si="78"/>
        <v>0</v>
      </c>
      <c r="L415" s="719"/>
      <c r="M415" s="24">
        <f t="shared" si="79"/>
        <v>0.2</v>
      </c>
      <c r="N415" s="719"/>
      <c r="O415" s="24">
        <f t="shared" si="80"/>
        <v>0.2</v>
      </c>
      <c r="P415" s="719"/>
      <c r="Q415" s="24">
        <f t="shared" si="81"/>
        <v>0</v>
      </c>
      <c r="R415" s="715">
        <f t="shared" si="82"/>
        <v>0</v>
      </c>
      <c r="S415" s="361">
        <f t="shared" si="73"/>
        <v>0</v>
      </c>
    </row>
    <row r="416" spans="1:19">
      <c r="A416" s="159"/>
      <c r="B416" s="59"/>
      <c r="C416" s="24">
        <f t="shared" si="74"/>
        <v>1</v>
      </c>
      <c r="D416" s="719"/>
      <c r="E416" s="24">
        <f t="shared" si="75"/>
        <v>0.06</v>
      </c>
      <c r="F416" s="719"/>
      <c r="G416" s="24">
        <f t="shared" si="76"/>
        <v>0.02</v>
      </c>
      <c r="H416" s="719"/>
      <c r="I416" s="24">
        <f t="shared" si="77"/>
        <v>0.09</v>
      </c>
      <c r="J416" s="719"/>
      <c r="K416" s="24">
        <f t="shared" si="78"/>
        <v>0</v>
      </c>
      <c r="L416" s="719"/>
      <c r="M416" s="24">
        <f t="shared" si="79"/>
        <v>0.2</v>
      </c>
      <c r="N416" s="719"/>
      <c r="O416" s="24">
        <f t="shared" si="80"/>
        <v>0.2</v>
      </c>
      <c r="P416" s="719"/>
      <c r="Q416" s="24">
        <f t="shared" si="81"/>
        <v>0</v>
      </c>
      <c r="R416" s="715">
        <f t="shared" si="82"/>
        <v>0</v>
      </c>
      <c r="S416" s="361">
        <f t="shared" si="73"/>
        <v>0</v>
      </c>
    </row>
    <row r="417" spans="1:19">
      <c r="A417" s="159"/>
      <c r="B417" s="59"/>
      <c r="C417" s="24">
        <f t="shared" si="74"/>
        <v>1</v>
      </c>
      <c r="D417" s="719"/>
      <c r="E417" s="24">
        <f t="shared" si="75"/>
        <v>0.06</v>
      </c>
      <c r="F417" s="719"/>
      <c r="G417" s="24">
        <f t="shared" si="76"/>
        <v>0.02</v>
      </c>
      <c r="H417" s="719"/>
      <c r="I417" s="24">
        <f t="shared" si="77"/>
        <v>0.09</v>
      </c>
      <c r="J417" s="719"/>
      <c r="K417" s="24">
        <f t="shared" si="78"/>
        <v>0</v>
      </c>
      <c r="L417" s="719"/>
      <c r="M417" s="24">
        <f t="shared" si="79"/>
        <v>0.2</v>
      </c>
      <c r="N417" s="719"/>
      <c r="O417" s="24">
        <f t="shared" si="80"/>
        <v>0.2</v>
      </c>
      <c r="P417" s="719"/>
      <c r="Q417" s="24">
        <f t="shared" si="81"/>
        <v>0</v>
      </c>
      <c r="R417" s="715">
        <f t="shared" si="82"/>
        <v>0</v>
      </c>
      <c r="S417" s="361">
        <f t="shared" si="73"/>
        <v>0</v>
      </c>
    </row>
    <row r="418" spans="1:19">
      <c r="A418" s="159"/>
      <c r="B418" s="59"/>
      <c r="C418" s="24">
        <f t="shared" si="74"/>
        <v>1</v>
      </c>
      <c r="D418" s="719"/>
      <c r="E418" s="24">
        <f t="shared" si="75"/>
        <v>0.06</v>
      </c>
      <c r="F418" s="719"/>
      <c r="G418" s="24">
        <f t="shared" si="76"/>
        <v>0.02</v>
      </c>
      <c r="H418" s="719"/>
      <c r="I418" s="24">
        <f t="shared" si="77"/>
        <v>0.09</v>
      </c>
      <c r="J418" s="719"/>
      <c r="K418" s="24">
        <f t="shared" si="78"/>
        <v>0</v>
      </c>
      <c r="L418" s="719"/>
      <c r="M418" s="24">
        <f t="shared" si="79"/>
        <v>0.2</v>
      </c>
      <c r="N418" s="719"/>
      <c r="O418" s="24">
        <f t="shared" si="80"/>
        <v>0.2</v>
      </c>
      <c r="P418" s="719"/>
      <c r="Q418" s="24">
        <f t="shared" si="81"/>
        <v>0</v>
      </c>
      <c r="R418" s="715">
        <f t="shared" si="82"/>
        <v>0</v>
      </c>
      <c r="S418" s="361">
        <f t="shared" si="73"/>
        <v>0</v>
      </c>
    </row>
    <row r="419" spans="1:19">
      <c r="A419" s="159"/>
      <c r="B419" s="59"/>
      <c r="C419" s="24">
        <f t="shared" si="74"/>
        <v>1</v>
      </c>
      <c r="D419" s="719"/>
      <c r="E419" s="24">
        <f t="shared" si="75"/>
        <v>0.06</v>
      </c>
      <c r="F419" s="719"/>
      <c r="G419" s="24">
        <f t="shared" si="76"/>
        <v>0.02</v>
      </c>
      <c r="H419" s="719"/>
      <c r="I419" s="24">
        <f t="shared" si="77"/>
        <v>0.09</v>
      </c>
      <c r="J419" s="719"/>
      <c r="K419" s="24">
        <f t="shared" si="78"/>
        <v>0</v>
      </c>
      <c r="L419" s="719"/>
      <c r="M419" s="24">
        <f t="shared" si="79"/>
        <v>0.2</v>
      </c>
      <c r="N419" s="719"/>
      <c r="O419" s="24">
        <f t="shared" si="80"/>
        <v>0.2</v>
      </c>
      <c r="P419" s="719"/>
      <c r="Q419" s="24">
        <f t="shared" si="81"/>
        <v>0</v>
      </c>
      <c r="R419" s="715">
        <f t="shared" si="82"/>
        <v>0</v>
      </c>
      <c r="S419" s="361">
        <f t="shared" si="73"/>
        <v>0</v>
      </c>
    </row>
    <row r="420" spans="1:19">
      <c r="A420" s="159"/>
      <c r="B420" s="59"/>
      <c r="C420" s="24">
        <f t="shared" si="74"/>
        <v>1</v>
      </c>
      <c r="D420" s="719"/>
      <c r="E420" s="24">
        <f t="shared" si="75"/>
        <v>0.06</v>
      </c>
      <c r="F420" s="719"/>
      <c r="G420" s="24">
        <f t="shared" si="76"/>
        <v>0.02</v>
      </c>
      <c r="H420" s="719"/>
      <c r="I420" s="24">
        <f t="shared" si="77"/>
        <v>0.09</v>
      </c>
      <c r="J420" s="719"/>
      <c r="K420" s="24">
        <f t="shared" si="78"/>
        <v>0</v>
      </c>
      <c r="L420" s="719"/>
      <c r="M420" s="24">
        <f t="shared" si="79"/>
        <v>0.2</v>
      </c>
      <c r="N420" s="719"/>
      <c r="O420" s="24">
        <f t="shared" si="80"/>
        <v>0.2</v>
      </c>
      <c r="P420" s="719"/>
      <c r="Q420" s="24">
        <f t="shared" si="81"/>
        <v>0</v>
      </c>
      <c r="R420" s="715">
        <f t="shared" si="82"/>
        <v>0</v>
      </c>
      <c r="S420" s="361">
        <f t="shared" si="73"/>
        <v>0</v>
      </c>
    </row>
    <row r="421" spans="1:19">
      <c r="A421" s="159"/>
      <c r="B421" s="59"/>
      <c r="C421" s="24">
        <f t="shared" si="74"/>
        <v>1</v>
      </c>
      <c r="D421" s="719"/>
      <c r="E421" s="24">
        <f t="shared" si="75"/>
        <v>0.06</v>
      </c>
      <c r="F421" s="719"/>
      <c r="G421" s="24">
        <f t="shared" si="76"/>
        <v>0.02</v>
      </c>
      <c r="H421" s="719"/>
      <c r="I421" s="24">
        <f t="shared" si="77"/>
        <v>0.09</v>
      </c>
      <c r="J421" s="719"/>
      <c r="K421" s="24">
        <f t="shared" si="78"/>
        <v>0</v>
      </c>
      <c r="L421" s="719"/>
      <c r="M421" s="24">
        <f t="shared" si="79"/>
        <v>0.2</v>
      </c>
      <c r="N421" s="719"/>
      <c r="O421" s="24">
        <f t="shared" si="80"/>
        <v>0.2</v>
      </c>
      <c r="P421" s="719"/>
      <c r="Q421" s="24">
        <f t="shared" si="81"/>
        <v>0</v>
      </c>
      <c r="R421" s="715">
        <f t="shared" si="82"/>
        <v>0</v>
      </c>
      <c r="S421" s="361">
        <f t="shared" si="73"/>
        <v>0</v>
      </c>
    </row>
    <row r="422" spans="1:19">
      <c r="A422" s="159"/>
      <c r="B422" s="59"/>
      <c r="C422" s="24">
        <f t="shared" si="74"/>
        <v>1</v>
      </c>
      <c r="D422" s="719"/>
      <c r="E422" s="24">
        <f t="shared" si="75"/>
        <v>0.06</v>
      </c>
      <c r="F422" s="719"/>
      <c r="G422" s="24">
        <f t="shared" si="76"/>
        <v>0.02</v>
      </c>
      <c r="H422" s="719"/>
      <c r="I422" s="24">
        <f t="shared" si="77"/>
        <v>0.09</v>
      </c>
      <c r="J422" s="719"/>
      <c r="K422" s="24">
        <f t="shared" si="78"/>
        <v>0</v>
      </c>
      <c r="L422" s="719"/>
      <c r="M422" s="24">
        <f t="shared" si="79"/>
        <v>0.2</v>
      </c>
      <c r="N422" s="719"/>
      <c r="O422" s="24">
        <f t="shared" si="80"/>
        <v>0.2</v>
      </c>
      <c r="P422" s="719"/>
      <c r="Q422" s="24">
        <f t="shared" si="81"/>
        <v>0</v>
      </c>
      <c r="R422" s="715">
        <f t="shared" si="82"/>
        <v>0</v>
      </c>
      <c r="S422" s="361">
        <f t="shared" si="73"/>
        <v>0</v>
      </c>
    </row>
    <row r="423" spans="1:19">
      <c r="A423" s="159"/>
      <c r="B423" s="59"/>
      <c r="C423" s="24">
        <f t="shared" si="74"/>
        <v>1</v>
      </c>
      <c r="D423" s="719"/>
      <c r="E423" s="24">
        <f t="shared" si="75"/>
        <v>0.06</v>
      </c>
      <c r="F423" s="719"/>
      <c r="G423" s="24">
        <f t="shared" si="76"/>
        <v>0.02</v>
      </c>
      <c r="H423" s="719"/>
      <c r="I423" s="24">
        <f t="shared" si="77"/>
        <v>0.09</v>
      </c>
      <c r="J423" s="719"/>
      <c r="K423" s="24">
        <f t="shared" si="78"/>
        <v>0</v>
      </c>
      <c r="L423" s="719"/>
      <c r="M423" s="24">
        <f t="shared" si="79"/>
        <v>0.2</v>
      </c>
      <c r="N423" s="719"/>
      <c r="O423" s="24">
        <f t="shared" si="80"/>
        <v>0.2</v>
      </c>
      <c r="P423" s="719"/>
      <c r="Q423" s="24">
        <f t="shared" si="81"/>
        <v>0</v>
      </c>
      <c r="R423" s="715">
        <f t="shared" si="82"/>
        <v>0</v>
      </c>
      <c r="S423" s="361">
        <f t="shared" ref="S423:S467" si="83">ROUND(R423*B423/10000,0)</f>
        <v>0</v>
      </c>
    </row>
    <row r="424" spans="1:19">
      <c r="A424" s="159"/>
      <c r="B424" s="59"/>
      <c r="C424" s="24">
        <f t="shared" si="74"/>
        <v>1</v>
      </c>
      <c r="D424" s="719"/>
      <c r="E424" s="24">
        <f t="shared" si="75"/>
        <v>0.06</v>
      </c>
      <c r="F424" s="719"/>
      <c r="G424" s="24">
        <f t="shared" si="76"/>
        <v>0.02</v>
      </c>
      <c r="H424" s="719"/>
      <c r="I424" s="24">
        <f t="shared" si="77"/>
        <v>0.09</v>
      </c>
      <c r="J424" s="719"/>
      <c r="K424" s="24">
        <f t="shared" si="78"/>
        <v>0</v>
      </c>
      <c r="L424" s="719"/>
      <c r="M424" s="24">
        <f t="shared" si="79"/>
        <v>0.2</v>
      </c>
      <c r="N424" s="719"/>
      <c r="O424" s="24">
        <f t="shared" si="80"/>
        <v>0.2</v>
      </c>
      <c r="P424" s="719"/>
      <c r="Q424" s="24">
        <f t="shared" si="81"/>
        <v>0</v>
      </c>
      <c r="R424" s="715">
        <f t="shared" si="82"/>
        <v>0</v>
      </c>
      <c r="S424" s="361">
        <f t="shared" si="83"/>
        <v>0</v>
      </c>
    </row>
    <row r="425" spans="1:19">
      <c r="A425" s="159"/>
      <c r="B425" s="59"/>
      <c r="C425" s="24">
        <f t="shared" si="74"/>
        <v>1</v>
      </c>
      <c r="D425" s="719"/>
      <c r="E425" s="24">
        <f t="shared" si="75"/>
        <v>0.06</v>
      </c>
      <c r="F425" s="719"/>
      <c r="G425" s="24">
        <f t="shared" si="76"/>
        <v>0.02</v>
      </c>
      <c r="H425" s="719"/>
      <c r="I425" s="24">
        <f t="shared" si="77"/>
        <v>0.09</v>
      </c>
      <c r="J425" s="719"/>
      <c r="K425" s="24">
        <f t="shared" si="78"/>
        <v>0</v>
      </c>
      <c r="L425" s="719"/>
      <c r="M425" s="24">
        <f t="shared" si="79"/>
        <v>0.2</v>
      </c>
      <c r="N425" s="719"/>
      <c r="O425" s="24">
        <f t="shared" si="80"/>
        <v>0.2</v>
      </c>
      <c r="P425" s="719"/>
      <c r="Q425" s="24">
        <f t="shared" si="81"/>
        <v>0</v>
      </c>
      <c r="R425" s="715">
        <f t="shared" si="82"/>
        <v>0</v>
      </c>
      <c r="S425" s="361">
        <f t="shared" si="83"/>
        <v>0</v>
      </c>
    </row>
    <row r="426" spans="1:19">
      <c r="A426" s="159"/>
      <c r="B426" s="59"/>
      <c r="C426" s="24">
        <f t="shared" si="74"/>
        <v>1</v>
      </c>
      <c r="D426" s="719"/>
      <c r="E426" s="24">
        <f t="shared" si="75"/>
        <v>0.06</v>
      </c>
      <c r="F426" s="719"/>
      <c r="G426" s="24">
        <f t="shared" si="76"/>
        <v>0.02</v>
      </c>
      <c r="H426" s="719"/>
      <c r="I426" s="24">
        <f t="shared" si="77"/>
        <v>0.09</v>
      </c>
      <c r="J426" s="719"/>
      <c r="K426" s="24">
        <f t="shared" si="78"/>
        <v>0</v>
      </c>
      <c r="L426" s="719"/>
      <c r="M426" s="24">
        <f t="shared" si="79"/>
        <v>0.2</v>
      </c>
      <c r="N426" s="719"/>
      <c r="O426" s="24">
        <f t="shared" si="80"/>
        <v>0.2</v>
      </c>
      <c r="P426" s="719"/>
      <c r="Q426" s="24">
        <f t="shared" si="81"/>
        <v>0</v>
      </c>
      <c r="R426" s="715">
        <f t="shared" si="82"/>
        <v>0</v>
      </c>
      <c r="S426" s="361">
        <f t="shared" si="83"/>
        <v>0</v>
      </c>
    </row>
    <row r="427" spans="1:19">
      <c r="A427" s="159"/>
      <c r="B427" s="59"/>
      <c r="C427" s="24">
        <f t="shared" si="74"/>
        <v>1</v>
      </c>
      <c r="D427" s="719"/>
      <c r="E427" s="24">
        <f t="shared" si="75"/>
        <v>0.06</v>
      </c>
      <c r="F427" s="719"/>
      <c r="G427" s="24">
        <f t="shared" si="76"/>
        <v>0.02</v>
      </c>
      <c r="H427" s="719"/>
      <c r="I427" s="24">
        <f t="shared" si="77"/>
        <v>0.09</v>
      </c>
      <c r="J427" s="719"/>
      <c r="K427" s="24">
        <f t="shared" si="78"/>
        <v>0</v>
      </c>
      <c r="L427" s="719"/>
      <c r="M427" s="24">
        <f t="shared" si="79"/>
        <v>0.2</v>
      </c>
      <c r="N427" s="719"/>
      <c r="O427" s="24">
        <f t="shared" si="80"/>
        <v>0.2</v>
      </c>
      <c r="P427" s="719"/>
      <c r="Q427" s="24">
        <f t="shared" si="81"/>
        <v>0</v>
      </c>
      <c r="R427" s="715">
        <f t="shared" si="82"/>
        <v>0</v>
      </c>
      <c r="S427" s="361">
        <f t="shared" si="83"/>
        <v>0</v>
      </c>
    </row>
    <row r="428" spans="1:19">
      <c r="A428" s="159"/>
      <c r="B428" s="59"/>
      <c r="C428" s="24">
        <f t="shared" si="74"/>
        <v>1</v>
      </c>
      <c r="D428" s="719"/>
      <c r="E428" s="24">
        <f t="shared" si="75"/>
        <v>0.06</v>
      </c>
      <c r="F428" s="719"/>
      <c r="G428" s="24">
        <f t="shared" si="76"/>
        <v>0.02</v>
      </c>
      <c r="H428" s="719"/>
      <c r="I428" s="24">
        <f t="shared" si="77"/>
        <v>0.09</v>
      </c>
      <c r="J428" s="719"/>
      <c r="K428" s="24">
        <f t="shared" si="78"/>
        <v>0</v>
      </c>
      <c r="L428" s="719"/>
      <c r="M428" s="24">
        <f t="shared" si="79"/>
        <v>0.2</v>
      </c>
      <c r="N428" s="719"/>
      <c r="O428" s="24">
        <f t="shared" si="80"/>
        <v>0.2</v>
      </c>
      <c r="P428" s="719"/>
      <c r="Q428" s="24">
        <f t="shared" si="81"/>
        <v>0</v>
      </c>
      <c r="R428" s="715">
        <f t="shared" si="82"/>
        <v>0</v>
      </c>
      <c r="S428" s="361">
        <f t="shared" si="83"/>
        <v>0</v>
      </c>
    </row>
    <row r="429" spans="1:19">
      <c r="A429" s="159"/>
      <c r="B429" s="59"/>
      <c r="C429" s="24">
        <f t="shared" si="74"/>
        <v>1</v>
      </c>
      <c r="D429" s="719"/>
      <c r="E429" s="24">
        <f t="shared" si="75"/>
        <v>0.06</v>
      </c>
      <c r="F429" s="719"/>
      <c r="G429" s="24">
        <f t="shared" si="76"/>
        <v>0.02</v>
      </c>
      <c r="H429" s="719"/>
      <c r="I429" s="24">
        <f t="shared" si="77"/>
        <v>0.09</v>
      </c>
      <c r="J429" s="719"/>
      <c r="K429" s="24">
        <f t="shared" si="78"/>
        <v>0</v>
      </c>
      <c r="L429" s="719"/>
      <c r="M429" s="24">
        <f t="shared" si="79"/>
        <v>0.2</v>
      </c>
      <c r="N429" s="719"/>
      <c r="O429" s="24">
        <f t="shared" si="80"/>
        <v>0.2</v>
      </c>
      <c r="P429" s="719"/>
      <c r="Q429" s="24">
        <f t="shared" si="81"/>
        <v>0</v>
      </c>
      <c r="R429" s="715">
        <f t="shared" si="82"/>
        <v>0</v>
      </c>
      <c r="S429" s="361">
        <f t="shared" si="83"/>
        <v>0</v>
      </c>
    </row>
    <row r="430" spans="1:19">
      <c r="A430" s="159"/>
      <c r="B430" s="59"/>
      <c r="C430" s="24">
        <f t="shared" si="74"/>
        <v>1</v>
      </c>
      <c r="D430" s="719"/>
      <c r="E430" s="24">
        <f t="shared" si="75"/>
        <v>0.06</v>
      </c>
      <c r="F430" s="719"/>
      <c r="G430" s="24">
        <f t="shared" si="76"/>
        <v>0.02</v>
      </c>
      <c r="H430" s="719"/>
      <c r="I430" s="24">
        <f t="shared" si="77"/>
        <v>0.09</v>
      </c>
      <c r="J430" s="719"/>
      <c r="K430" s="24">
        <f t="shared" si="78"/>
        <v>0</v>
      </c>
      <c r="L430" s="719"/>
      <c r="M430" s="24">
        <f t="shared" si="79"/>
        <v>0.2</v>
      </c>
      <c r="N430" s="719"/>
      <c r="O430" s="24">
        <f t="shared" si="80"/>
        <v>0.2</v>
      </c>
      <c r="P430" s="719"/>
      <c r="Q430" s="24">
        <f t="shared" si="81"/>
        <v>0</v>
      </c>
      <c r="R430" s="715">
        <f t="shared" si="82"/>
        <v>0</v>
      </c>
      <c r="S430" s="361">
        <f t="shared" si="83"/>
        <v>0</v>
      </c>
    </row>
    <row r="431" spans="1:19">
      <c r="A431" s="159"/>
      <c r="B431" s="59"/>
      <c r="C431" s="24">
        <f t="shared" si="74"/>
        <v>1</v>
      </c>
      <c r="D431" s="719"/>
      <c r="E431" s="24">
        <f t="shared" si="75"/>
        <v>0.06</v>
      </c>
      <c r="F431" s="719"/>
      <c r="G431" s="24">
        <f t="shared" si="76"/>
        <v>0.02</v>
      </c>
      <c r="H431" s="719"/>
      <c r="I431" s="24">
        <f t="shared" si="77"/>
        <v>0.09</v>
      </c>
      <c r="J431" s="719"/>
      <c r="K431" s="24">
        <f t="shared" si="78"/>
        <v>0</v>
      </c>
      <c r="L431" s="719"/>
      <c r="M431" s="24">
        <f t="shared" si="79"/>
        <v>0.2</v>
      </c>
      <c r="N431" s="719"/>
      <c r="O431" s="24">
        <f t="shared" si="80"/>
        <v>0.2</v>
      </c>
      <c r="P431" s="719"/>
      <c r="Q431" s="24">
        <f t="shared" si="81"/>
        <v>0</v>
      </c>
      <c r="R431" s="715">
        <f t="shared" si="82"/>
        <v>0</v>
      </c>
      <c r="S431" s="361">
        <f t="shared" si="83"/>
        <v>0</v>
      </c>
    </row>
    <row r="432" spans="1:19">
      <c r="A432" s="159"/>
      <c r="B432" s="59"/>
      <c r="C432" s="24">
        <f t="shared" si="74"/>
        <v>1</v>
      </c>
      <c r="D432" s="719"/>
      <c r="E432" s="24">
        <f t="shared" si="75"/>
        <v>0.06</v>
      </c>
      <c r="F432" s="719"/>
      <c r="G432" s="24">
        <f t="shared" si="76"/>
        <v>0.02</v>
      </c>
      <c r="H432" s="719"/>
      <c r="I432" s="24">
        <f t="shared" si="77"/>
        <v>0.09</v>
      </c>
      <c r="J432" s="719"/>
      <c r="K432" s="24">
        <f t="shared" si="78"/>
        <v>0</v>
      </c>
      <c r="L432" s="719"/>
      <c r="M432" s="24">
        <f t="shared" si="79"/>
        <v>0.2</v>
      </c>
      <c r="N432" s="719"/>
      <c r="O432" s="24">
        <f t="shared" si="80"/>
        <v>0.2</v>
      </c>
      <c r="P432" s="719"/>
      <c r="Q432" s="24">
        <f t="shared" si="81"/>
        <v>0</v>
      </c>
      <c r="R432" s="715">
        <f t="shared" si="82"/>
        <v>0</v>
      </c>
      <c r="S432" s="361">
        <f t="shared" si="83"/>
        <v>0</v>
      </c>
    </row>
    <row r="433" spans="1:19">
      <c r="A433" s="159"/>
      <c r="B433" s="59"/>
      <c r="C433" s="24">
        <f t="shared" si="74"/>
        <v>1</v>
      </c>
      <c r="D433" s="719"/>
      <c r="E433" s="24">
        <f t="shared" si="75"/>
        <v>0.06</v>
      </c>
      <c r="F433" s="719"/>
      <c r="G433" s="24">
        <f t="shared" si="76"/>
        <v>0.02</v>
      </c>
      <c r="H433" s="719"/>
      <c r="I433" s="24">
        <f t="shared" si="77"/>
        <v>0.09</v>
      </c>
      <c r="J433" s="719"/>
      <c r="K433" s="24">
        <f t="shared" si="78"/>
        <v>0</v>
      </c>
      <c r="L433" s="719"/>
      <c r="M433" s="24">
        <f t="shared" si="79"/>
        <v>0.2</v>
      </c>
      <c r="N433" s="719"/>
      <c r="O433" s="24">
        <f t="shared" si="80"/>
        <v>0.2</v>
      </c>
      <c r="P433" s="719"/>
      <c r="Q433" s="24">
        <f t="shared" si="81"/>
        <v>0</v>
      </c>
      <c r="R433" s="715">
        <f t="shared" si="82"/>
        <v>0</v>
      </c>
      <c r="S433" s="361">
        <f t="shared" si="83"/>
        <v>0</v>
      </c>
    </row>
    <row r="434" spans="1:19">
      <c r="A434" s="159"/>
      <c r="B434" s="59"/>
      <c r="C434" s="24">
        <f t="shared" si="74"/>
        <v>1</v>
      </c>
      <c r="D434" s="719"/>
      <c r="E434" s="24">
        <f t="shared" si="75"/>
        <v>0.06</v>
      </c>
      <c r="F434" s="719"/>
      <c r="G434" s="24">
        <f t="shared" si="76"/>
        <v>0.02</v>
      </c>
      <c r="H434" s="719"/>
      <c r="I434" s="24">
        <f t="shared" si="77"/>
        <v>0.09</v>
      </c>
      <c r="J434" s="719"/>
      <c r="K434" s="24">
        <f t="shared" si="78"/>
        <v>0</v>
      </c>
      <c r="L434" s="719"/>
      <c r="M434" s="24">
        <f t="shared" si="79"/>
        <v>0.2</v>
      </c>
      <c r="N434" s="719"/>
      <c r="O434" s="24">
        <f t="shared" si="80"/>
        <v>0.2</v>
      </c>
      <c r="P434" s="719"/>
      <c r="Q434" s="24">
        <f t="shared" si="81"/>
        <v>0</v>
      </c>
      <c r="R434" s="715">
        <f t="shared" si="82"/>
        <v>0</v>
      </c>
      <c r="S434" s="361">
        <f t="shared" si="83"/>
        <v>0</v>
      </c>
    </row>
    <row r="435" spans="1:19">
      <c r="A435" s="159"/>
      <c r="B435" s="59"/>
      <c r="C435" s="24">
        <f t="shared" si="74"/>
        <v>1</v>
      </c>
      <c r="D435" s="719"/>
      <c r="E435" s="24">
        <f t="shared" si="75"/>
        <v>0.06</v>
      </c>
      <c r="F435" s="719"/>
      <c r="G435" s="24">
        <f t="shared" si="76"/>
        <v>0.02</v>
      </c>
      <c r="H435" s="719"/>
      <c r="I435" s="24">
        <f t="shared" si="77"/>
        <v>0.09</v>
      </c>
      <c r="J435" s="719"/>
      <c r="K435" s="24">
        <f t="shared" si="78"/>
        <v>0</v>
      </c>
      <c r="L435" s="719"/>
      <c r="M435" s="24">
        <f t="shared" si="79"/>
        <v>0.2</v>
      </c>
      <c r="N435" s="719"/>
      <c r="O435" s="24">
        <f t="shared" si="80"/>
        <v>0.2</v>
      </c>
      <c r="P435" s="719"/>
      <c r="Q435" s="24">
        <f t="shared" si="81"/>
        <v>0</v>
      </c>
      <c r="R435" s="715">
        <f t="shared" si="82"/>
        <v>0</v>
      </c>
      <c r="S435" s="361">
        <f t="shared" si="83"/>
        <v>0</v>
      </c>
    </row>
    <row r="436" spans="1:19">
      <c r="A436" s="159"/>
      <c r="B436" s="59"/>
      <c r="C436" s="24">
        <f t="shared" si="74"/>
        <v>1</v>
      </c>
      <c r="D436" s="719"/>
      <c r="E436" s="24">
        <f t="shared" si="75"/>
        <v>0.06</v>
      </c>
      <c r="F436" s="719"/>
      <c r="G436" s="24">
        <f t="shared" si="76"/>
        <v>0.02</v>
      </c>
      <c r="H436" s="719"/>
      <c r="I436" s="24">
        <f t="shared" si="77"/>
        <v>0.09</v>
      </c>
      <c r="J436" s="719"/>
      <c r="K436" s="24">
        <f t="shared" si="78"/>
        <v>0</v>
      </c>
      <c r="L436" s="719"/>
      <c r="M436" s="24">
        <f t="shared" si="79"/>
        <v>0.2</v>
      </c>
      <c r="N436" s="719"/>
      <c r="O436" s="24">
        <f t="shared" si="80"/>
        <v>0.2</v>
      </c>
      <c r="P436" s="719"/>
      <c r="Q436" s="24">
        <f t="shared" si="81"/>
        <v>0</v>
      </c>
      <c r="R436" s="715">
        <f t="shared" si="82"/>
        <v>0</v>
      </c>
      <c r="S436" s="361">
        <f t="shared" si="83"/>
        <v>0</v>
      </c>
    </row>
    <row r="437" spans="1:19">
      <c r="A437" s="159"/>
      <c r="B437" s="59"/>
      <c r="C437" s="24">
        <f t="shared" si="74"/>
        <v>1</v>
      </c>
      <c r="D437" s="719"/>
      <c r="E437" s="24">
        <f t="shared" si="75"/>
        <v>0.06</v>
      </c>
      <c r="F437" s="719"/>
      <c r="G437" s="24">
        <f t="shared" si="76"/>
        <v>0.02</v>
      </c>
      <c r="H437" s="719"/>
      <c r="I437" s="24">
        <f t="shared" si="77"/>
        <v>0.09</v>
      </c>
      <c r="J437" s="719"/>
      <c r="K437" s="24">
        <f t="shared" si="78"/>
        <v>0</v>
      </c>
      <c r="L437" s="719"/>
      <c r="M437" s="24">
        <f t="shared" si="79"/>
        <v>0.2</v>
      </c>
      <c r="N437" s="719"/>
      <c r="O437" s="24">
        <f t="shared" si="80"/>
        <v>0.2</v>
      </c>
      <c r="P437" s="719"/>
      <c r="Q437" s="24">
        <f t="shared" si="81"/>
        <v>0</v>
      </c>
      <c r="R437" s="715">
        <f t="shared" si="82"/>
        <v>0</v>
      </c>
      <c r="S437" s="361">
        <f t="shared" si="83"/>
        <v>0</v>
      </c>
    </row>
    <row r="438" spans="1:19">
      <c r="A438" s="159"/>
      <c r="B438" s="59"/>
      <c r="C438" s="24">
        <f t="shared" si="74"/>
        <v>1</v>
      </c>
      <c r="D438" s="719"/>
      <c r="E438" s="24">
        <f t="shared" si="75"/>
        <v>0.06</v>
      </c>
      <c r="F438" s="719"/>
      <c r="G438" s="24">
        <f t="shared" si="76"/>
        <v>0.02</v>
      </c>
      <c r="H438" s="719"/>
      <c r="I438" s="24">
        <f t="shared" si="77"/>
        <v>0.09</v>
      </c>
      <c r="J438" s="719"/>
      <c r="K438" s="24">
        <f t="shared" si="78"/>
        <v>0</v>
      </c>
      <c r="L438" s="719"/>
      <c r="M438" s="24">
        <f t="shared" si="79"/>
        <v>0.2</v>
      </c>
      <c r="N438" s="719"/>
      <c r="O438" s="24">
        <f t="shared" si="80"/>
        <v>0.2</v>
      </c>
      <c r="P438" s="719"/>
      <c r="Q438" s="24">
        <f t="shared" si="81"/>
        <v>0</v>
      </c>
      <c r="R438" s="715">
        <f t="shared" si="82"/>
        <v>0</v>
      </c>
      <c r="S438" s="361">
        <f t="shared" si="83"/>
        <v>0</v>
      </c>
    </row>
    <row r="439" spans="1:19">
      <c r="A439" s="159"/>
      <c r="B439" s="59"/>
      <c r="C439" s="24">
        <f t="shared" si="74"/>
        <v>1</v>
      </c>
      <c r="D439" s="719"/>
      <c r="E439" s="24">
        <f t="shared" si="75"/>
        <v>0.06</v>
      </c>
      <c r="F439" s="719"/>
      <c r="G439" s="24">
        <f t="shared" si="76"/>
        <v>0.02</v>
      </c>
      <c r="H439" s="719"/>
      <c r="I439" s="24">
        <f t="shared" si="77"/>
        <v>0.09</v>
      </c>
      <c r="J439" s="719"/>
      <c r="K439" s="24">
        <f t="shared" si="78"/>
        <v>0</v>
      </c>
      <c r="L439" s="719"/>
      <c r="M439" s="24">
        <f t="shared" si="79"/>
        <v>0.2</v>
      </c>
      <c r="N439" s="719"/>
      <c r="O439" s="24">
        <f t="shared" si="80"/>
        <v>0.2</v>
      </c>
      <c r="P439" s="719"/>
      <c r="Q439" s="24">
        <f t="shared" si="81"/>
        <v>0</v>
      </c>
      <c r="R439" s="715">
        <f t="shared" si="82"/>
        <v>0</v>
      </c>
      <c r="S439" s="361">
        <f t="shared" si="83"/>
        <v>0</v>
      </c>
    </row>
    <row r="440" spans="1:19">
      <c r="A440" s="159"/>
      <c r="B440" s="59"/>
      <c r="C440" s="24">
        <f t="shared" si="74"/>
        <v>1</v>
      </c>
      <c r="D440" s="719"/>
      <c r="E440" s="24">
        <f t="shared" si="75"/>
        <v>0.06</v>
      </c>
      <c r="F440" s="719"/>
      <c r="G440" s="24">
        <f t="shared" si="76"/>
        <v>0.02</v>
      </c>
      <c r="H440" s="719"/>
      <c r="I440" s="24">
        <f t="shared" si="77"/>
        <v>0.09</v>
      </c>
      <c r="J440" s="719"/>
      <c r="K440" s="24">
        <f t="shared" si="78"/>
        <v>0</v>
      </c>
      <c r="L440" s="719"/>
      <c r="M440" s="24">
        <f t="shared" si="79"/>
        <v>0.2</v>
      </c>
      <c r="N440" s="719"/>
      <c r="O440" s="24">
        <f t="shared" si="80"/>
        <v>0.2</v>
      </c>
      <c r="P440" s="719"/>
      <c r="Q440" s="24">
        <f t="shared" si="81"/>
        <v>0</v>
      </c>
      <c r="R440" s="715">
        <f t="shared" si="82"/>
        <v>0</v>
      </c>
      <c r="S440" s="361">
        <f t="shared" si="83"/>
        <v>0</v>
      </c>
    </row>
    <row r="441" spans="1:19">
      <c r="A441" s="159"/>
      <c r="B441" s="59"/>
      <c r="C441" s="24">
        <f t="shared" si="74"/>
        <v>1</v>
      </c>
      <c r="D441" s="719"/>
      <c r="E441" s="24">
        <f t="shared" si="75"/>
        <v>0.06</v>
      </c>
      <c r="F441" s="719"/>
      <c r="G441" s="24">
        <f t="shared" si="76"/>
        <v>0.02</v>
      </c>
      <c r="H441" s="719"/>
      <c r="I441" s="24">
        <f t="shared" si="77"/>
        <v>0.09</v>
      </c>
      <c r="J441" s="719"/>
      <c r="K441" s="24">
        <f t="shared" si="78"/>
        <v>0</v>
      </c>
      <c r="L441" s="719"/>
      <c r="M441" s="24">
        <f t="shared" si="79"/>
        <v>0.2</v>
      </c>
      <c r="N441" s="719"/>
      <c r="O441" s="24">
        <f t="shared" si="80"/>
        <v>0.2</v>
      </c>
      <c r="P441" s="719"/>
      <c r="Q441" s="24">
        <f t="shared" si="81"/>
        <v>0</v>
      </c>
      <c r="R441" s="715">
        <f t="shared" si="82"/>
        <v>0</v>
      </c>
      <c r="S441" s="361">
        <f t="shared" si="83"/>
        <v>0</v>
      </c>
    </row>
    <row r="442" spans="1:19">
      <c r="A442" s="159"/>
      <c r="B442" s="59"/>
      <c r="C442" s="24">
        <f t="shared" si="74"/>
        <v>1</v>
      </c>
      <c r="D442" s="719"/>
      <c r="E442" s="24">
        <f t="shared" si="75"/>
        <v>0.06</v>
      </c>
      <c r="F442" s="719"/>
      <c r="G442" s="24">
        <f t="shared" si="76"/>
        <v>0.02</v>
      </c>
      <c r="H442" s="719"/>
      <c r="I442" s="24">
        <f t="shared" si="77"/>
        <v>0.09</v>
      </c>
      <c r="J442" s="719"/>
      <c r="K442" s="24">
        <f t="shared" si="78"/>
        <v>0</v>
      </c>
      <c r="L442" s="719"/>
      <c r="M442" s="24">
        <f t="shared" si="79"/>
        <v>0.2</v>
      </c>
      <c r="N442" s="719"/>
      <c r="O442" s="24">
        <f t="shared" si="80"/>
        <v>0.2</v>
      </c>
      <c r="P442" s="719"/>
      <c r="Q442" s="24">
        <f t="shared" si="81"/>
        <v>0</v>
      </c>
      <c r="R442" s="715">
        <f t="shared" si="82"/>
        <v>0</v>
      </c>
      <c r="S442" s="361">
        <f t="shared" si="83"/>
        <v>0</v>
      </c>
    </row>
    <row r="443" spans="1:19">
      <c r="A443" s="159"/>
      <c r="B443" s="59"/>
      <c r="C443" s="24">
        <f t="shared" si="74"/>
        <v>1</v>
      </c>
      <c r="D443" s="719"/>
      <c r="E443" s="24">
        <f t="shared" si="75"/>
        <v>0.06</v>
      </c>
      <c r="F443" s="719"/>
      <c r="G443" s="24">
        <f t="shared" si="76"/>
        <v>0.02</v>
      </c>
      <c r="H443" s="719"/>
      <c r="I443" s="24">
        <f t="shared" si="77"/>
        <v>0.09</v>
      </c>
      <c r="J443" s="719"/>
      <c r="K443" s="24">
        <f t="shared" si="78"/>
        <v>0</v>
      </c>
      <c r="L443" s="719"/>
      <c r="M443" s="24">
        <f t="shared" si="79"/>
        <v>0.2</v>
      </c>
      <c r="N443" s="719"/>
      <c r="O443" s="24">
        <f t="shared" si="80"/>
        <v>0.2</v>
      </c>
      <c r="P443" s="719"/>
      <c r="Q443" s="24">
        <f t="shared" si="81"/>
        <v>0</v>
      </c>
      <c r="R443" s="715">
        <f t="shared" si="82"/>
        <v>0</v>
      </c>
      <c r="S443" s="361">
        <f t="shared" si="83"/>
        <v>0</v>
      </c>
    </row>
    <row r="444" spans="1:19">
      <c r="A444" s="159"/>
      <c r="B444" s="59"/>
      <c r="C444" s="24">
        <f t="shared" si="74"/>
        <v>1</v>
      </c>
      <c r="D444" s="719"/>
      <c r="E444" s="24">
        <f t="shared" si="75"/>
        <v>0.06</v>
      </c>
      <c r="F444" s="719"/>
      <c r="G444" s="24">
        <f t="shared" si="76"/>
        <v>0.02</v>
      </c>
      <c r="H444" s="719"/>
      <c r="I444" s="24">
        <f t="shared" si="77"/>
        <v>0.09</v>
      </c>
      <c r="J444" s="719"/>
      <c r="K444" s="24">
        <f t="shared" si="78"/>
        <v>0</v>
      </c>
      <c r="L444" s="719"/>
      <c r="M444" s="24">
        <f t="shared" si="79"/>
        <v>0.2</v>
      </c>
      <c r="N444" s="719"/>
      <c r="O444" s="24">
        <f t="shared" si="80"/>
        <v>0.2</v>
      </c>
      <c r="P444" s="719"/>
      <c r="Q444" s="24">
        <f t="shared" si="81"/>
        <v>0</v>
      </c>
      <c r="R444" s="715">
        <f t="shared" si="82"/>
        <v>0</v>
      </c>
      <c r="S444" s="361">
        <f t="shared" si="83"/>
        <v>0</v>
      </c>
    </row>
    <row r="445" spans="1:19">
      <c r="A445" s="159"/>
      <c r="B445" s="59"/>
      <c r="C445" s="24">
        <f t="shared" si="74"/>
        <v>1</v>
      </c>
      <c r="D445" s="719"/>
      <c r="E445" s="24">
        <f t="shared" si="75"/>
        <v>0.06</v>
      </c>
      <c r="F445" s="719"/>
      <c r="G445" s="24">
        <f t="shared" si="76"/>
        <v>0.02</v>
      </c>
      <c r="H445" s="719"/>
      <c r="I445" s="24">
        <f t="shared" si="77"/>
        <v>0.09</v>
      </c>
      <c r="J445" s="719"/>
      <c r="K445" s="24">
        <f t="shared" si="78"/>
        <v>0</v>
      </c>
      <c r="L445" s="719"/>
      <c r="M445" s="24">
        <f t="shared" si="79"/>
        <v>0.2</v>
      </c>
      <c r="N445" s="719"/>
      <c r="O445" s="24">
        <f t="shared" si="80"/>
        <v>0.2</v>
      </c>
      <c r="P445" s="719"/>
      <c r="Q445" s="24">
        <f t="shared" si="81"/>
        <v>0</v>
      </c>
      <c r="R445" s="715">
        <f t="shared" si="82"/>
        <v>0</v>
      </c>
      <c r="S445" s="361">
        <f t="shared" si="83"/>
        <v>0</v>
      </c>
    </row>
    <row r="446" spans="1:19">
      <c r="A446" s="159"/>
      <c r="B446" s="59"/>
      <c r="C446" s="24">
        <f t="shared" si="74"/>
        <v>1</v>
      </c>
      <c r="D446" s="719"/>
      <c r="E446" s="24">
        <f t="shared" si="75"/>
        <v>0.06</v>
      </c>
      <c r="F446" s="719"/>
      <c r="G446" s="24">
        <f t="shared" si="76"/>
        <v>0.02</v>
      </c>
      <c r="H446" s="719"/>
      <c r="I446" s="24">
        <f t="shared" si="77"/>
        <v>0.09</v>
      </c>
      <c r="J446" s="719"/>
      <c r="K446" s="24">
        <f t="shared" si="78"/>
        <v>0</v>
      </c>
      <c r="L446" s="719"/>
      <c r="M446" s="24">
        <f t="shared" si="79"/>
        <v>0.2</v>
      </c>
      <c r="N446" s="719"/>
      <c r="O446" s="24">
        <f t="shared" si="80"/>
        <v>0.2</v>
      </c>
      <c r="P446" s="719"/>
      <c r="Q446" s="24">
        <f t="shared" si="81"/>
        <v>0</v>
      </c>
      <c r="R446" s="715">
        <f t="shared" si="82"/>
        <v>0</v>
      </c>
      <c r="S446" s="361">
        <f t="shared" si="83"/>
        <v>0</v>
      </c>
    </row>
    <row r="447" spans="1:19">
      <c r="A447" s="159"/>
      <c r="B447" s="59"/>
      <c r="C447" s="24">
        <f t="shared" si="74"/>
        <v>1</v>
      </c>
      <c r="D447" s="719"/>
      <c r="E447" s="24">
        <f t="shared" si="75"/>
        <v>0.06</v>
      </c>
      <c r="F447" s="719"/>
      <c r="G447" s="24">
        <f t="shared" si="76"/>
        <v>0.02</v>
      </c>
      <c r="H447" s="719"/>
      <c r="I447" s="24">
        <f t="shared" si="77"/>
        <v>0.09</v>
      </c>
      <c r="J447" s="719"/>
      <c r="K447" s="24">
        <f t="shared" si="78"/>
        <v>0</v>
      </c>
      <c r="L447" s="719"/>
      <c r="M447" s="24">
        <f t="shared" si="79"/>
        <v>0.2</v>
      </c>
      <c r="N447" s="719"/>
      <c r="O447" s="24">
        <f t="shared" si="80"/>
        <v>0.2</v>
      </c>
      <c r="P447" s="719"/>
      <c r="Q447" s="24">
        <f t="shared" si="81"/>
        <v>0</v>
      </c>
      <c r="R447" s="715">
        <f t="shared" si="82"/>
        <v>0</v>
      </c>
      <c r="S447" s="361">
        <f t="shared" si="83"/>
        <v>0</v>
      </c>
    </row>
    <row r="448" spans="1:19">
      <c r="A448" s="159"/>
      <c r="B448" s="59"/>
      <c r="C448" s="24">
        <f t="shared" si="74"/>
        <v>1</v>
      </c>
      <c r="D448" s="719"/>
      <c r="E448" s="24">
        <f t="shared" si="75"/>
        <v>0.06</v>
      </c>
      <c r="F448" s="719"/>
      <c r="G448" s="24">
        <f t="shared" si="76"/>
        <v>0.02</v>
      </c>
      <c r="H448" s="719"/>
      <c r="I448" s="24">
        <f t="shared" si="77"/>
        <v>0.09</v>
      </c>
      <c r="J448" s="719"/>
      <c r="K448" s="24">
        <f t="shared" si="78"/>
        <v>0</v>
      </c>
      <c r="L448" s="719"/>
      <c r="M448" s="24">
        <f t="shared" si="79"/>
        <v>0.2</v>
      </c>
      <c r="N448" s="719"/>
      <c r="O448" s="24">
        <f t="shared" si="80"/>
        <v>0.2</v>
      </c>
      <c r="P448" s="719"/>
      <c r="Q448" s="24">
        <f t="shared" si="81"/>
        <v>0</v>
      </c>
      <c r="R448" s="715">
        <f t="shared" si="82"/>
        <v>0</v>
      </c>
      <c r="S448" s="361">
        <f t="shared" si="83"/>
        <v>0</v>
      </c>
    </row>
    <row r="449" spans="1:19">
      <c r="A449" s="159"/>
      <c r="B449" s="59"/>
      <c r="C449" s="24">
        <f t="shared" si="74"/>
        <v>1</v>
      </c>
      <c r="D449" s="719"/>
      <c r="E449" s="24">
        <f t="shared" si="75"/>
        <v>0.06</v>
      </c>
      <c r="F449" s="719"/>
      <c r="G449" s="24">
        <f t="shared" si="76"/>
        <v>0.02</v>
      </c>
      <c r="H449" s="719"/>
      <c r="I449" s="24">
        <f t="shared" si="77"/>
        <v>0.09</v>
      </c>
      <c r="J449" s="719"/>
      <c r="K449" s="24">
        <f t="shared" si="78"/>
        <v>0</v>
      </c>
      <c r="L449" s="719"/>
      <c r="M449" s="24">
        <f t="shared" si="79"/>
        <v>0.2</v>
      </c>
      <c r="N449" s="719"/>
      <c r="O449" s="24">
        <f t="shared" si="80"/>
        <v>0.2</v>
      </c>
      <c r="P449" s="719"/>
      <c r="Q449" s="24">
        <f t="shared" si="81"/>
        <v>0</v>
      </c>
      <c r="R449" s="715">
        <f t="shared" si="82"/>
        <v>0</v>
      </c>
      <c r="S449" s="361">
        <f t="shared" si="83"/>
        <v>0</v>
      </c>
    </row>
    <row r="450" spans="1:19">
      <c r="A450" s="159"/>
      <c r="B450" s="59"/>
      <c r="C450" s="24">
        <f t="shared" si="74"/>
        <v>1</v>
      </c>
      <c r="D450" s="719"/>
      <c r="E450" s="24">
        <f t="shared" si="75"/>
        <v>0.06</v>
      </c>
      <c r="F450" s="719"/>
      <c r="G450" s="24">
        <f t="shared" si="76"/>
        <v>0.02</v>
      </c>
      <c r="H450" s="719"/>
      <c r="I450" s="24">
        <f t="shared" si="77"/>
        <v>0.09</v>
      </c>
      <c r="J450" s="719"/>
      <c r="K450" s="24">
        <f t="shared" si="78"/>
        <v>0</v>
      </c>
      <c r="L450" s="719"/>
      <c r="M450" s="24">
        <f t="shared" si="79"/>
        <v>0.2</v>
      </c>
      <c r="N450" s="719"/>
      <c r="O450" s="24">
        <f t="shared" si="80"/>
        <v>0.2</v>
      </c>
      <c r="P450" s="719"/>
      <c r="Q450" s="24">
        <f t="shared" si="81"/>
        <v>0</v>
      </c>
      <c r="R450" s="715">
        <f t="shared" si="82"/>
        <v>0</v>
      </c>
      <c r="S450" s="361">
        <f t="shared" si="83"/>
        <v>0</v>
      </c>
    </row>
    <row r="451" spans="1:19">
      <c r="A451" s="159"/>
      <c r="B451" s="59"/>
      <c r="C451" s="24">
        <f t="shared" si="74"/>
        <v>1</v>
      </c>
      <c r="D451" s="719"/>
      <c r="E451" s="24">
        <f t="shared" si="75"/>
        <v>0.06</v>
      </c>
      <c r="F451" s="719"/>
      <c r="G451" s="24">
        <f t="shared" si="76"/>
        <v>0.02</v>
      </c>
      <c r="H451" s="719"/>
      <c r="I451" s="24">
        <f t="shared" si="77"/>
        <v>0.09</v>
      </c>
      <c r="J451" s="719"/>
      <c r="K451" s="24">
        <f t="shared" si="78"/>
        <v>0</v>
      </c>
      <c r="L451" s="719"/>
      <c r="M451" s="24">
        <f t="shared" si="79"/>
        <v>0.2</v>
      </c>
      <c r="N451" s="719"/>
      <c r="O451" s="24">
        <f t="shared" si="80"/>
        <v>0.2</v>
      </c>
      <c r="P451" s="719"/>
      <c r="Q451" s="24">
        <f t="shared" si="81"/>
        <v>0</v>
      </c>
      <c r="R451" s="715">
        <f t="shared" si="82"/>
        <v>0</v>
      </c>
      <c r="S451" s="361">
        <f t="shared" si="83"/>
        <v>0</v>
      </c>
    </row>
    <row r="452" spans="1:19">
      <c r="A452" s="159"/>
      <c r="B452" s="59"/>
      <c r="C452" s="24">
        <f t="shared" si="74"/>
        <v>1</v>
      </c>
      <c r="D452" s="719"/>
      <c r="E452" s="24">
        <f t="shared" si="75"/>
        <v>0.06</v>
      </c>
      <c r="F452" s="719"/>
      <c r="G452" s="24">
        <f t="shared" si="76"/>
        <v>0.02</v>
      </c>
      <c r="H452" s="719"/>
      <c r="I452" s="24">
        <f t="shared" si="77"/>
        <v>0.09</v>
      </c>
      <c r="J452" s="719"/>
      <c r="K452" s="24">
        <f t="shared" si="78"/>
        <v>0</v>
      </c>
      <c r="L452" s="719"/>
      <c r="M452" s="24">
        <f t="shared" si="79"/>
        <v>0.2</v>
      </c>
      <c r="N452" s="719"/>
      <c r="O452" s="24">
        <f t="shared" si="80"/>
        <v>0.2</v>
      </c>
      <c r="P452" s="719"/>
      <c r="Q452" s="24">
        <f t="shared" si="81"/>
        <v>0</v>
      </c>
      <c r="R452" s="715">
        <f t="shared" si="82"/>
        <v>0</v>
      </c>
      <c r="S452" s="361">
        <f t="shared" si="83"/>
        <v>0</v>
      </c>
    </row>
    <row r="453" spans="1:19">
      <c r="A453" s="159"/>
      <c r="B453" s="59"/>
      <c r="C453" s="24">
        <f t="shared" si="74"/>
        <v>1</v>
      </c>
      <c r="D453" s="719"/>
      <c r="E453" s="24">
        <f t="shared" si="75"/>
        <v>0.06</v>
      </c>
      <c r="F453" s="719"/>
      <c r="G453" s="24">
        <f t="shared" si="76"/>
        <v>0.02</v>
      </c>
      <c r="H453" s="719"/>
      <c r="I453" s="24">
        <f t="shared" si="77"/>
        <v>0.09</v>
      </c>
      <c r="J453" s="719"/>
      <c r="K453" s="24">
        <f t="shared" si="78"/>
        <v>0</v>
      </c>
      <c r="L453" s="719"/>
      <c r="M453" s="24">
        <f t="shared" si="79"/>
        <v>0.2</v>
      </c>
      <c r="N453" s="719"/>
      <c r="O453" s="24">
        <f t="shared" si="80"/>
        <v>0.2</v>
      </c>
      <c r="P453" s="719"/>
      <c r="Q453" s="24">
        <f t="shared" si="81"/>
        <v>0</v>
      </c>
      <c r="R453" s="715">
        <f t="shared" si="82"/>
        <v>0</v>
      </c>
      <c r="S453" s="361">
        <f t="shared" si="83"/>
        <v>0</v>
      </c>
    </row>
    <row r="454" spans="1:19">
      <c r="A454" s="159"/>
      <c r="B454" s="59"/>
      <c r="C454" s="24">
        <f t="shared" si="74"/>
        <v>1</v>
      </c>
      <c r="D454" s="719"/>
      <c r="E454" s="24">
        <f t="shared" si="75"/>
        <v>0.06</v>
      </c>
      <c r="F454" s="719"/>
      <c r="G454" s="24">
        <f t="shared" si="76"/>
        <v>0.02</v>
      </c>
      <c r="H454" s="719"/>
      <c r="I454" s="24">
        <f t="shared" si="77"/>
        <v>0.09</v>
      </c>
      <c r="J454" s="719"/>
      <c r="K454" s="24">
        <f t="shared" si="78"/>
        <v>0</v>
      </c>
      <c r="L454" s="719"/>
      <c r="M454" s="24">
        <f t="shared" si="79"/>
        <v>0.2</v>
      </c>
      <c r="N454" s="719"/>
      <c r="O454" s="24">
        <f t="shared" si="80"/>
        <v>0.2</v>
      </c>
      <c r="P454" s="719"/>
      <c r="Q454" s="24">
        <f t="shared" si="81"/>
        <v>0</v>
      </c>
      <c r="R454" s="715">
        <f t="shared" si="82"/>
        <v>0</v>
      </c>
      <c r="S454" s="361">
        <f t="shared" si="83"/>
        <v>0</v>
      </c>
    </row>
    <row r="455" spans="1:19">
      <c r="A455" s="159"/>
      <c r="B455" s="59"/>
      <c r="C455" s="24">
        <f t="shared" si="74"/>
        <v>1</v>
      </c>
      <c r="D455" s="719"/>
      <c r="E455" s="24">
        <f t="shared" si="75"/>
        <v>0.06</v>
      </c>
      <c r="F455" s="719"/>
      <c r="G455" s="24">
        <f t="shared" si="76"/>
        <v>0.02</v>
      </c>
      <c r="H455" s="719"/>
      <c r="I455" s="24">
        <f t="shared" si="77"/>
        <v>0.09</v>
      </c>
      <c r="J455" s="719"/>
      <c r="K455" s="24">
        <f t="shared" si="78"/>
        <v>0</v>
      </c>
      <c r="L455" s="719"/>
      <c r="M455" s="24">
        <f t="shared" si="79"/>
        <v>0.2</v>
      </c>
      <c r="N455" s="719"/>
      <c r="O455" s="24">
        <f t="shared" si="80"/>
        <v>0.2</v>
      </c>
      <c r="P455" s="719"/>
      <c r="Q455" s="24">
        <f t="shared" si="81"/>
        <v>0</v>
      </c>
      <c r="R455" s="715">
        <f t="shared" si="82"/>
        <v>0</v>
      </c>
      <c r="S455" s="361">
        <f t="shared" si="83"/>
        <v>0</v>
      </c>
    </row>
    <row r="456" spans="1:19">
      <c r="A456" s="159"/>
      <c r="B456" s="59"/>
      <c r="C456" s="24">
        <f t="shared" si="74"/>
        <v>1</v>
      </c>
      <c r="D456" s="719"/>
      <c r="E456" s="24">
        <f t="shared" si="75"/>
        <v>0.06</v>
      </c>
      <c r="F456" s="719"/>
      <c r="G456" s="24">
        <f t="shared" si="76"/>
        <v>0.02</v>
      </c>
      <c r="H456" s="719"/>
      <c r="I456" s="24">
        <f t="shared" si="77"/>
        <v>0.09</v>
      </c>
      <c r="J456" s="719"/>
      <c r="K456" s="24">
        <f t="shared" si="78"/>
        <v>0</v>
      </c>
      <c r="L456" s="719"/>
      <c r="M456" s="24">
        <f t="shared" si="79"/>
        <v>0.2</v>
      </c>
      <c r="N456" s="719"/>
      <c r="O456" s="24">
        <f t="shared" si="80"/>
        <v>0.2</v>
      </c>
      <c r="P456" s="719"/>
      <c r="Q456" s="24">
        <f t="shared" si="81"/>
        <v>0</v>
      </c>
      <c r="R456" s="715">
        <f t="shared" si="82"/>
        <v>0</v>
      </c>
      <c r="S456" s="361">
        <f t="shared" si="83"/>
        <v>0</v>
      </c>
    </row>
    <row r="457" spans="1:19">
      <c r="A457" s="159"/>
      <c r="B457" s="59"/>
      <c r="C457" s="24">
        <f t="shared" si="74"/>
        <v>1</v>
      </c>
      <c r="D457" s="719"/>
      <c r="E457" s="24">
        <f t="shared" si="75"/>
        <v>0.06</v>
      </c>
      <c r="F457" s="719"/>
      <c r="G457" s="24">
        <f t="shared" si="76"/>
        <v>0.02</v>
      </c>
      <c r="H457" s="719"/>
      <c r="I457" s="24">
        <f t="shared" si="77"/>
        <v>0.09</v>
      </c>
      <c r="J457" s="719"/>
      <c r="K457" s="24">
        <f t="shared" si="78"/>
        <v>0</v>
      </c>
      <c r="L457" s="719"/>
      <c r="M457" s="24">
        <f t="shared" si="79"/>
        <v>0.2</v>
      </c>
      <c r="N457" s="719"/>
      <c r="O457" s="24">
        <f t="shared" si="80"/>
        <v>0.2</v>
      </c>
      <c r="P457" s="719"/>
      <c r="Q457" s="24">
        <f t="shared" si="81"/>
        <v>0</v>
      </c>
      <c r="R457" s="715">
        <f t="shared" si="82"/>
        <v>0</v>
      </c>
      <c r="S457" s="361">
        <f t="shared" si="83"/>
        <v>0</v>
      </c>
    </row>
    <row r="458" spans="1:19">
      <c r="A458" s="159"/>
      <c r="B458" s="59"/>
      <c r="C458" s="24">
        <f t="shared" si="74"/>
        <v>1</v>
      </c>
      <c r="D458" s="719"/>
      <c r="E458" s="24">
        <f t="shared" si="75"/>
        <v>0.06</v>
      </c>
      <c r="F458" s="719"/>
      <c r="G458" s="24">
        <f t="shared" si="76"/>
        <v>0.02</v>
      </c>
      <c r="H458" s="719"/>
      <c r="I458" s="24">
        <f t="shared" si="77"/>
        <v>0.09</v>
      </c>
      <c r="J458" s="719"/>
      <c r="K458" s="24">
        <f t="shared" si="78"/>
        <v>0</v>
      </c>
      <c r="L458" s="719"/>
      <c r="M458" s="24">
        <f t="shared" si="79"/>
        <v>0.2</v>
      </c>
      <c r="N458" s="719"/>
      <c r="O458" s="24">
        <f t="shared" si="80"/>
        <v>0.2</v>
      </c>
      <c r="P458" s="719"/>
      <c r="Q458" s="24">
        <f t="shared" si="81"/>
        <v>0</v>
      </c>
      <c r="R458" s="715">
        <f t="shared" si="82"/>
        <v>0</v>
      </c>
      <c r="S458" s="361">
        <f t="shared" si="83"/>
        <v>0</v>
      </c>
    </row>
    <row r="459" spans="1:19">
      <c r="A459" s="159"/>
      <c r="B459" s="59"/>
      <c r="C459" s="24">
        <f t="shared" si="74"/>
        <v>1</v>
      </c>
      <c r="D459" s="719"/>
      <c r="E459" s="24">
        <f t="shared" si="75"/>
        <v>0.06</v>
      </c>
      <c r="F459" s="719"/>
      <c r="G459" s="24">
        <f t="shared" si="76"/>
        <v>0.02</v>
      </c>
      <c r="H459" s="719"/>
      <c r="I459" s="24">
        <f t="shared" si="77"/>
        <v>0.09</v>
      </c>
      <c r="J459" s="719"/>
      <c r="K459" s="24">
        <f t="shared" si="78"/>
        <v>0</v>
      </c>
      <c r="L459" s="719"/>
      <c r="M459" s="24">
        <f t="shared" si="79"/>
        <v>0.2</v>
      </c>
      <c r="N459" s="719"/>
      <c r="O459" s="24">
        <f t="shared" si="80"/>
        <v>0.2</v>
      </c>
      <c r="P459" s="719"/>
      <c r="Q459" s="24">
        <f t="shared" si="81"/>
        <v>0</v>
      </c>
      <c r="R459" s="715">
        <f t="shared" si="82"/>
        <v>0</v>
      </c>
      <c r="S459" s="361">
        <f t="shared" si="83"/>
        <v>0</v>
      </c>
    </row>
    <row r="460" spans="1:19">
      <c r="A460" s="159"/>
      <c r="B460" s="59"/>
      <c r="C460" s="24">
        <f t="shared" si="74"/>
        <v>1</v>
      </c>
      <c r="D460" s="719"/>
      <c r="E460" s="24">
        <f t="shared" si="75"/>
        <v>0.06</v>
      </c>
      <c r="F460" s="719"/>
      <c r="G460" s="24">
        <f t="shared" si="76"/>
        <v>0.02</v>
      </c>
      <c r="H460" s="719"/>
      <c r="I460" s="24">
        <f t="shared" si="77"/>
        <v>0.09</v>
      </c>
      <c r="J460" s="719"/>
      <c r="K460" s="24">
        <f t="shared" si="78"/>
        <v>0</v>
      </c>
      <c r="L460" s="719"/>
      <c r="M460" s="24">
        <f t="shared" si="79"/>
        <v>0.2</v>
      </c>
      <c r="N460" s="719"/>
      <c r="O460" s="24">
        <f t="shared" si="80"/>
        <v>0.2</v>
      </c>
      <c r="P460" s="719"/>
      <c r="Q460" s="24">
        <f t="shared" si="81"/>
        <v>0</v>
      </c>
      <c r="R460" s="715">
        <f t="shared" si="82"/>
        <v>0</v>
      </c>
      <c r="S460" s="361">
        <f t="shared" si="83"/>
        <v>0</v>
      </c>
    </row>
    <row r="461" spans="1:19">
      <c r="A461" s="159"/>
      <c r="B461" s="59"/>
      <c r="C461" s="24">
        <f t="shared" si="74"/>
        <v>1</v>
      </c>
      <c r="D461" s="719"/>
      <c r="E461" s="24">
        <f t="shared" si="75"/>
        <v>0.06</v>
      </c>
      <c r="F461" s="719"/>
      <c r="G461" s="24">
        <f t="shared" si="76"/>
        <v>0.02</v>
      </c>
      <c r="H461" s="719"/>
      <c r="I461" s="24">
        <f t="shared" si="77"/>
        <v>0.09</v>
      </c>
      <c r="J461" s="719"/>
      <c r="K461" s="24">
        <f t="shared" si="78"/>
        <v>0</v>
      </c>
      <c r="L461" s="719"/>
      <c r="M461" s="24">
        <f t="shared" si="79"/>
        <v>0.2</v>
      </c>
      <c r="N461" s="719"/>
      <c r="O461" s="24">
        <f t="shared" si="80"/>
        <v>0.2</v>
      </c>
      <c r="P461" s="719"/>
      <c r="Q461" s="24">
        <f t="shared" si="81"/>
        <v>0</v>
      </c>
      <c r="R461" s="715">
        <f t="shared" si="82"/>
        <v>0</v>
      </c>
      <c r="S461" s="361">
        <f t="shared" si="83"/>
        <v>0</v>
      </c>
    </row>
    <row r="462" spans="1:19">
      <c r="A462" s="159"/>
      <c r="B462" s="59"/>
      <c r="C462" s="24">
        <f t="shared" si="74"/>
        <v>1</v>
      </c>
      <c r="D462" s="719"/>
      <c r="E462" s="24">
        <f t="shared" si="75"/>
        <v>0.06</v>
      </c>
      <c r="F462" s="719"/>
      <c r="G462" s="24">
        <f t="shared" si="76"/>
        <v>0.02</v>
      </c>
      <c r="H462" s="719"/>
      <c r="I462" s="24">
        <f t="shared" si="77"/>
        <v>0.09</v>
      </c>
      <c r="J462" s="719"/>
      <c r="K462" s="24">
        <f t="shared" si="78"/>
        <v>0</v>
      </c>
      <c r="L462" s="719"/>
      <c r="M462" s="24">
        <f t="shared" si="79"/>
        <v>0.2</v>
      </c>
      <c r="N462" s="719"/>
      <c r="O462" s="24">
        <f t="shared" si="80"/>
        <v>0.2</v>
      </c>
      <c r="P462" s="719"/>
      <c r="Q462" s="24">
        <f t="shared" si="81"/>
        <v>0</v>
      </c>
      <c r="R462" s="715">
        <f t="shared" si="82"/>
        <v>0</v>
      </c>
      <c r="S462" s="361">
        <f t="shared" si="83"/>
        <v>0</v>
      </c>
    </row>
    <row r="463" spans="1:19">
      <c r="A463" s="159"/>
      <c r="B463" s="59"/>
      <c r="C463" s="24">
        <f t="shared" si="74"/>
        <v>1</v>
      </c>
      <c r="D463" s="719"/>
      <c r="E463" s="24">
        <f t="shared" si="75"/>
        <v>0.06</v>
      </c>
      <c r="F463" s="719"/>
      <c r="G463" s="24">
        <f t="shared" si="76"/>
        <v>0.02</v>
      </c>
      <c r="H463" s="719"/>
      <c r="I463" s="24">
        <f t="shared" si="77"/>
        <v>0.09</v>
      </c>
      <c r="J463" s="719"/>
      <c r="K463" s="24">
        <f t="shared" si="78"/>
        <v>0</v>
      </c>
      <c r="L463" s="719"/>
      <c r="M463" s="24">
        <f t="shared" si="79"/>
        <v>0.2</v>
      </c>
      <c r="N463" s="719"/>
      <c r="O463" s="24">
        <f t="shared" si="80"/>
        <v>0.2</v>
      </c>
      <c r="P463" s="719"/>
      <c r="Q463" s="24">
        <f t="shared" si="81"/>
        <v>0</v>
      </c>
      <c r="R463" s="715">
        <f t="shared" si="82"/>
        <v>0</v>
      </c>
      <c r="S463" s="361">
        <f t="shared" si="83"/>
        <v>0</v>
      </c>
    </row>
    <row r="464" spans="1:19">
      <c r="A464" s="159"/>
      <c r="B464" s="59"/>
      <c r="C464" s="24">
        <f t="shared" si="74"/>
        <v>1</v>
      </c>
      <c r="D464" s="719"/>
      <c r="E464" s="24">
        <f t="shared" si="75"/>
        <v>0.06</v>
      </c>
      <c r="F464" s="719"/>
      <c r="G464" s="24">
        <f t="shared" si="76"/>
        <v>0.02</v>
      </c>
      <c r="H464" s="719"/>
      <c r="I464" s="24">
        <f t="shared" si="77"/>
        <v>0.09</v>
      </c>
      <c r="J464" s="719"/>
      <c r="K464" s="24">
        <f t="shared" si="78"/>
        <v>0</v>
      </c>
      <c r="L464" s="719"/>
      <c r="M464" s="24">
        <f t="shared" si="79"/>
        <v>0.2</v>
      </c>
      <c r="N464" s="719"/>
      <c r="O464" s="24">
        <f t="shared" si="80"/>
        <v>0.2</v>
      </c>
      <c r="P464" s="719"/>
      <c r="Q464" s="24">
        <f t="shared" si="81"/>
        <v>0</v>
      </c>
      <c r="R464" s="715">
        <f t="shared" si="82"/>
        <v>0</v>
      </c>
      <c r="S464" s="361">
        <f t="shared" si="83"/>
        <v>0</v>
      </c>
    </row>
    <row r="465" spans="1:19">
      <c r="A465" s="159"/>
      <c r="B465" s="59"/>
      <c r="C465" s="24">
        <f t="shared" si="74"/>
        <v>1</v>
      </c>
      <c r="D465" s="719"/>
      <c r="E465" s="24">
        <f t="shared" si="75"/>
        <v>0.06</v>
      </c>
      <c r="F465" s="719"/>
      <c r="G465" s="24">
        <f t="shared" si="76"/>
        <v>0.02</v>
      </c>
      <c r="H465" s="719"/>
      <c r="I465" s="24">
        <f t="shared" si="77"/>
        <v>0.09</v>
      </c>
      <c r="J465" s="719"/>
      <c r="K465" s="24">
        <f t="shared" si="78"/>
        <v>0</v>
      </c>
      <c r="L465" s="719"/>
      <c r="M465" s="24">
        <f t="shared" si="79"/>
        <v>0.2</v>
      </c>
      <c r="N465" s="719"/>
      <c r="O465" s="24">
        <f t="shared" si="80"/>
        <v>0.2</v>
      </c>
      <c r="P465" s="719"/>
      <c r="Q465" s="24">
        <f t="shared" si="81"/>
        <v>0</v>
      </c>
      <c r="R465" s="715">
        <f t="shared" si="82"/>
        <v>0</v>
      </c>
      <c r="S465" s="361">
        <f t="shared" si="83"/>
        <v>0</v>
      </c>
    </row>
    <row r="466" spans="1:19">
      <c r="A466" s="159"/>
      <c r="B466" s="59"/>
      <c r="C466" s="24">
        <f t="shared" si="74"/>
        <v>1</v>
      </c>
      <c r="D466" s="719"/>
      <c r="E466" s="24">
        <f t="shared" si="75"/>
        <v>0.06</v>
      </c>
      <c r="F466" s="719"/>
      <c r="G466" s="24">
        <f t="shared" si="76"/>
        <v>0.02</v>
      </c>
      <c r="H466" s="719"/>
      <c r="I466" s="24">
        <f t="shared" si="77"/>
        <v>0.09</v>
      </c>
      <c r="J466" s="719"/>
      <c r="K466" s="24">
        <f t="shared" si="78"/>
        <v>0</v>
      </c>
      <c r="L466" s="719"/>
      <c r="M466" s="24">
        <f t="shared" si="79"/>
        <v>0.2</v>
      </c>
      <c r="N466" s="719"/>
      <c r="O466" s="24">
        <f t="shared" si="80"/>
        <v>0.2</v>
      </c>
      <c r="P466" s="719"/>
      <c r="Q466" s="24">
        <f t="shared" si="81"/>
        <v>0</v>
      </c>
      <c r="R466" s="715">
        <f t="shared" si="82"/>
        <v>0</v>
      </c>
      <c r="S466" s="361">
        <f t="shared" si="83"/>
        <v>0</v>
      </c>
    </row>
    <row r="467" spans="1:19">
      <c r="A467" s="159"/>
      <c r="B467" s="59"/>
      <c r="C467" s="24">
        <f t="shared" si="74"/>
        <v>1</v>
      </c>
      <c r="D467" s="719"/>
      <c r="E467" s="24">
        <f t="shared" si="75"/>
        <v>0.06</v>
      </c>
      <c r="F467" s="719"/>
      <c r="G467" s="24">
        <f t="shared" si="76"/>
        <v>0.02</v>
      </c>
      <c r="H467" s="719"/>
      <c r="I467" s="24">
        <f t="shared" si="77"/>
        <v>0.09</v>
      </c>
      <c r="J467" s="719"/>
      <c r="K467" s="24">
        <f t="shared" si="78"/>
        <v>0</v>
      </c>
      <c r="L467" s="719"/>
      <c r="M467" s="24">
        <f t="shared" si="79"/>
        <v>0.2</v>
      </c>
      <c r="N467" s="719"/>
      <c r="O467" s="24">
        <f t="shared" si="80"/>
        <v>0.2</v>
      </c>
      <c r="P467" s="719"/>
      <c r="Q467" s="24">
        <f t="shared" si="81"/>
        <v>0</v>
      </c>
      <c r="R467" s="715">
        <f t="shared" si="82"/>
        <v>0</v>
      </c>
      <c r="S467" s="361">
        <f t="shared" si="83"/>
        <v>0</v>
      </c>
    </row>
    <row r="468" spans="1:19">
      <c r="A468" s="159"/>
      <c r="B468" s="59"/>
      <c r="C468" s="24">
        <f t="shared" si="74"/>
        <v>1</v>
      </c>
      <c r="D468" s="719"/>
      <c r="E468" s="24">
        <f t="shared" si="75"/>
        <v>0.06</v>
      </c>
      <c r="F468" s="719"/>
      <c r="G468" s="24">
        <f t="shared" si="76"/>
        <v>0.02</v>
      </c>
      <c r="H468" s="719"/>
      <c r="I468" s="24">
        <f t="shared" si="77"/>
        <v>0.09</v>
      </c>
      <c r="J468" s="719"/>
      <c r="K468" s="24">
        <f t="shared" si="78"/>
        <v>0</v>
      </c>
      <c r="L468" s="719"/>
      <c r="M468" s="24">
        <f t="shared" si="79"/>
        <v>0.2</v>
      </c>
      <c r="N468" s="719"/>
      <c r="O468" s="24">
        <f t="shared" si="80"/>
        <v>0.2</v>
      </c>
      <c r="P468" s="719"/>
      <c r="Q468" s="24">
        <f t="shared" si="81"/>
        <v>0</v>
      </c>
      <c r="R468" s="715">
        <f t="shared" si="82"/>
        <v>0</v>
      </c>
      <c r="S468" s="361">
        <f t="shared" ref="S468:S497" si="84">ROUND(R468*B468/10000,0)</f>
        <v>0</v>
      </c>
    </row>
    <row r="469" spans="1:19">
      <c r="A469" s="159"/>
      <c r="B469" s="59"/>
      <c r="C469" s="24">
        <f t="shared" si="74"/>
        <v>1</v>
      </c>
      <c r="D469" s="719"/>
      <c r="E469" s="24">
        <f t="shared" si="75"/>
        <v>0.06</v>
      </c>
      <c r="F469" s="719"/>
      <c r="G469" s="24">
        <f t="shared" si="76"/>
        <v>0.02</v>
      </c>
      <c r="H469" s="719"/>
      <c r="I469" s="24">
        <f t="shared" si="77"/>
        <v>0.09</v>
      </c>
      <c r="J469" s="719"/>
      <c r="K469" s="24">
        <f t="shared" si="78"/>
        <v>0</v>
      </c>
      <c r="L469" s="719"/>
      <c r="M469" s="24">
        <f t="shared" si="79"/>
        <v>0.2</v>
      </c>
      <c r="N469" s="719"/>
      <c r="O469" s="24">
        <f t="shared" si="80"/>
        <v>0.2</v>
      </c>
      <c r="P469" s="719"/>
      <c r="Q469" s="24">
        <f t="shared" si="81"/>
        <v>0</v>
      </c>
      <c r="R469" s="715">
        <f t="shared" si="82"/>
        <v>0</v>
      </c>
      <c r="S469" s="361">
        <f t="shared" si="84"/>
        <v>0</v>
      </c>
    </row>
    <row r="470" spans="1:19">
      <c r="A470" s="159"/>
      <c r="B470" s="59"/>
      <c r="C470" s="24">
        <f t="shared" si="74"/>
        <v>1</v>
      </c>
      <c r="D470" s="719"/>
      <c r="E470" s="24">
        <f t="shared" si="75"/>
        <v>0.06</v>
      </c>
      <c r="F470" s="719"/>
      <c r="G470" s="24">
        <f t="shared" si="76"/>
        <v>0.02</v>
      </c>
      <c r="H470" s="719"/>
      <c r="I470" s="24">
        <f t="shared" si="77"/>
        <v>0.09</v>
      </c>
      <c r="J470" s="719"/>
      <c r="K470" s="24">
        <f t="shared" si="78"/>
        <v>0</v>
      </c>
      <c r="L470" s="719"/>
      <c r="M470" s="24">
        <f t="shared" si="79"/>
        <v>0.2</v>
      </c>
      <c r="N470" s="719"/>
      <c r="O470" s="24">
        <f t="shared" si="80"/>
        <v>0.2</v>
      </c>
      <c r="P470" s="719"/>
      <c r="Q470" s="24">
        <f t="shared" si="81"/>
        <v>0</v>
      </c>
      <c r="R470" s="715">
        <f t="shared" si="82"/>
        <v>0</v>
      </c>
      <c r="S470" s="361">
        <f t="shared" si="84"/>
        <v>0</v>
      </c>
    </row>
    <row r="471" spans="1:19">
      <c r="A471" s="159"/>
      <c r="B471" s="59"/>
      <c r="C471" s="24">
        <f t="shared" si="74"/>
        <v>1</v>
      </c>
      <c r="D471" s="719"/>
      <c r="E471" s="24">
        <f t="shared" si="75"/>
        <v>0.06</v>
      </c>
      <c r="F471" s="719"/>
      <c r="G471" s="24">
        <f t="shared" si="76"/>
        <v>0.02</v>
      </c>
      <c r="H471" s="719"/>
      <c r="I471" s="24">
        <f t="shared" si="77"/>
        <v>0.09</v>
      </c>
      <c r="J471" s="719"/>
      <c r="K471" s="24">
        <f t="shared" si="78"/>
        <v>0</v>
      </c>
      <c r="L471" s="719"/>
      <c r="M471" s="24">
        <f t="shared" si="79"/>
        <v>0.2</v>
      </c>
      <c r="N471" s="719"/>
      <c r="O471" s="24">
        <f t="shared" si="80"/>
        <v>0.2</v>
      </c>
      <c r="P471" s="719"/>
      <c r="Q471" s="24">
        <f t="shared" si="81"/>
        <v>0</v>
      </c>
      <c r="R471" s="715">
        <f t="shared" si="82"/>
        <v>0</v>
      </c>
      <c r="S471" s="361">
        <f t="shared" si="84"/>
        <v>0</v>
      </c>
    </row>
    <row r="472" spans="1:19">
      <c r="A472" s="159"/>
      <c r="B472" s="59"/>
      <c r="C472" s="24">
        <f t="shared" si="74"/>
        <v>1</v>
      </c>
      <c r="D472" s="719"/>
      <c r="E472" s="24">
        <f t="shared" si="75"/>
        <v>0.06</v>
      </c>
      <c r="F472" s="719"/>
      <c r="G472" s="24">
        <f t="shared" si="76"/>
        <v>0.02</v>
      </c>
      <c r="H472" s="719"/>
      <c r="I472" s="24">
        <f t="shared" si="77"/>
        <v>0.09</v>
      </c>
      <c r="J472" s="719"/>
      <c r="K472" s="24">
        <f t="shared" si="78"/>
        <v>0</v>
      </c>
      <c r="L472" s="719"/>
      <c r="M472" s="24">
        <f t="shared" si="79"/>
        <v>0.2</v>
      </c>
      <c r="N472" s="719"/>
      <c r="O472" s="24">
        <f t="shared" si="80"/>
        <v>0.2</v>
      </c>
      <c r="P472" s="719"/>
      <c r="Q472" s="24">
        <f t="shared" si="81"/>
        <v>0</v>
      </c>
      <c r="R472" s="715">
        <f t="shared" si="82"/>
        <v>0</v>
      </c>
      <c r="S472" s="361">
        <f t="shared" si="84"/>
        <v>0</v>
      </c>
    </row>
    <row r="473" spans="1:19">
      <c r="A473" s="159"/>
      <c r="B473" s="59"/>
      <c r="C473" s="24">
        <f t="shared" si="74"/>
        <v>1</v>
      </c>
      <c r="D473" s="719"/>
      <c r="E473" s="24">
        <f t="shared" si="75"/>
        <v>0.06</v>
      </c>
      <c r="F473" s="719"/>
      <c r="G473" s="24">
        <f t="shared" si="76"/>
        <v>0.02</v>
      </c>
      <c r="H473" s="719"/>
      <c r="I473" s="24">
        <f t="shared" si="77"/>
        <v>0.09</v>
      </c>
      <c r="J473" s="719"/>
      <c r="K473" s="24">
        <f t="shared" si="78"/>
        <v>0</v>
      </c>
      <c r="L473" s="719"/>
      <c r="M473" s="24">
        <f t="shared" si="79"/>
        <v>0.2</v>
      </c>
      <c r="N473" s="719"/>
      <c r="O473" s="24">
        <f t="shared" si="80"/>
        <v>0.2</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0.06</v>
      </c>
      <c r="F474" s="719"/>
      <c r="G474" s="24">
        <f t="shared" ref="G474:G524" si="87">(SUMIF($7:$7,F474,$8:$8)-SUMIF($7:$7,$F$24,$8:$8)+100)/100</f>
        <v>0.02</v>
      </c>
      <c r="H474" s="719"/>
      <c r="I474" s="24">
        <f t="shared" ref="I474:I524" si="88">(SUMIF($9:$9,H474,$10:$10)-SUMIF($9:$9,$H$24,$10:$10)+100)/100</f>
        <v>0.09</v>
      </c>
      <c r="J474" s="719"/>
      <c r="K474" s="24">
        <f t="shared" ref="K474:K524" si="89">(SUMIF($11:$11,J474,$12:$12)-SUMIF($11:$11,$J$24,$12:$12)+100)/100</f>
        <v>0</v>
      </c>
      <c r="L474" s="719"/>
      <c r="M474" s="24">
        <f t="shared" ref="M474:M524" si="90">(SUMIF($13:$13,L474,$14:$14)-SUMIF($13:$13,$L$24,$14:$14)+100)/100</f>
        <v>0.2</v>
      </c>
      <c r="N474" s="719"/>
      <c r="O474" s="24">
        <f t="shared" ref="O474:O524" si="91">(SUMIF($15:$15,N474,$16:$16)-SUMIF($15:$15,$N$24,$16:$16)+100)/100</f>
        <v>0.2</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0.06</v>
      </c>
      <c r="F475" s="719"/>
      <c r="G475" s="24">
        <f t="shared" si="87"/>
        <v>0.02</v>
      </c>
      <c r="H475" s="719"/>
      <c r="I475" s="24">
        <f t="shared" si="88"/>
        <v>0.09</v>
      </c>
      <c r="J475" s="719"/>
      <c r="K475" s="24">
        <f t="shared" si="89"/>
        <v>0</v>
      </c>
      <c r="L475" s="719"/>
      <c r="M475" s="24">
        <f t="shared" si="90"/>
        <v>0.2</v>
      </c>
      <c r="N475" s="719"/>
      <c r="O475" s="24">
        <f t="shared" si="91"/>
        <v>0.2</v>
      </c>
      <c r="P475" s="719"/>
      <c r="Q475" s="24">
        <f t="shared" si="92"/>
        <v>0</v>
      </c>
      <c r="R475" s="715">
        <f t="shared" si="93"/>
        <v>0</v>
      </c>
      <c r="S475" s="361">
        <f t="shared" si="84"/>
        <v>0</v>
      </c>
    </row>
    <row r="476" spans="1:19">
      <c r="A476" s="159"/>
      <c r="B476" s="59"/>
      <c r="C476" s="24">
        <f t="shared" si="85"/>
        <v>1</v>
      </c>
      <c r="D476" s="719"/>
      <c r="E476" s="24">
        <f t="shared" si="86"/>
        <v>0.06</v>
      </c>
      <c r="F476" s="719"/>
      <c r="G476" s="24">
        <f t="shared" si="87"/>
        <v>0.02</v>
      </c>
      <c r="H476" s="719"/>
      <c r="I476" s="24">
        <f t="shared" si="88"/>
        <v>0.09</v>
      </c>
      <c r="J476" s="719"/>
      <c r="K476" s="24">
        <f t="shared" si="89"/>
        <v>0</v>
      </c>
      <c r="L476" s="719"/>
      <c r="M476" s="24">
        <f t="shared" si="90"/>
        <v>0.2</v>
      </c>
      <c r="N476" s="719"/>
      <c r="O476" s="24">
        <f t="shared" si="91"/>
        <v>0.2</v>
      </c>
      <c r="P476" s="719"/>
      <c r="Q476" s="24">
        <f t="shared" si="92"/>
        <v>0</v>
      </c>
      <c r="R476" s="715">
        <f t="shared" si="93"/>
        <v>0</v>
      </c>
      <c r="S476" s="361">
        <f t="shared" si="84"/>
        <v>0</v>
      </c>
    </row>
    <row r="477" spans="1:19">
      <c r="A477" s="159"/>
      <c r="B477" s="59"/>
      <c r="C477" s="24">
        <f t="shared" si="85"/>
        <v>1</v>
      </c>
      <c r="D477" s="719"/>
      <c r="E477" s="24">
        <f t="shared" si="86"/>
        <v>0.06</v>
      </c>
      <c r="F477" s="719"/>
      <c r="G477" s="24">
        <f t="shared" si="87"/>
        <v>0.02</v>
      </c>
      <c r="H477" s="719"/>
      <c r="I477" s="24">
        <f t="shared" si="88"/>
        <v>0.09</v>
      </c>
      <c r="J477" s="719"/>
      <c r="K477" s="24">
        <f t="shared" si="89"/>
        <v>0</v>
      </c>
      <c r="L477" s="719"/>
      <c r="M477" s="24">
        <f t="shared" si="90"/>
        <v>0.2</v>
      </c>
      <c r="N477" s="719"/>
      <c r="O477" s="24">
        <f t="shared" si="91"/>
        <v>0.2</v>
      </c>
      <c r="P477" s="719"/>
      <c r="Q477" s="24">
        <f t="shared" si="92"/>
        <v>0</v>
      </c>
      <c r="R477" s="715">
        <f t="shared" si="93"/>
        <v>0</v>
      </c>
      <c r="S477" s="361">
        <f t="shared" si="84"/>
        <v>0</v>
      </c>
    </row>
    <row r="478" spans="1:19">
      <c r="A478" s="159"/>
      <c r="B478" s="59"/>
      <c r="C478" s="24">
        <f t="shared" si="85"/>
        <v>1</v>
      </c>
      <c r="D478" s="719"/>
      <c r="E478" s="24">
        <f t="shared" si="86"/>
        <v>0.06</v>
      </c>
      <c r="F478" s="719"/>
      <c r="G478" s="24">
        <f t="shared" si="87"/>
        <v>0.02</v>
      </c>
      <c r="H478" s="719"/>
      <c r="I478" s="24">
        <f t="shared" si="88"/>
        <v>0.09</v>
      </c>
      <c r="J478" s="719"/>
      <c r="K478" s="24">
        <f t="shared" si="89"/>
        <v>0</v>
      </c>
      <c r="L478" s="719"/>
      <c r="M478" s="24">
        <f t="shared" si="90"/>
        <v>0.2</v>
      </c>
      <c r="N478" s="719"/>
      <c r="O478" s="24">
        <f t="shared" si="91"/>
        <v>0.2</v>
      </c>
      <c r="P478" s="719"/>
      <c r="Q478" s="24">
        <f t="shared" si="92"/>
        <v>0</v>
      </c>
      <c r="R478" s="715">
        <f t="shared" si="93"/>
        <v>0</v>
      </c>
      <c r="S478" s="361">
        <f t="shared" si="84"/>
        <v>0</v>
      </c>
    </row>
    <row r="479" spans="1:19">
      <c r="A479" s="159"/>
      <c r="B479" s="59"/>
      <c r="C479" s="24">
        <f t="shared" si="85"/>
        <v>1</v>
      </c>
      <c r="D479" s="719"/>
      <c r="E479" s="24">
        <f t="shared" si="86"/>
        <v>0.06</v>
      </c>
      <c r="F479" s="719"/>
      <c r="G479" s="24">
        <f t="shared" si="87"/>
        <v>0.02</v>
      </c>
      <c r="H479" s="719"/>
      <c r="I479" s="24">
        <f t="shared" si="88"/>
        <v>0.09</v>
      </c>
      <c r="J479" s="719"/>
      <c r="K479" s="24">
        <f t="shared" si="89"/>
        <v>0</v>
      </c>
      <c r="L479" s="719"/>
      <c r="M479" s="24">
        <f t="shared" si="90"/>
        <v>0.2</v>
      </c>
      <c r="N479" s="719"/>
      <c r="O479" s="24">
        <f t="shared" si="91"/>
        <v>0.2</v>
      </c>
      <c r="P479" s="719"/>
      <c r="Q479" s="24">
        <f t="shared" si="92"/>
        <v>0</v>
      </c>
      <c r="R479" s="715">
        <f t="shared" si="93"/>
        <v>0</v>
      </c>
      <c r="S479" s="361">
        <f t="shared" si="84"/>
        <v>0</v>
      </c>
    </row>
    <row r="480" spans="1:19">
      <c r="A480" s="159"/>
      <c r="B480" s="59"/>
      <c r="C480" s="24">
        <f t="shared" si="85"/>
        <v>1</v>
      </c>
      <c r="D480" s="719"/>
      <c r="E480" s="24">
        <f t="shared" si="86"/>
        <v>0.06</v>
      </c>
      <c r="F480" s="719"/>
      <c r="G480" s="24">
        <f t="shared" si="87"/>
        <v>0.02</v>
      </c>
      <c r="H480" s="719"/>
      <c r="I480" s="24">
        <f t="shared" si="88"/>
        <v>0.09</v>
      </c>
      <c r="J480" s="719"/>
      <c r="K480" s="24">
        <f t="shared" si="89"/>
        <v>0</v>
      </c>
      <c r="L480" s="719"/>
      <c r="M480" s="24">
        <f t="shared" si="90"/>
        <v>0.2</v>
      </c>
      <c r="N480" s="719"/>
      <c r="O480" s="24">
        <f t="shared" si="91"/>
        <v>0.2</v>
      </c>
      <c r="P480" s="719"/>
      <c r="Q480" s="24">
        <f t="shared" si="92"/>
        <v>0</v>
      </c>
      <c r="R480" s="715">
        <f t="shared" si="93"/>
        <v>0</v>
      </c>
      <c r="S480" s="361">
        <f t="shared" si="84"/>
        <v>0</v>
      </c>
    </row>
    <row r="481" spans="1:19">
      <c r="A481" s="159"/>
      <c r="B481" s="59"/>
      <c r="C481" s="24">
        <f t="shared" si="85"/>
        <v>1</v>
      </c>
      <c r="D481" s="719"/>
      <c r="E481" s="24">
        <f t="shared" si="86"/>
        <v>0.06</v>
      </c>
      <c r="F481" s="719"/>
      <c r="G481" s="24">
        <f t="shared" si="87"/>
        <v>0.02</v>
      </c>
      <c r="H481" s="719"/>
      <c r="I481" s="24">
        <f t="shared" si="88"/>
        <v>0.09</v>
      </c>
      <c r="J481" s="719"/>
      <c r="K481" s="24">
        <f t="shared" si="89"/>
        <v>0</v>
      </c>
      <c r="L481" s="719"/>
      <c r="M481" s="24">
        <f t="shared" si="90"/>
        <v>0.2</v>
      </c>
      <c r="N481" s="719"/>
      <c r="O481" s="24">
        <f t="shared" si="91"/>
        <v>0.2</v>
      </c>
      <c r="P481" s="719"/>
      <c r="Q481" s="24">
        <f t="shared" si="92"/>
        <v>0</v>
      </c>
      <c r="R481" s="715">
        <f t="shared" si="93"/>
        <v>0</v>
      </c>
      <c r="S481" s="361">
        <f t="shared" si="84"/>
        <v>0</v>
      </c>
    </row>
    <row r="482" spans="1:19">
      <c r="A482" s="159"/>
      <c r="B482" s="59"/>
      <c r="C482" s="24">
        <f t="shared" si="85"/>
        <v>1</v>
      </c>
      <c r="D482" s="719"/>
      <c r="E482" s="24">
        <f t="shared" si="86"/>
        <v>0.06</v>
      </c>
      <c r="F482" s="719"/>
      <c r="G482" s="24">
        <f t="shared" si="87"/>
        <v>0.02</v>
      </c>
      <c r="H482" s="719"/>
      <c r="I482" s="24">
        <f t="shared" si="88"/>
        <v>0.09</v>
      </c>
      <c r="J482" s="719"/>
      <c r="K482" s="24">
        <f t="shared" si="89"/>
        <v>0</v>
      </c>
      <c r="L482" s="719"/>
      <c r="M482" s="24">
        <f t="shared" si="90"/>
        <v>0.2</v>
      </c>
      <c r="N482" s="719"/>
      <c r="O482" s="24">
        <f t="shared" si="91"/>
        <v>0.2</v>
      </c>
      <c r="P482" s="719"/>
      <c r="Q482" s="24">
        <f t="shared" si="92"/>
        <v>0</v>
      </c>
      <c r="R482" s="715">
        <f t="shared" si="93"/>
        <v>0</v>
      </c>
      <c r="S482" s="361">
        <f t="shared" si="84"/>
        <v>0</v>
      </c>
    </row>
    <row r="483" spans="1:19">
      <c r="A483" s="159"/>
      <c r="B483" s="59"/>
      <c r="C483" s="24">
        <f t="shared" si="85"/>
        <v>1</v>
      </c>
      <c r="D483" s="719"/>
      <c r="E483" s="24">
        <f t="shared" si="86"/>
        <v>0.06</v>
      </c>
      <c r="F483" s="719"/>
      <c r="G483" s="24">
        <f t="shared" si="87"/>
        <v>0.02</v>
      </c>
      <c r="H483" s="719"/>
      <c r="I483" s="24">
        <f t="shared" si="88"/>
        <v>0.09</v>
      </c>
      <c r="J483" s="719"/>
      <c r="K483" s="24">
        <f t="shared" si="89"/>
        <v>0</v>
      </c>
      <c r="L483" s="719"/>
      <c r="M483" s="24">
        <f t="shared" si="90"/>
        <v>0.2</v>
      </c>
      <c r="N483" s="719"/>
      <c r="O483" s="24">
        <f t="shared" si="91"/>
        <v>0.2</v>
      </c>
      <c r="P483" s="719"/>
      <c r="Q483" s="24">
        <f t="shared" si="92"/>
        <v>0</v>
      </c>
      <c r="R483" s="715">
        <f t="shared" si="93"/>
        <v>0</v>
      </c>
      <c r="S483" s="361">
        <f t="shared" si="84"/>
        <v>0</v>
      </c>
    </row>
    <row r="484" spans="1:19">
      <c r="A484" s="159"/>
      <c r="B484" s="59"/>
      <c r="C484" s="24">
        <f t="shared" si="85"/>
        <v>1</v>
      </c>
      <c r="D484" s="719"/>
      <c r="E484" s="24">
        <f t="shared" si="86"/>
        <v>0.06</v>
      </c>
      <c r="F484" s="719"/>
      <c r="G484" s="24">
        <f t="shared" si="87"/>
        <v>0.02</v>
      </c>
      <c r="H484" s="719"/>
      <c r="I484" s="24">
        <f t="shared" si="88"/>
        <v>0.09</v>
      </c>
      <c r="J484" s="719"/>
      <c r="K484" s="24">
        <f t="shared" si="89"/>
        <v>0</v>
      </c>
      <c r="L484" s="719"/>
      <c r="M484" s="24">
        <f t="shared" si="90"/>
        <v>0.2</v>
      </c>
      <c r="N484" s="719"/>
      <c r="O484" s="24">
        <f t="shared" si="91"/>
        <v>0.2</v>
      </c>
      <c r="P484" s="719"/>
      <c r="Q484" s="24">
        <f t="shared" si="92"/>
        <v>0</v>
      </c>
      <c r="R484" s="715">
        <f t="shared" si="93"/>
        <v>0</v>
      </c>
      <c r="S484" s="361">
        <f t="shared" si="84"/>
        <v>0</v>
      </c>
    </row>
    <row r="485" spans="1:19">
      <c r="A485" s="159"/>
      <c r="B485" s="59"/>
      <c r="C485" s="24">
        <f t="shared" si="85"/>
        <v>1</v>
      </c>
      <c r="D485" s="719"/>
      <c r="E485" s="24">
        <f t="shared" si="86"/>
        <v>0.06</v>
      </c>
      <c r="F485" s="719"/>
      <c r="G485" s="24">
        <f t="shared" si="87"/>
        <v>0.02</v>
      </c>
      <c r="H485" s="719"/>
      <c r="I485" s="24">
        <f t="shared" si="88"/>
        <v>0.09</v>
      </c>
      <c r="J485" s="719"/>
      <c r="K485" s="24">
        <f t="shared" si="89"/>
        <v>0</v>
      </c>
      <c r="L485" s="719"/>
      <c r="M485" s="24">
        <f t="shared" si="90"/>
        <v>0.2</v>
      </c>
      <c r="N485" s="719"/>
      <c r="O485" s="24">
        <f t="shared" si="91"/>
        <v>0.2</v>
      </c>
      <c r="P485" s="719"/>
      <c r="Q485" s="24">
        <f t="shared" si="92"/>
        <v>0</v>
      </c>
      <c r="R485" s="715">
        <f t="shared" si="93"/>
        <v>0</v>
      </c>
      <c r="S485" s="361">
        <f t="shared" si="84"/>
        <v>0</v>
      </c>
    </row>
    <row r="486" spans="1:19">
      <c r="A486" s="159"/>
      <c r="B486" s="59"/>
      <c r="C486" s="24">
        <f t="shared" si="85"/>
        <v>1</v>
      </c>
      <c r="D486" s="719"/>
      <c r="E486" s="24">
        <f t="shared" si="86"/>
        <v>0.06</v>
      </c>
      <c r="F486" s="719"/>
      <c r="G486" s="24">
        <f t="shared" si="87"/>
        <v>0.02</v>
      </c>
      <c r="H486" s="719"/>
      <c r="I486" s="24">
        <f t="shared" si="88"/>
        <v>0.09</v>
      </c>
      <c r="J486" s="719"/>
      <c r="K486" s="24">
        <f t="shared" si="89"/>
        <v>0</v>
      </c>
      <c r="L486" s="719"/>
      <c r="M486" s="24">
        <f t="shared" si="90"/>
        <v>0.2</v>
      </c>
      <c r="N486" s="719"/>
      <c r="O486" s="24">
        <f t="shared" si="91"/>
        <v>0.2</v>
      </c>
      <c r="P486" s="719"/>
      <c r="Q486" s="24">
        <f t="shared" si="92"/>
        <v>0</v>
      </c>
      <c r="R486" s="715">
        <f t="shared" si="93"/>
        <v>0</v>
      </c>
      <c r="S486" s="361">
        <f t="shared" si="84"/>
        <v>0</v>
      </c>
    </row>
    <row r="487" spans="1:19">
      <c r="A487" s="159"/>
      <c r="B487" s="59"/>
      <c r="C487" s="24">
        <f t="shared" si="85"/>
        <v>1</v>
      </c>
      <c r="D487" s="719"/>
      <c r="E487" s="24">
        <f t="shared" si="86"/>
        <v>0.06</v>
      </c>
      <c r="F487" s="719"/>
      <c r="G487" s="24">
        <f t="shared" si="87"/>
        <v>0.02</v>
      </c>
      <c r="H487" s="719"/>
      <c r="I487" s="24">
        <f t="shared" si="88"/>
        <v>0.09</v>
      </c>
      <c r="J487" s="719"/>
      <c r="K487" s="24">
        <f t="shared" si="89"/>
        <v>0</v>
      </c>
      <c r="L487" s="719"/>
      <c r="M487" s="24">
        <f t="shared" si="90"/>
        <v>0.2</v>
      </c>
      <c r="N487" s="719"/>
      <c r="O487" s="24">
        <f t="shared" si="91"/>
        <v>0.2</v>
      </c>
      <c r="P487" s="719"/>
      <c r="Q487" s="24">
        <f t="shared" si="92"/>
        <v>0</v>
      </c>
      <c r="R487" s="715">
        <f t="shared" si="93"/>
        <v>0</v>
      </c>
      <c r="S487" s="361">
        <f t="shared" si="84"/>
        <v>0</v>
      </c>
    </row>
    <row r="488" spans="1:19">
      <c r="A488" s="159"/>
      <c r="B488" s="59"/>
      <c r="C488" s="24">
        <f t="shared" si="85"/>
        <v>1</v>
      </c>
      <c r="D488" s="719"/>
      <c r="E488" s="24">
        <f t="shared" si="86"/>
        <v>0.06</v>
      </c>
      <c r="F488" s="719"/>
      <c r="G488" s="24">
        <f t="shared" si="87"/>
        <v>0.02</v>
      </c>
      <c r="H488" s="719"/>
      <c r="I488" s="24">
        <f t="shared" si="88"/>
        <v>0.09</v>
      </c>
      <c r="J488" s="719"/>
      <c r="K488" s="24">
        <f t="shared" si="89"/>
        <v>0</v>
      </c>
      <c r="L488" s="719"/>
      <c r="M488" s="24">
        <f t="shared" si="90"/>
        <v>0.2</v>
      </c>
      <c r="N488" s="719"/>
      <c r="O488" s="24">
        <f t="shared" si="91"/>
        <v>0.2</v>
      </c>
      <c r="P488" s="719"/>
      <c r="Q488" s="24">
        <f t="shared" si="92"/>
        <v>0</v>
      </c>
      <c r="R488" s="715">
        <f t="shared" si="93"/>
        <v>0</v>
      </c>
      <c r="S488" s="361">
        <f t="shared" si="84"/>
        <v>0</v>
      </c>
    </row>
    <row r="489" spans="1:19">
      <c r="A489" s="159"/>
      <c r="B489" s="59"/>
      <c r="C489" s="24">
        <f t="shared" si="85"/>
        <v>1</v>
      </c>
      <c r="D489" s="719"/>
      <c r="E489" s="24">
        <f t="shared" si="86"/>
        <v>0.06</v>
      </c>
      <c r="F489" s="719"/>
      <c r="G489" s="24">
        <f t="shared" si="87"/>
        <v>0.02</v>
      </c>
      <c r="H489" s="719"/>
      <c r="I489" s="24">
        <f t="shared" si="88"/>
        <v>0.09</v>
      </c>
      <c r="J489" s="719"/>
      <c r="K489" s="24">
        <f t="shared" si="89"/>
        <v>0</v>
      </c>
      <c r="L489" s="719"/>
      <c r="M489" s="24">
        <f t="shared" si="90"/>
        <v>0.2</v>
      </c>
      <c r="N489" s="719"/>
      <c r="O489" s="24">
        <f t="shared" si="91"/>
        <v>0.2</v>
      </c>
      <c r="P489" s="719"/>
      <c r="Q489" s="24">
        <f t="shared" si="92"/>
        <v>0</v>
      </c>
      <c r="R489" s="715">
        <f t="shared" si="93"/>
        <v>0</v>
      </c>
      <c r="S489" s="361">
        <f t="shared" si="84"/>
        <v>0</v>
      </c>
    </row>
    <row r="490" spans="1:19">
      <c r="A490" s="159"/>
      <c r="B490" s="59"/>
      <c r="C490" s="24">
        <f t="shared" si="85"/>
        <v>1</v>
      </c>
      <c r="D490" s="719"/>
      <c r="E490" s="24">
        <f t="shared" si="86"/>
        <v>0.06</v>
      </c>
      <c r="F490" s="719"/>
      <c r="G490" s="24">
        <f t="shared" si="87"/>
        <v>0.02</v>
      </c>
      <c r="H490" s="719"/>
      <c r="I490" s="24">
        <f t="shared" si="88"/>
        <v>0.09</v>
      </c>
      <c r="J490" s="719"/>
      <c r="K490" s="24">
        <f t="shared" si="89"/>
        <v>0</v>
      </c>
      <c r="L490" s="719"/>
      <c r="M490" s="24">
        <f t="shared" si="90"/>
        <v>0.2</v>
      </c>
      <c r="N490" s="719"/>
      <c r="O490" s="24">
        <f t="shared" si="91"/>
        <v>0.2</v>
      </c>
      <c r="P490" s="719"/>
      <c r="Q490" s="24">
        <f t="shared" si="92"/>
        <v>0</v>
      </c>
      <c r="R490" s="715">
        <f t="shared" si="93"/>
        <v>0</v>
      </c>
      <c r="S490" s="361">
        <f t="shared" si="84"/>
        <v>0</v>
      </c>
    </row>
    <row r="491" spans="1:19">
      <c r="A491" s="159"/>
      <c r="B491" s="59"/>
      <c r="C491" s="24">
        <f t="shared" si="85"/>
        <v>1</v>
      </c>
      <c r="D491" s="719"/>
      <c r="E491" s="24">
        <f t="shared" si="86"/>
        <v>0.06</v>
      </c>
      <c r="F491" s="719"/>
      <c r="G491" s="24">
        <f t="shared" si="87"/>
        <v>0.02</v>
      </c>
      <c r="H491" s="719"/>
      <c r="I491" s="24">
        <f t="shared" si="88"/>
        <v>0.09</v>
      </c>
      <c r="J491" s="719"/>
      <c r="K491" s="24">
        <f t="shared" si="89"/>
        <v>0</v>
      </c>
      <c r="L491" s="719"/>
      <c r="M491" s="24">
        <f t="shared" si="90"/>
        <v>0.2</v>
      </c>
      <c r="N491" s="719"/>
      <c r="O491" s="24">
        <f t="shared" si="91"/>
        <v>0.2</v>
      </c>
      <c r="P491" s="719"/>
      <c r="Q491" s="24">
        <f t="shared" si="92"/>
        <v>0</v>
      </c>
      <c r="R491" s="715">
        <f t="shared" si="93"/>
        <v>0</v>
      </c>
      <c r="S491" s="361">
        <f t="shared" si="84"/>
        <v>0</v>
      </c>
    </row>
    <row r="492" spans="1:19">
      <c r="A492" s="159"/>
      <c r="B492" s="59"/>
      <c r="C492" s="24">
        <f t="shared" si="85"/>
        <v>1</v>
      </c>
      <c r="D492" s="719"/>
      <c r="E492" s="24">
        <f t="shared" si="86"/>
        <v>0.06</v>
      </c>
      <c r="F492" s="719"/>
      <c r="G492" s="24">
        <f t="shared" si="87"/>
        <v>0.02</v>
      </c>
      <c r="H492" s="719"/>
      <c r="I492" s="24">
        <f t="shared" si="88"/>
        <v>0.09</v>
      </c>
      <c r="J492" s="719"/>
      <c r="K492" s="24">
        <f t="shared" si="89"/>
        <v>0</v>
      </c>
      <c r="L492" s="719"/>
      <c r="M492" s="24">
        <f t="shared" si="90"/>
        <v>0.2</v>
      </c>
      <c r="N492" s="719"/>
      <c r="O492" s="24">
        <f t="shared" si="91"/>
        <v>0.2</v>
      </c>
      <c r="P492" s="719"/>
      <c r="Q492" s="24">
        <f t="shared" si="92"/>
        <v>0</v>
      </c>
      <c r="R492" s="715">
        <f t="shared" si="93"/>
        <v>0</v>
      </c>
      <c r="S492" s="361">
        <f t="shared" si="84"/>
        <v>0</v>
      </c>
    </row>
    <row r="493" spans="1:19">
      <c r="A493" s="159"/>
      <c r="B493" s="59"/>
      <c r="C493" s="24">
        <f t="shared" si="85"/>
        <v>1</v>
      </c>
      <c r="D493" s="719"/>
      <c r="E493" s="24">
        <f t="shared" si="86"/>
        <v>0.06</v>
      </c>
      <c r="F493" s="719"/>
      <c r="G493" s="24">
        <f t="shared" si="87"/>
        <v>0.02</v>
      </c>
      <c r="H493" s="719"/>
      <c r="I493" s="24">
        <f t="shared" si="88"/>
        <v>0.09</v>
      </c>
      <c r="J493" s="719"/>
      <c r="K493" s="24">
        <f t="shared" si="89"/>
        <v>0</v>
      </c>
      <c r="L493" s="719"/>
      <c r="M493" s="24">
        <f t="shared" si="90"/>
        <v>0.2</v>
      </c>
      <c r="N493" s="719"/>
      <c r="O493" s="24">
        <f t="shared" si="91"/>
        <v>0.2</v>
      </c>
      <c r="P493" s="719"/>
      <c r="Q493" s="24">
        <f t="shared" si="92"/>
        <v>0</v>
      </c>
      <c r="R493" s="715">
        <f t="shared" si="93"/>
        <v>0</v>
      </c>
      <c r="S493" s="361">
        <f t="shared" si="84"/>
        <v>0</v>
      </c>
    </row>
    <row r="494" spans="1:19">
      <c r="A494" s="159"/>
      <c r="B494" s="59"/>
      <c r="C494" s="24">
        <f t="shared" si="85"/>
        <v>1</v>
      </c>
      <c r="D494" s="719"/>
      <c r="E494" s="24">
        <f t="shared" si="86"/>
        <v>0.06</v>
      </c>
      <c r="F494" s="719"/>
      <c r="G494" s="24">
        <f t="shared" si="87"/>
        <v>0.02</v>
      </c>
      <c r="H494" s="719"/>
      <c r="I494" s="24">
        <f t="shared" si="88"/>
        <v>0.09</v>
      </c>
      <c r="J494" s="719"/>
      <c r="K494" s="24">
        <f t="shared" si="89"/>
        <v>0</v>
      </c>
      <c r="L494" s="719"/>
      <c r="M494" s="24">
        <f t="shared" si="90"/>
        <v>0.2</v>
      </c>
      <c r="N494" s="719"/>
      <c r="O494" s="24">
        <f t="shared" si="91"/>
        <v>0.2</v>
      </c>
      <c r="P494" s="719"/>
      <c r="Q494" s="24">
        <f t="shared" si="92"/>
        <v>0</v>
      </c>
      <c r="R494" s="715">
        <f t="shared" si="93"/>
        <v>0</v>
      </c>
      <c r="S494" s="361">
        <f t="shared" si="84"/>
        <v>0</v>
      </c>
    </row>
    <row r="495" spans="1:19">
      <c r="A495" s="159"/>
      <c r="B495" s="59"/>
      <c r="C495" s="24">
        <f t="shared" si="85"/>
        <v>1</v>
      </c>
      <c r="D495" s="719"/>
      <c r="E495" s="24">
        <f t="shared" si="86"/>
        <v>0.06</v>
      </c>
      <c r="F495" s="719"/>
      <c r="G495" s="24">
        <f t="shared" si="87"/>
        <v>0.02</v>
      </c>
      <c r="H495" s="719"/>
      <c r="I495" s="24">
        <f t="shared" si="88"/>
        <v>0.09</v>
      </c>
      <c r="J495" s="719"/>
      <c r="K495" s="24">
        <f t="shared" si="89"/>
        <v>0</v>
      </c>
      <c r="L495" s="719"/>
      <c r="M495" s="24">
        <f t="shared" si="90"/>
        <v>0.2</v>
      </c>
      <c r="N495" s="719"/>
      <c r="O495" s="24">
        <f t="shared" si="91"/>
        <v>0.2</v>
      </c>
      <c r="P495" s="719"/>
      <c r="Q495" s="24">
        <f t="shared" si="92"/>
        <v>0</v>
      </c>
      <c r="R495" s="715">
        <f t="shared" si="93"/>
        <v>0</v>
      </c>
      <c r="S495" s="361">
        <f t="shared" si="84"/>
        <v>0</v>
      </c>
    </row>
    <row r="496" spans="1:19">
      <c r="A496" s="159"/>
      <c r="B496" s="59"/>
      <c r="C496" s="24">
        <f t="shared" si="85"/>
        <v>1</v>
      </c>
      <c r="D496" s="719"/>
      <c r="E496" s="24">
        <f t="shared" si="86"/>
        <v>0.06</v>
      </c>
      <c r="F496" s="719"/>
      <c r="G496" s="24">
        <f t="shared" si="87"/>
        <v>0.02</v>
      </c>
      <c r="H496" s="719"/>
      <c r="I496" s="24">
        <f t="shared" si="88"/>
        <v>0.09</v>
      </c>
      <c r="J496" s="719"/>
      <c r="K496" s="24">
        <f t="shared" si="89"/>
        <v>0</v>
      </c>
      <c r="L496" s="719"/>
      <c r="M496" s="24">
        <f t="shared" si="90"/>
        <v>0.2</v>
      </c>
      <c r="N496" s="719"/>
      <c r="O496" s="24">
        <f t="shared" si="91"/>
        <v>0.2</v>
      </c>
      <c r="P496" s="719"/>
      <c r="Q496" s="24">
        <f t="shared" si="92"/>
        <v>0</v>
      </c>
      <c r="R496" s="715">
        <f t="shared" si="93"/>
        <v>0</v>
      </c>
      <c r="S496" s="361">
        <f t="shared" si="84"/>
        <v>0</v>
      </c>
    </row>
    <row r="497" spans="1:19">
      <c r="A497" s="159"/>
      <c r="B497" s="59"/>
      <c r="C497" s="24">
        <f t="shared" si="85"/>
        <v>1</v>
      </c>
      <c r="D497" s="719"/>
      <c r="E497" s="24">
        <f t="shared" si="86"/>
        <v>0.06</v>
      </c>
      <c r="F497" s="719"/>
      <c r="G497" s="24">
        <f t="shared" si="87"/>
        <v>0.02</v>
      </c>
      <c r="H497" s="719"/>
      <c r="I497" s="24">
        <f t="shared" si="88"/>
        <v>0.09</v>
      </c>
      <c r="J497" s="719"/>
      <c r="K497" s="24">
        <f t="shared" si="89"/>
        <v>0</v>
      </c>
      <c r="L497" s="719"/>
      <c r="M497" s="24">
        <f t="shared" si="90"/>
        <v>0.2</v>
      </c>
      <c r="N497" s="719"/>
      <c r="O497" s="24">
        <f t="shared" si="91"/>
        <v>0.2</v>
      </c>
      <c r="P497" s="719"/>
      <c r="Q497" s="24">
        <f t="shared" si="92"/>
        <v>0</v>
      </c>
      <c r="R497" s="715">
        <f t="shared" si="93"/>
        <v>0</v>
      </c>
      <c r="S497" s="361">
        <f t="shared" si="84"/>
        <v>0</v>
      </c>
    </row>
    <row r="498" spans="1:19">
      <c r="A498" s="159"/>
      <c r="B498" s="59"/>
      <c r="C498" s="24">
        <f t="shared" si="85"/>
        <v>1</v>
      </c>
      <c r="D498" s="719"/>
      <c r="E498" s="24">
        <f t="shared" si="86"/>
        <v>0.06</v>
      </c>
      <c r="F498" s="719"/>
      <c r="G498" s="24">
        <f t="shared" si="87"/>
        <v>0.02</v>
      </c>
      <c r="H498" s="719"/>
      <c r="I498" s="24">
        <f t="shared" si="88"/>
        <v>0.09</v>
      </c>
      <c r="J498" s="719"/>
      <c r="K498" s="24">
        <f t="shared" si="89"/>
        <v>0</v>
      </c>
      <c r="L498" s="719"/>
      <c r="M498" s="24">
        <f t="shared" si="90"/>
        <v>0.2</v>
      </c>
      <c r="N498" s="719"/>
      <c r="O498" s="24">
        <f t="shared" si="91"/>
        <v>0.2</v>
      </c>
      <c r="P498" s="719"/>
      <c r="Q498" s="24">
        <f t="shared" si="92"/>
        <v>0</v>
      </c>
      <c r="R498" s="715">
        <f t="shared" si="93"/>
        <v>0</v>
      </c>
      <c r="S498" s="361">
        <f t="shared" ref="S498:S524" si="94">ROUND(R498*B498/10000,0)</f>
        <v>0</v>
      </c>
    </row>
    <row r="499" spans="1:19">
      <c r="A499" s="159"/>
      <c r="B499" s="59"/>
      <c r="C499" s="24">
        <f t="shared" si="85"/>
        <v>1</v>
      </c>
      <c r="D499" s="719"/>
      <c r="E499" s="24">
        <f t="shared" si="86"/>
        <v>0.06</v>
      </c>
      <c r="F499" s="719"/>
      <c r="G499" s="24">
        <f t="shared" si="87"/>
        <v>0.02</v>
      </c>
      <c r="H499" s="719"/>
      <c r="I499" s="24">
        <f t="shared" si="88"/>
        <v>0.09</v>
      </c>
      <c r="J499" s="719"/>
      <c r="K499" s="24">
        <f t="shared" si="89"/>
        <v>0</v>
      </c>
      <c r="L499" s="719"/>
      <c r="M499" s="24">
        <f t="shared" si="90"/>
        <v>0.2</v>
      </c>
      <c r="N499" s="719"/>
      <c r="O499" s="24">
        <f t="shared" si="91"/>
        <v>0.2</v>
      </c>
      <c r="P499" s="719"/>
      <c r="Q499" s="24">
        <f t="shared" si="92"/>
        <v>0</v>
      </c>
      <c r="R499" s="715">
        <f t="shared" si="93"/>
        <v>0</v>
      </c>
      <c r="S499" s="361">
        <f t="shared" si="94"/>
        <v>0</v>
      </c>
    </row>
    <row r="500" spans="1:19">
      <c r="A500" s="159"/>
      <c r="B500" s="59"/>
      <c r="C500" s="24">
        <f t="shared" si="85"/>
        <v>1</v>
      </c>
      <c r="D500" s="719"/>
      <c r="E500" s="24">
        <f t="shared" si="86"/>
        <v>0.06</v>
      </c>
      <c r="F500" s="719"/>
      <c r="G500" s="24">
        <f t="shared" si="87"/>
        <v>0.02</v>
      </c>
      <c r="H500" s="719"/>
      <c r="I500" s="24">
        <f t="shared" si="88"/>
        <v>0.09</v>
      </c>
      <c r="J500" s="719"/>
      <c r="K500" s="24">
        <f t="shared" si="89"/>
        <v>0</v>
      </c>
      <c r="L500" s="719"/>
      <c r="M500" s="24">
        <f t="shared" si="90"/>
        <v>0.2</v>
      </c>
      <c r="N500" s="719"/>
      <c r="O500" s="24">
        <f t="shared" si="91"/>
        <v>0.2</v>
      </c>
      <c r="P500" s="719"/>
      <c r="Q500" s="24">
        <f t="shared" si="92"/>
        <v>0</v>
      </c>
      <c r="R500" s="715">
        <f t="shared" si="93"/>
        <v>0</v>
      </c>
      <c r="S500" s="361">
        <f t="shared" si="94"/>
        <v>0</v>
      </c>
    </row>
    <row r="501" spans="1:19">
      <c r="A501" s="159"/>
      <c r="B501" s="59"/>
      <c r="C501" s="24">
        <f t="shared" si="85"/>
        <v>1</v>
      </c>
      <c r="D501" s="719"/>
      <c r="E501" s="24">
        <f t="shared" si="86"/>
        <v>0.06</v>
      </c>
      <c r="F501" s="719"/>
      <c r="G501" s="24">
        <f t="shared" si="87"/>
        <v>0.02</v>
      </c>
      <c r="H501" s="719"/>
      <c r="I501" s="24">
        <f t="shared" si="88"/>
        <v>0.09</v>
      </c>
      <c r="J501" s="719"/>
      <c r="K501" s="24">
        <f t="shared" si="89"/>
        <v>0</v>
      </c>
      <c r="L501" s="719"/>
      <c r="M501" s="24">
        <f t="shared" si="90"/>
        <v>0.2</v>
      </c>
      <c r="N501" s="719"/>
      <c r="O501" s="24">
        <f t="shared" si="91"/>
        <v>0.2</v>
      </c>
      <c r="P501" s="719"/>
      <c r="Q501" s="24">
        <f t="shared" si="92"/>
        <v>0</v>
      </c>
      <c r="R501" s="715">
        <f t="shared" si="93"/>
        <v>0</v>
      </c>
      <c r="S501" s="361">
        <f t="shared" si="94"/>
        <v>0</v>
      </c>
    </row>
    <row r="502" spans="1:19">
      <c r="A502" s="159"/>
      <c r="B502" s="59"/>
      <c r="C502" s="24">
        <f t="shared" si="85"/>
        <v>1</v>
      </c>
      <c r="D502" s="719"/>
      <c r="E502" s="24">
        <f t="shared" si="86"/>
        <v>0.06</v>
      </c>
      <c r="F502" s="719"/>
      <c r="G502" s="24">
        <f t="shared" si="87"/>
        <v>0.02</v>
      </c>
      <c r="H502" s="719"/>
      <c r="I502" s="24">
        <f t="shared" si="88"/>
        <v>0.09</v>
      </c>
      <c r="J502" s="719"/>
      <c r="K502" s="24">
        <f t="shared" si="89"/>
        <v>0</v>
      </c>
      <c r="L502" s="719"/>
      <c r="M502" s="24">
        <f t="shared" si="90"/>
        <v>0.2</v>
      </c>
      <c r="N502" s="719"/>
      <c r="O502" s="24">
        <f t="shared" si="91"/>
        <v>0.2</v>
      </c>
      <c r="P502" s="719"/>
      <c r="Q502" s="24">
        <f t="shared" si="92"/>
        <v>0</v>
      </c>
      <c r="R502" s="715">
        <f t="shared" si="93"/>
        <v>0</v>
      </c>
      <c r="S502" s="361">
        <f t="shared" si="94"/>
        <v>0</v>
      </c>
    </row>
    <row r="503" spans="1:19">
      <c r="A503" s="159"/>
      <c r="B503" s="59"/>
      <c r="C503" s="24">
        <f t="shared" si="85"/>
        <v>1</v>
      </c>
      <c r="D503" s="719"/>
      <c r="E503" s="24">
        <f t="shared" si="86"/>
        <v>0.06</v>
      </c>
      <c r="F503" s="719"/>
      <c r="G503" s="24">
        <f t="shared" si="87"/>
        <v>0.02</v>
      </c>
      <c r="H503" s="719"/>
      <c r="I503" s="24">
        <f t="shared" si="88"/>
        <v>0.09</v>
      </c>
      <c r="J503" s="719"/>
      <c r="K503" s="24">
        <f t="shared" si="89"/>
        <v>0</v>
      </c>
      <c r="L503" s="719"/>
      <c r="M503" s="24">
        <f t="shared" si="90"/>
        <v>0.2</v>
      </c>
      <c r="N503" s="719"/>
      <c r="O503" s="24">
        <f t="shared" si="91"/>
        <v>0.2</v>
      </c>
      <c r="P503" s="719"/>
      <c r="Q503" s="24">
        <f t="shared" si="92"/>
        <v>0</v>
      </c>
      <c r="R503" s="715">
        <f t="shared" si="93"/>
        <v>0</v>
      </c>
      <c r="S503" s="361">
        <f t="shared" si="94"/>
        <v>0</v>
      </c>
    </row>
    <row r="504" spans="1:19">
      <c r="A504" s="159"/>
      <c r="B504" s="59"/>
      <c r="C504" s="24">
        <f t="shared" si="85"/>
        <v>1</v>
      </c>
      <c r="D504" s="719"/>
      <c r="E504" s="24">
        <f t="shared" si="86"/>
        <v>0.06</v>
      </c>
      <c r="F504" s="719"/>
      <c r="G504" s="24">
        <f t="shared" si="87"/>
        <v>0.02</v>
      </c>
      <c r="H504" s="719"/>
      <c r="I504" s="24">
        <f t="shared" si="88"/>
        <v>0.09</v>
      </c>
      <c r="J504" s="719"/>
      <c r="K504" s="24">
        <f t="shared" si="89"/>
        <v>0</v>
      </c>
      <c r="L504" s="719"/>
      <c r="M504" s="24">
        <f t="shared" si="90"/>
        <v>0.2</v>
      </c>
      <c r="N504" s="719"/>
      <c r="O504" s="24">
        <f t="shared" si="91"/>
        <v>0.2</v>
      </c>
      <c r="P504" s="719"/>
      <c r="Q504" s="24">
        <f t="shared" si="92"/>
        <v>0</v>
      </c>
      <c r="R504" s="715">
        <f t="shared" si="93"/>
        <v>0</v>
      </c>
      <c r="S504" s="361">
        <f t="shared" si="94"/>
        <v>0</v>
      </c>
    </row>
    <row r="505" spans="1:19">
      <c r="A505" s="159"/>
      <c r="B505" s="59"/>
      <c r="C505" s="24">
        <f t="shared" si="85"/>
        <v>1</v>
      </c>
      <c r="D505" s="719"/>
      <c r="E505" s="24">
        <f t="shared" si="86"/>
        <v>0.06</v>
      </c>
      <c r="F505" s="719"/>
      <c r="G505" s="24">
        <f t="shared" si="87"/>
        <v>0.02</v>
      </c>
      <c r="H505" s="719"/>
      <c r="I505" s="24">
        <f t="shared" si="88"/>
        <v>0.09</v>
      </c>
      <c r="J505" s="719"/>
      <c r="K505" s="24">
        <f t="shared" si="89"/>
        <v>0</v>
      </c>
      <c r="L505" s="719"/>
      <c r="M505" s="24">
        <f t="shared" si="90"/>
        <v>0.2</v>
      </c>
      <c r="N505" s="719"/>
      <c r="O505" s="24">
        <f t="shared" si="91"/>
        <v>0.2</v>
      </c>
      <c r="P505" s="719"/>
      <c r="Q505" s="24">
        <f t="shared" si="92"/>
        <v>0</v>
      </c>
      <c r="R505" s="715">
        <f t="shared" si="93"/>
        <v>0</v>
      </c>
      <c r="S505" s="361">
        <f t="shared" si="94"/>
        <v>0</v>
      </c>
    </row>
    <row r="506" spans="1:19">
      <c r="A506" s="159"/>
      <c r="B506" s="59"/>
      <c r="C506" s="24">
        <f t="shared" si="85"/>
        <v>1</v>
      </c>
      <c r="D506" s="719"/>
      <c r="E506" s="24">
        <f t="shared" si="86"/>
        <v>0.06</v>
      </c>
      <c r="F506" s="719"/>
      <c r="G506" s="24">
        <f t="shared" si="87"/>
        <v>0.02</v>
      </c>
      <c r="H506" s="719"/>
      <c r="I506" s="24">
        <f t="shared" si="88"/>
        <v>0.09</v>
      </c>
      <c r="J506" s="719"/>
      <c r="K506" s="24">
        <f t="shared" si="89"/>
        <v>0</v>
      </c>
      <c r="L506" s="719"/>
      <c r="M506" s="24">
        <f t="shared" si="90"/>
        <v>0.2</v>
      </c>
      <c r="N506" s="719"/>
      <c r="O506" s="24">
        <f t="shared" si="91"/>
        <v>0.2</v>
      </c>
      <c r="P506" s="719"/>
      <c r="Q506" s="24">
        <f t="shared" si="92"/>
        <v>0</v>
      </c>
      <c r="R506" s="715">
        <f t="shared" si="93"/>
        <v>0</v>
      </c>
      <c r="S506" s="361">
        <f t="shared" si="94"/>
        <v>0</v>
      </c>
    </row>
    <row r="507" spans="1:19">
      <c r="A507" s="159"/>
      <c r="B507" s="59"/>
      <c r="C507" s="24">
        <f t="shared" si="85"/>
        <v>1</v>
      </c>
      <c r="D507" s="719"/>
      <c r="E507" s="24">
        <f t="shared" si="86"/>
        <v>0.06</v>
      </c>
      <c r="F507" s="719"/>
      <c r="G507" s="24">
        <f t="shared" si="87"/>
        <v>0.02</v>
      </c>
      <c r="H507" s="719"/>
      <c r="I507" s="24">
        <f t="shared" si="88"/>
        <v>0.09</v>
      </c>
      <c r="J507" s="719"/>
      <c r="K507" s="24">
        <f t="shared" si="89"/>
        <v>0</v>
      </c>
      <c r="L507" s="719"/>
      <c r="M507" s="24">
        <f t="shared" si="90"/>
        <v>0.2</v>
      </c>
      <c r="N507" s="719"/>
      <c r="O507" s="24">
        <f t="shared" si="91"/>
        <v>0.2</v>
      </c>
      <c r="P507" s="719"/>
      <c r="Q507" s="24">
        <f t="shared" si="92"/>
        <v>0</v>
      </c>
      <c r="R507" s="715">
        <f t="shared" si="93"/>
        <v>0</v>
      </c>
      <c r="S507" s="361">
        <f t="shared" si="94"/>
        <v>0</v>
      </c>
    </row>
    <row r="508" spans="1:19">
      <c r="A508" s="159"/>
      <c r="B508" s="59"/>
      <c r="C508" s="24">
        <f t="shared" si="85"/>
        <v>1</v>
      </c>
      <c r="D508" s="719"/>
      <c r="E508" s="24">
        <f t="shared" si="86"/>
        <v>0.06</v>
      </c>
      <c r="F508" s="719"/>
      <c r="G508" s="24">
        <f t="shared" si="87"/>
        <v>0.02</v>
      </c>
      <c r="H508" s="719"/>
      <c r="I508" s="24">
        <f t="shared" si="88"/>
        <v>0.09</v>
      </c>
      <c r="J508" s="719"/>
      <c r="K508" s="24">
        <f t="shared" si="89"/>
        <v>0</v>
      </c>
      <c r="L508" s="719"/>
      <c r="M508" s="24">
        <f t="shared" si="90"/>
        <v>0.2</v>
      </c>
      <c r="N508" s="719"/>
      <c r="O508" s="24">
        <f t="shared" si="91"/>
        <v>0.2</v>
      </c>
      <c r="P508" s="719"/>
      <c r="Q508" s="24">
        <f t="shared" si="92"/>
        <v>0</v>
      </c>
      <c r="R508" s="715">
        <f t="shared" si="93"/>
        <v>0</v>
      </c>
      <c r="S508" s="361">
        <f t="shared" si="94"/>
        <v>0</v>
      </c>
    </row>
    <row r="509" spans="1:19">
      <c r="A509" s="159"/>
      <c r="B509" s="59"/>
      <c r="C509" s="24">
        <f t="shared" si="85"/>
        <v>1</v>
      </c>
      <c r="D509" s="719"/>
      <c r="E509" s="24">
        <f t="shared" si="86"/>
        <v>0.06</v>
      </c>
      <c r="F509" s="719"/>
      <c r="G509" s="24">
        <f t="shared" si="87"/>
        <v>0.02</v>
      </c>
      <c r="H509" s="719"/>
      <c r="I509" s="24">
        <f t="shared" si="88"/>
        <v>0.09</v>
      </c>
      <c r="J509" s="719"/>
      <c r="K509" s="24">
        <f t="shared" si="89"/>
        <v>0</v>
      </c>
      <c r="L509" s="719"/>
      <c r="M509" s="24">
        <f t="shared" si="90"/>
        <v>0.2</v>
      </c>
      <c r="N509" s="719"/>
      <c r="O509" s="24">
        <f t="shared" si="91"/>
        <v>0.2</v>
      </c>
      <c r="P509" s="719"/>
      <c r="Q509" s="24">
        <f t="shared" si="92"/>
        <v>0</v>
      </c>
      <c r="R509" s="715">
        <f t="shared" si="93"/>
        <v>0</v>
      </c>
      <c r="S509" s="361">
        <f t="shared" si="94"/>
        <v>0</v>
      </c>
    </row>
    <row r="510" spans="1:19">
      <c r="A510" s="159"/>
      <c r="B510" s="59"/>
      <c r="C510" s="24">
        <f t="shared" si="85"/>
        <v>1</v>
      </c>
      <c r="D510" s="719"/>
      <c r="E510" s="24">
        <f t="shared" si="86"/>
        <v>0.06</v>
      </c>
      <c r="F510" s="719"/>
      <c r="G510" s="24">
        <f t="shared" si="87"/>
        <v>0.02</v>
      </c>
      <c r="H510" s="719"/>
      <c r="I510" s="24">
        <f t="shared" si="88"/>
        <v>0.09</v>
      </c>
      <c r="J510" s="719"/>
      <c r="K510" s="24">
        <f t="shared" si="89"/>
        <v>0</v>
      </c>
      <c r="L510" s="719"/>
      <c r="M510" s="24">
        <f t="shared" si="90"/>
        <v>0.2</v>
      </c>
      <c r="N510" s="719"/>
      <c r="O510" s="24">
        <f t="shared" si="91"/>
        <v>0.2</v>
      </c>
      <c r="P510" s="719"/>
      <c r="Q510" s="24">
        <f t="shared" si="92"/>
        <v>0</v>
      </c>
      <c r="R510" s="715">
        <f t="shared" si="93"/>
        <v>0</v>
      </c>
      <c r="S510" s="361">
        <f t="shared" si="94"/>
        <v>0</v>
      </c>
    </row>
    <row r="511" spans="1:19">
      <c r="A511" s="159"/>
      <c r="B511" s="59"/>
      <c r="C511" s="24">
        <f t="shared" si="85"/>
        <v>1</v>
      </c>
      <c r="D511" s="719"/>
      <c r="E511" s="24">
        <f t="shared" si="86"/>
        <v>0.06</v>
      </c>
      <c r="F511" s="719"/>
      <c r="G511" s="24">
        <f t="shared" si="87"/>
        <v>0.02</v>
      </c>
      <c r="H511" s="719"/>
      <c r="I511" s="24">
        <f t="shared" si="88"/>
        <v>0.09</v>
      </c>
      <c r="J511" s="719"/>
      <c r="K511" s="24">
        <f t="shared" si="89"/>
        <v>0</v>
      </c>
      <c r="L511" s="719"/>
      <c r="M511" s="24">
        <f t="shared" si="90"/>
        <v>0.2</v>
      </c>
      <c r="N511" s="719"/>
      <c r="O511" s="24">
        <f t="shared" si="91"/>
        <v>0.2</v>
      </c>
      <c r="P511" s="719"/>
      <c r="Q511" s="24">
        <f t="shared" si="92"/>
        <v>0</v>
      </c>
      <c r="R511" s="715">
        <f t="shared" si="93"/>
        <v>0</v>
      </c>
      <c r="S511" s="361">
        <f t="shared" si="94"/>
        <v>0</v>
      </c>
    </row>
    <row r="512" spans="1:19">
      <c r="A512" s="159"/>
      <c r="B512" s="59"/>
      <c r="C512" s="24">
        <f t="shared" si="85"/>
        <v>1</v>
      </c>
      <c r="D512" s="719"/>
      <c r="E512" s="24">
        <f t="shared" si="86"/>
        <v>0.06</v>
      </c>
      <c r="F512" s="719"/>
      <c r="G512" s="24">
        <f t="shared" si="87"/>
        <v>0.02</v>
      </c>
      <c r="H512" s="719"/>
      <c r="I512" s="24">
        <f t="shared" si="88"/>
        <v>0.09</v>
      </c>
      <c r="J512" s="719"/>
      <c r="K512" s="24">
        <f t="shared" si="89"/>
        <v>0</v>
      </c>
      <c r="L512" s="719"/>
      <c r="M512" s="24">
        <f t="shared" si="90"/>
        <v>0.2</v>
      </c>
      <c r="N512" s="719"/>
      <c r="O512" s="24">
        <f t="shared" si="91"/>
        <v>0.2</v>
      </c>
      <c r="P512" s="719"/>
      <c r="Q512" s="24">
        <f t="shared" si="92"/>
        <v>0</v>
      </c>
      <c r="R512" s="715">
        <f t="shared" si="93"/>
        <v>0</v>
      </c>
      <c r="S512" s="361">
        <f t="shared" si="94"/>
        <v>0</v>
      </c>
    </row>
    <row r="513" spans="1:19">
      <c r="A513" s="159"/>
      <c r="B513" s="59"/>
      <c r="C513" s="24">
        <f t="shared" si="85"/>
        <v>1</v>
      </c>
      <c r="D513" s="719"/>
      <c r="E513" s="24">
        <f t="shared" si="86"/>
        <v>0.06</v>
      </c>
      <c r="F513" s="719"/>
      <c r="G513" s="24">
        <f t="shared" si="87"/>
        <v>0.02</v>
      </c>
      <c r="H513" s="719"/>
      <c r="I513" s="24">
        <f t="shared" si="88"/>
        <v>0.09</v>
      </c>
      <c r="J513" s="719"/>
      <c r="K513" s="24">
        <f t="shared" si="89"/>
        <v>0</v>
      </c>
      <c r="L513" s="719"/>
      <c r="M513" s="24">
        <f t="shared" si="90"/>
        <v>0.2</v>
      </c>
      <c r="N513" s="719"/>
      <c r="O513" s="24">
        <f t="shared" si="91"/>
        <v>0.2</v>
      </c>
      <c r="P513" s="719"/>
      <c r="Q513" s="24">
        <f t="shared" si="92"/>
        <v>0</v>
      </c>
      <c r="R513" s="715">
        <f t="shared" si="93"/>
        <v>0</v>
      </c>
      <c r="S513" s="361">
        <f t="shared" si="94"/>
        <v>0</v>
      </c>
    </row>
    <row r="514" spans="1:19">
      <c r="A514" s="159"/>
      <c r="B514" s="59"/>
      <c r="C514" s="24">
        <f t="shared" si="85"/>
        <v>1</v>
      </c>
      <c r="D514" s="719"/>
      <c r="E514" s="24">
        <f t="shared" si="86"/>
        <v>0.06</v>
      </c>
      <c r="F514" s="719"/>
      <c r="G514" s="24">
        <f t="shared" si="87"/>
        <v>0.02</v>
      </c>
      <c r="H514" s="719"/>
      <c r="I514" s="24">
        <f t="shared" si="88"/>
        <v>0.09</v>
      </c>
      <c r="J514" s="719"/>
      <c r="K514" s="24">
        <f t="shared" si="89"/>
        <v>0</v>
      </c>
      <c r="L514" s="719"/>
      <c r="M514" s="24">
        <f t="shared" si="90"/>
        <v>0.2</v>
      </c>
      <c r="N514" s="719"/>
      <c r="O514" s="24">
        <f t="shared" si="91"/>
        <v>0.2</v>
      </c>
      <c r="P514" s="719"/>
      <c r="Q514" s="24">
        <f t="shared" si="92"/>
        <v>0</v>
      </c>
      <c r="R514" s="715">
        <f t="shared" si="93"/>
        <v>0</v>
      </c>
      <c r="S514" s="361">
        <f t="shared" si="94"/>
        <v>0</v>
      </c>
    </row>
    <row r="515" spans="1:19">
      <c r="A515" s="159"/>
      <c r="B515" s="59"/>
      <c r="C515" s="24">
        <f t="shared" si="85"/>
        <v>1</v>
      </c>
      <c r="D515" s="719"/>
      <c r="E515" s="24">
        <f t="shared" si="86"/>
        <v>0.06</v>
      </c>
      <c r="F515" s="719"/>
      <c r="G515" s="24">
        <f t="shared" si="87"/>
        <v>0.02</v>
      </c>
      <c r="H515" s="719"/>
      <c r="I515" s="24">
        <f t="shared" si="88"/>
        <v>0.09</v>
      </c>
      <c r="J515" s="719"/>
      <c r="K515" s="24">
        <f t="shared" si="89"/>
        <v>0</v>
      </c>
      <c r="L515" s="719"/>
      <c r="M515" s="24">
        <f t="shared" si="90"/>
        <v>0.2</v>
      </c>
      <c r="N515" s="719"/>
      <c r="O515" s="24">
        <f t="shared" si="91"/>
        <v>0.2</v>
      </c>
      <c r="P515" s="719"/>
      <c r="Q515" s="24">
        <f t="shared" si="92"/>
        <v>0</v>
      </c>
      <c r="R515" s="715">
        <f t="shared" si="93"/>
        <v>0</v>
      </c>
      <c r="S515" s="361">
        <f t="shared" si="94"/>
        <v>0</v>
      </c>
    </row>
    <row r="516" spans="1:19">
      <c r="A516" s="159"/>
      <c r="B516" s="59"/>
      <c r="C516" s="24">
        <f t="shared" si="85"/>
        <v>1</v>
      </c>
      <c r="D516" s="719"/>
      <c r="E516" s="24">
        <f t="shared" si="86"/>
        <v>0.06</v>
      </c>
      <c r="F516" s="719"/>
      <c r="G516" s="24">
        <f t="shared" si="87"/>
        <v>0.02</v>
      </c>
      <c r="H516" s="719"/>
      <c r="I516" s="24">
        <f t="shared" si="88"/>
        <v>0.09</v>
      </c>
      <c r="J516" s="719"/>
      <c r="K516" s="24">
        <f t="shared" si="89"/>
        <v>0</v>
      </c>
      <c r="L516" s="719"/>
      <c r="M516" s="24">
        <f t="shared" si="90"/>
        <v>0.2</v>
      </c>
      <c r="N516" s="719"/>
      <c r="O516" s="24">
        <f t="shared" si="91"/>
        <v>0.2</v>
      </c>
      <c r="P516" s="719"/>
      <c r="Q516" s="24">
        <f t="shared" si="92"/>
        <v>0</v>
      </c>
      <c r="R516" s="715">
        <f t="shared" si="93"/>
        <v>0</v>
      </c>
      <c r="S516" s="361">
        <f t="shared" si="94"/>
        <v>0</v>
      </c>
    </row>
    <row r="517" spans="1:19">
      <c r="A517" s="159"/>
      <c r="B517" s="59"/>
      <c r="C517" s="24">
        <f t="shared" si="85"/>
        <v>1</v>
      </c>
      <c r="D517" s="719"/>
      <c r="E517" s="24">
        <f t="shared" si="86"/>
        <v>0.06</v>
      </c>
      <c r="F517" s="719"/>
      <c r="G517" s="24">
        <f t="shared" si="87"/>
        <v>0.02</v>
      </c>
      <c r="H517" s="719"/>
      <c r="I517" s="24">
        <f t="shared" si="88"/>
        <v>0.09</v>
      </c>
      <c r="J517" s="719"/>
      <c r="K517" s="24">
        <f t="shared" si="89"/>
        <v>0</v>
      </c>
      <c r="L517" s="719"/>
      <c r="M517" s="24">
        <f t="shared" si="90"/>
        <v>0.2</v>
      </c>
      <c r="N517" s="719"/>
      <c r="O517" s="24">
        <f t="shared" si="91"/>
        <v>0.2</v>
      </c>
      <c r="P517" s="719"/>
      <c r="Q517" s="24">
        <f t="shared" si="92"/>
        <v>0</v>
      </c>
      <c r="R517" s="715">
        <f t="shared" si="93"/>
        <v>0</v>
      </c>
      <c r="S517" s="361">
        <f t="shared" si="94"/>
        <v>0</v>
      </c>
    </row>
    <row r="518" spans="1:19">
      <c r="A518" s="159"/>
      <c r="B518" s="59"/>
      <c r="C518" s="24">
        <f t="shared" si="85"/>
        <v>1</v>
      </c>
      <c r="D518" s="719"/>
      <c r="E518" s="24">
        <f t="shared" si="86"/>
        <v>0.06</v>
      </c>
      <c r="F518" s="719"/>
      <c r="G518" s="24">
        <f t="shared" si="87"/>
        <v>0.02</v>
      </c>
      <c r="H518" s="719"/>
      <c r="I518" s="24">
        <f t="shared" si="88"/>
        <v>0.09</v>
      </c>
      <c r="J518" s="719"/>
      <c r="K518" s="24">
        <f t="shared" si="89"/>
        <v>0</v>
      </c>
      <c r="L518" s="719"/>
      <c r="M518" s="24">
        <f t="shared" si="90"/>
        <v>0.2</v>
      </c>
      <c r="N518" s="719"/>
      <c r="O518" s="24">
        <f t="shared" si="91"/>
        <v>0.2</v>
      </c>
      <c r="P518" s="719"/>
      <c r="Q518" s="24">
        <f t="shared" si="92"/>
        <v>0</v>
      </c>
      <c r="R518" s="715">
        <f t="shared" si="93"/>
        <v>0</v>
      </c>
      <c r="S518" s="361">
        <f t="shared" si="94"/>
        <v>0</v>
      </c>
    </row>
    <row r="519" spans="1:19">
      <c r="A519" s="159"/>
      <c r="B519" s="59"/>
      <c r="C519" s="24">
        <f t="shared" si="85"/>
        <v>1</v>
      </c>
      <c r="D519" s="719"/>
      <c r="E519" s="24">
        <f t="shared" si="86"/>
        <v>0.06</v>
      </c>
      <c r="F519" s="719"/>
      <c r="G519" s="24">
        <f t="shared" si="87"/>
        <v>0.02</v>
      </c>
      <c r="H519" s="719"/>
      <c r="I519" s="24">
        <f t="shared" si="88"/>
        <v>0.09</v>
      </c>
      <c r="J519" s="719"/>
      <c r="K519" s="24">
        <f t="shared" si="89"/>
        <v>0</v>
      </c>
      <c r="L519" s="719"/>
      <c r="M519" s="24">
        <f t="shared" si="90"/>
        <v>0.2</v>
      </c>
      <c r="N519" s="719"/>
      <c r="O519" s="24">
        <f t="shared" si="91"/>
        <v>0.2</v>
      </c>
      <c r="P519" s="719"/>
      <c r="Q519" s="24">
        <f t="shared" si="92"/>
        <v>0</v>
      </c>
      <c r="R519" s="715">
        <f t="shared" si="93"/>
        <v>0</v>
      </c>
      <c r="S519" s="361">
        <f t="shared" si="94"/>
        <v>0</v>
      </c>
    </row>
    <row r="520" spans="1:19">
      <c r="A520" s="159"/>
      <c r="B520" s="59"/>
      <c r="C520" s="24">
        <f t="shared" si="85"/>
        <v>1</v>
      </c>
      <c r="D520" s="719"/>
      <c r="E520" s="24">
        <f t="shared" si="86"/>
        <v>0.06</v>
      </c>
      <c r="F520" s="719"/>
      <c r="G520" s="24">
        <f t="shared" si="87"/>
        <v>0.02</v>
      </c>
      <c r="H520" s="719"/>
      <c r="I520" s="24">
        <f t="shared" si="88"/>
        <v>0.09</v>
      </c>
      <c r="J520" s="719"/>
      <c r="K520" s="24">
        <f t="shared" si="89"/>
        <v>0</v>
      </c>
      <c r="L520" s="719"/>
      <c r="M520" s="24">
        <f t="shared" si="90"/>
        <v>0.2</v>
      </c>
      <c r="N520" s="719"/>
      <c r="O520" s="24">
        <f t="shared" si="91"/>
        <v>0.2</v>
      </c>
      <c r="P520" s="719"/>
      <c r="Q520" s="24">
        <f t="shared" si="92"/>
        <v>0</v>
      </c>
      <c r="R520" s="715">
        <f t="shared" si="93"/>
        <v>0</v>
      </c>
      <c r="S520" s="361">
        <f t="shared" si="94"/>
        <v>0</v>
      </c>
    </row>
    <row r="521" spans="1:19">
      <c r="A521" s="159"/>
      <c r="B521" s="59"/>
      <c r="C521" s="24">
        <f t="shared" si="85"/>
        <v>1</v>
      </c>
      <c r="D521" s="719"/>
      <c r="E521" s="24">
        <f t="shared" si="86"/>
        <v>0.06</v>
      </c>
      <c r="F521" s="719"/>
      <c r="G521" s="24">
        <f t="shared" si="87"/>
        <v>0.02</v>
      </c>
      <c r="H521" s="719"/>
      <c r="I521" s="24">
        <f t="shared" si="88"/>
        <v>0.09</v>
      </c>
      <c r="J521" s="719"/>
      <c r="K521" s="24">
        <f t="shared" si="89"/>
        <v>0</v>
      </c>
      <c r="L521" s="719"/>
      <c r="M521" s="24">
        <f t="shared" si="90"/>
        <v>0.2</v>
      </c>
      <c r="N521" s="719"/>
      <c r="O521" s="24">
        <f t="shared" si="91"/>
        <v>0.2</v>
      </c>
      <c r="P521" s="719"/>
      <c r="Q521" s="24">
        <f t="shared" si="92"/>
        <v>0</v>
      </c>
      <c r="R521" s="715">
        <f t="shared" si="93"/>
        <v>0</v>
      </c>
      <c r="S521" s="361">
        <f t="shared" si="94"/>
        <v>0</v>
      </c>
    </row>
    <row r="522" spans="1:19">
      <c r="A522" s="159"/>
      <c r="B522" s="59"/>
      <c r="C522" s="24">
        <f t="shared" si="85"/>
        <v>1</v>
      </c>
      <c r="D522" s="719"/>
      <c r="E522" s="24">
        <f t="shared" si="86"/>
        <v>0.06</v>
      </c>
      <c r="F522" s="719"/>
      <c r="G522" s="24">
        <f t="shared" si="87"/>
        <v>0.02</v>
      </c>
      <c r="H522" s="719"/>
      <c r="I522" s="24">
        <f t="shared" si="88"/>
        <v>0.09</v>
      </c>
      <c r="J522" s="719"/>
      <c r="K522" s="24">
        <f t="shared" si="89"/>
        <v>0</v>
      </c>
      <c r="L522" s="719"/>
      <c r="M522" s="24">
        <f t="shared" si="90"/>
        <v>0.2</v>
      </c>
      <c r="N522" s="719"/>
      <c r="O522" s="24">
        <f t="shared" si="91"/>
        <v>0.2</v>
      </c>
      <c r="P522" s="719"/>
      <c r="Q522" s="24">
        <f t="shared" si="92"/>
        <v>0</v>
      </c>
      <c r="R522" s="715">
        <f t="shared" si="93"/>
        <v>0</v>
      </c>
      <c r="S522" s="361">
        <f t="shared" si="94"/>
        <v>0</v>
      </c>
    </row>
    <row r="523" spans="1:19">
      <c r="A523" s="159"/>
      <c r="B523" s="59"/>
      <c r="C523" s="24">
        <f t="shared" si="85"/>
        <v>1</v>
      </c>
      <c r="D523" s="719"/>
      <c r="E523" s="24">
        <f t="shared" si="86"/>
        <v>0.06</v>
      </c>
      <c r="F523" s="719"/>
      <c r="G523" s="24">
        <f t="shared" si="87"/>
        <v>0.02</v>
      </c>
      <c r="H523" s="719"/>
      <c r="I523" s="24">
        <f t="shared" si="88"/>
        <v>0.09</v>
      </c>
      <c r="J523" s="719"/>
      <c r="K523" s="24">
        <f t="shared" si="89"/>
        <v>0</v>
      </c>
      <c r="L523" s="719"/>
      <c r="M523" s="24">
        <f t="shared" si="90"/>
        <v>0.2</v>
      </c>
      <c r="N523" s="719"/>
      <c r="O523" s="24">
        <f t="shared" si="91"/>
        <v>0.2</v>
      </c>
      <c r="P523" s="719"/>
      <c r="Q523" s="24">
        <f t="shared" si="92"/>
        <v>0</v>
      </c>
      <c r="R523" s="715">
        <f t="shared" si="93"/>
        <v>0</v>
      </c>
      <c r="S523" s="361">
        <f t="shared" si="94"/>
        <v>0</v>
      </c>
    </row>
    <row r="524" spans="1:19">
      <c r="A524" s="159"/>
      <c r="B524" s="59"/>
      <c r="C524" s="24">
        <f t="shared" si="85"/>
        <v>1</v>
      </c>
      <c r="D524" s="719"/>
      <c r="E524" s="24">
        <f t="shared" si="86"/>
        <v>0.06</v>
      </c>
      <c r="F524" s="719"/>
      <c r="G524" s="24">
        <f t="shared" si="87"/>
        <v>0.02</v>
      </c>
      <c r="H524" s="719"/>
      <c r="I524" s="24">
        <f t="shared" si="88"/>
        <v>0.09</v>
      </c>
      <c r="J524" s="719"/>
      <c r="K524" s="24">
        <f t="shared" si="89"/>
        <v>0</v>
      </c>
      <c r="L524" s="719"/>
      <c r="M524" s="24">
        <f t="shared" si="90"/>
        <v>0.2</v>
      </c>
      <c r="N524" s="719"/>
      <c r="O524" s="24">
        <f t="shared" si="91"/>
        <v>0.2</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31292</v>
      </c>
      <c r="C2" s="2" t="s">
        <v>133</v>
      </c>
      <c r="D2" s="243"/>
      <c r="E2" s="243"/>
      <c r="F2" s="243"/>
      <c r="G2" s="243"/>
    </row>
    <row r="3" spans="1:7" s="244" customFormat="1" ht="18" customHeight="1" thickBot="1">
      <c r="A3" s="247" t="s">
        <v>85</v>
      </c>
      <c r="B3" s="248">
        <f ca="1">ROUND(B2*10000/'数据-汇总表'!E3,0)</f>
        <v>1251930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105</v>
      </c>
      <c r="F9" s="265"/>
      <c r="G9" s="270"/>
    </row>
    <row r="10" spans="1:7" s="258" customFormat="1" ht="13.5" customHeight="1">
      <c r="A10" s="952" t="s">
        <v>801</v>
      </c>
      <c r="B10" s="268" t="s">
        <v>94</v>
      </c>
      <c r="C10" s="269">
        <f>ROUND(D10*E10/10000,0)</f>
        <v>3</v>
      </c>
      <c r="D10" s="1034">
        <f>'数据-汇总表'!E6</f>
        <v>249.95</v>
      </c>
      <c r="E10" s="269">
        <f>'数据-取费表'!B28</f>
        <v>105</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5</v>
      </c>
      <c r="D19" s="1038">
        <f>'数据-汇总表'!E3</f>
        <v>249.95</v>
      </c>
      <c r="E19" s="255">
        <f>'数据-取费表'!B31</f>
        <v>200</v>
      </c>
      <c r="F19" s="275"/>
      <c r="G19" s="1" t="s">
        <v>1074</v>
      </c>
    </row>
    <row r="20" spans="1:7" s="258" customFormat="1" ht="13.5" customHeight="1">
      <c r="A20" s="950" t="s">
        <v>1057</v>
      </c>
      <c r="B20" s="254" t="s">
        <v>104</v>
      </c>
      <c r="C20" s="276">
        <f>ROUND((C5+C19)*F20,0)</f>
        <v>412</v>
      </c>
      <c r="D20" s="276"/>
      <c r="E20" s="276"/>
      <c r="F20" s="277">
        <f>'数据-取费表'!B37</f>
        <v>0.02</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2024</v>
      </c>
      <c r="D22" s="279">
        <f ca="1">C26</f>
        <v>1.4E-3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0</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1.4E-3</v>
      </c>
      <c r="D26" s="282"/>
      <c r="E26" s="285"/>
      <c r="F26" s="283"/>
      <c r="G26" s="287"/>
    </row>
    <row r="27" spans="1:7" s="258" customFormat="1" ht="24.75">
      <c r="A27" s="950" t="s">
        <v>787</v>
      </c>
      <c r="B27" s="288" t="s">
        <v>112</v>
      </c>
      <c r="C27" s="289">
        <f>C28</f>
        <v>5257</v>
      </c>
      <c r="D27" s="279">
        <f>C29</f>
        <v>7.4999999999999997E-3</v>
      </c>
      <c r="E27" s="280" t="s">
        <v>126</v>
      </c>
      <c r="F27" s="290">
        <f>'数据-取费表'!Q16</f>
        <v>0.25</v>
      </c>
      <c r="G27" s="291" t="s">
        <v>1069</v>
      </c>
    </row>
    <row r="28" spans="1:7" s="258" customFormat="1" ht="13.5" customHeight="1">
      <c r="A28" s="953" t="s">
        <v>794</v>
      </c>
      <c r="B28" s="292" t="s">
        <v>1062</v>
      </c>
      <c r="C28" s="293">
        <f>ROUND((C5+C19+C20)*F27*'数据-取费表'!B21/'数据-取费表'!B20,0)</f>
        <v>5257</v>
      </c>
      <c r="D28" s="279"/>
      <c r="E28" s="280"/>
      <c r="F28" s="290"/>
      <c r="G28" s="291"/>
    </row>
    <row r="29" spans="1:7" s="258" customFormat="1" ht="13.5" customHeight="1">
      <c r="A29" s="953" t="s">
        <v>792</v>
      </c>
      <c r="B29" s="292" t="s">
        <v>1063</v>
      </c>
      <c r="C29" s="282">
        <f>ROUND(C21*F27*'数据-取费表'!B21/'数据-取费表'!B20,4)</f>
        <v>7.4999999999999997E-3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31184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78</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70</v>
      </c>
      <c r="D34" s="261"/>
      <c r="E34" s="264"/>
      <c r="F34" s="301">
        <f>IF('数据-取费表'!B24=0,1,'数据-取费表'!N16)</f>
        <v>1</v>
      </c>
      <c r="G34" s="263" t="s">
        <v>116</v>
      </c>
    </row>
    <row r="35" spans="1:7" ht="13.5" customHeight="1">
      <c r="A35" s="953" t="s">
        <v>796</v>
      </c>
      <c r="B35" s="259" t="s">
        <v>60</v>
      </c>
      <c r="C35" s="264">
        <f>ROUND(C34*F35,0)</f>
        <v>2</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5</v>
      </c>
      <c r="D37" s="261">
        <f>'数据-汇总表'!E3</f>
        <v>249.95</v>
      </c>
      <c r="E37" s="293">
        <f>'数据-取费表'!B35</f>
        <v>200</v>
      </c>
      <c r="F37" s="303"/>
      <c r="G37" s="305" t="s">
        <v>119</v>
      </c>
    </row>
    <row r="38" spans="1:7" ht="13.5" customHeight="1">
      <c r="A38" s="953" t="s">
        <v>799</v>
      </c>
      <c r="B38" s="259" t="s">
        <v>63</v>
      </c>
      <c r="C38" s="264">
        <f>ROUND(C34*F38,0)</f>
        <v>1</v>
      </c>
      <c r="D38" s="264"/>
      <c r="E38" s="264"/>
      <c r="F38" s="303">
        <f>'数据-取费表'!B36</f>
        <v>1.4999999999999999E-2</v>
      </c>
      <c r="G38" s="263" t="s">
        <v>117</v>
      </c>
    </row>
    <row r="39" spans="1:7" s="258" customFormat="1" ht="13.5" customHeight="1">
      <c r="A39" s="950" t="s">
        <v>783</v>
      </c>
      <c r="B39" s="254" t="s">
        <v>104</v>
      </c>
      <c r="C39" s="276">
        <f>ROUND(C33*F20,0)</f>
        <v>2</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4</v>
      </c>
      <c r="D41" s="279">
        <f ca="1">C44</f>
        <v>1.4E-3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4</v>
      </c>
      <c r="D42" s="282"/>
      <c r="E42" s="282"/>
      <c r="F42" s="283"/>
      <c r="G42" s="3167" t="s">
        <v>121</v>
      </c>
    </row>
    <row r="43" spans="1:7" ht="13.5" customHeight="1">
      <c r="A43" s="953" t="s">
        <v>792</v>
      </c>
      <c r="B43" s="259" t="s">
        <v>1064</v>
      </c>
      <c r="C43" s="282">
        <f ca="1">ROUND(IF('数据-取费表'!B22&lt;=1,C39*F22*'数据-取费表'!B21/2,C39*(POWER((1+F22),'数据-取费表'!B21/2)-1)),0)</f>
        <v>0</v>
      </c>
      <c r="D43" s="282"/>
      <c r="E43" s="282"/>
      <c r="F43" s="283"/>
      <c r="G43" s="3168"/>
    </row>
    <row r="44" spans="1:7" ht="13.5" customHeight="1">
      <c r="A44" s="953" t="s">
        <v>793</v>
      </c>
      <c r="B44" s="259" t="s">
        <v>1066</v>
      </c>
      <c r="C44" s="282">
        <f ca="1">ROUND(IF('数据-取费表'!B22&lt;=1,C40*F22*'数据-取费表'!B21/2,C40*(POWER((1+F22),'数据-取费表'!B21/2)-1)),4)</f>
        <v>1.4E-3</v>
      </c>
      <c r="D44" s="282"/>
      <c r="E44" s="282"/>
      <c r="F44" s="283"/>
      <c r="G44" s="3169"/>
    </row>
    <row r="45" spans="1:7" s="258" customFormat="1" ht="13.5" customHeight="1">
      <c r="A45" s="950" t="s">
        <v>786</v>
      </c>
      <c r="B45" s="288" t="s">
        <v>112</v>
      </c>
      <c r="C45" s="289">
        <f>C46</f>
        <v>20</v>
      </c>
      <c r="D45" s="279">
        <f>C47</f>
        <v>7.4999999999999997E-3</v>
      </c>
      <c r="E45" s="280" t="s">
        <v>129</v>
      </c>
      <c r="F45" s="290"/>
      <c r="G45" s="291" t="s">
        <v>1072</v>
      </c>
    </row>
    <row r="46" spans="1:7" s="258" customFormat="1" ht="13.5" customHeight="1">
      <c r="A46" s="953" t="s">
        <v>794</v>
      </c>
      <c r="B46" s="292" t="s">
        <v>1065</v>
      </c>
      <c r="C46" s="293">
        <f>ROUND((C33+C39)*F27,0)</f>
        <v>20</v>
      </c>
      <c r="D46" s="307"/>
      <c r="E46" s="280"/>
      <c r="F46" s="290"/>
      <c r="G46" s="291"/>
    </row>
    <row r="47" spans="1:7" s="258" customFormat="1" ht="13.5" customHeight="1">
      <c r="A47" s="953" t="s">
        <v>792</v>
      </c>
      <c r="B47" s="292" t="s">
        <v>1067</v>
      </c>
      <c r="C47" s="282">
        <f>ROUND(C40*F27,4)</f>
        <v>7.4999999999999997E-3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115</v>
      </c>
      <c r="D49" s="276"/>
      <c r="E49" s="276"/>
      <c r="F49" s="308"/>
      <c r="G49" s="278" t="s">
        <v>1073</v>
      </c>
    </row>
    <row r="50" spans="1:7" s="302" customFormat="1" ht="24">
      <c r="A50" s="950" t="s">
        <v>789</v>
      </c>
      <c r="B50" s="254" t="s">
        <v>124</v>
      </c>
      <c r="C50" s="276"/>
      <c r="D50" s="276"/>
      <c r="E50" s="276"/>
      <c r="F50" s="308">
        <f>IF('数据-取费表'!B24=0,'数据-取费表'!N16,1)</f>
        <v>0.94</v>
      </c>
      <c r="G50" s="291" t="s">
        <v>125</v>
      </c>
    </row>
    <row r="51" spans="1:7" ht="16.5" customHeight="1">
      <c r="A51" s="950" t="s">
        <v>790</v>
      </c>
      <c r="B51" s="254" t="s">
        <v>132</v>
      </c>
      <c r="C51" s="276">
        <f ca="1">ROUND(C49*F50,0)</f>
        <v>108</v>
      </c>
      <c r="D51" s="276"/>
      <c r="E51" s="276"/>
      <c r="F51" s="308"/>
      <c r="G51" s="278" t="s">
        <v>64</v>
      </c>
    </row>
    <row r="52" spans="1:7" s="252" customFormat="1" ht="16.5" thickBot="1">
      <c r="A52" s="309" t="s">
        <v>65</v>
      </c>
      <c r="B52" s="310"/>
      <c r="C52" s="311">
        <f ca="1">C31+C51</f>
        <v>31292</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4" t="s">
        <v>156</v>
      </c>
      <c r="B1" s="3304"/>
      <c r="C1" s="3304"/>
      <c r="D1" s="3304"/>
      <c r="E1" s="3304"/>
      <c r="F1" s="330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5" t="s">
        <v>169</v>
      </c>
      <c r="B2" s="3305"/>
      <c r="C2" s="3305"/>
      <c r="D2" s="3305"/>
      <c r="E2" s="3305"/>
      <c r="F2" s="330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4" t="s">
        <v>871</v>
      </c>
      <c r="B1" s="3304"/>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43296</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topLeftCell="A19" workbookViewId="0">
      <selection activeCell="D100" sqref="D100"/>
    </sheetView>
  </sheetViews>
  <sheetFormatPr defaultRowHeight="12.75"/>
  <cols>
    <col min="1" max="1" width="27.75" style="2955" customWidth="1"/>
    <col min="2" max="2" width="6.25" style="2955" customWidth="1"/>
    <col min="3" max="3" width="11.75" style="2955" customWidth="1"/>
    <col min="4" max="5" width="13.875" style="2955" customWidth="1"/>
    <col min="6" max="6" width="19.875" style="2955" customWidth="1"/>
    <col min="7" max="7" width="7.875" style="2955" customWidth="1"/>
    <col min="8" max="8" width="9" style="2955" customWidth="1"/>
    <col min="9" max="10" width="10.625" style="2955" customWidth="1"/>
    <col min="11" max="12" width="14.375" style="2955" customWidth="1"/>
    <col min="13" max="13" width="6.25" style="2955" customWidth="1"/>
    <col min="14" max="14" width="36" style="2955" customWidth="1"/>
    <col min="15" max="256" width="9" style="2955"/>
    <col min="257" max="257" width="27.75" style="2955" customWidth="1"/>
    <col min="258" max="258" width="6.25" style="2955" customWidth="1"/>
    <col min="259" max="259" width="11.75" style="2955" customWidth="1"/>
    <col min="260" max="261" width="13.875" style="2955" customWidth="1"/>
    <col min="262" max="262" width="19.875" style="2955" customWidth="1"/>
    <col min="263" max="263" width="7.875" style="2955" customWidth="1"/>
    <col min="264" max="264" width="9" style="2955" customWidth="1"/>
    <col min="265" max="266" width="10.625" style="2955" customWidth="1"/>
    <col min="267" max="268" width="14.375" style="2955" customWidth="1"/>
    <col min="269" max="269" width="6.25" style="2955" customWidth="1"/>
    <col min="270" max="270" width="36" style="2955" customWidth="1"/>
    <col min="271" max="512" width="9" style="2955"/>
    <col min="513" max="513" width="27.75" style="2955" customWidth="1"/>
    <col min="514" max="514" width="6.25" style="2955" customWidth="1"/>
    <col min="515" max="515" width="11.75" style="2955" customWidth="1"/>
    <col min="516" max="517" width="13.875" style="2955" customWidth="1"/>
    <col min="518" max="518" width="19.875" style="2955" customWidth="1"/>
    <col min="519" max="519" width="7.875" style="2955" customWidth="1"/>
    <col min="520" max="520" width="9" style="2955" customWidth="1"/>
    <col min="521" max="522" width="10.625" style="2955" customWidth="1"/>
    <col min="523" max="524" width="14.375" style="2955" customWidth="1"/>
    <col min="525" max="525" width="6.25" style="2955" customWidth="1"/>
    <col min="526" max="526" width="36" style="2955" customWidth="1"/>
    <col min="527" max="768" width="9" style="2955"/>
    <col min="769" max="769" width="27.75" style="2955" customWidth="1"/>
    <col min="770" max="770" width="6.25" style="2955" customWidth="1"/>
    <col min="771" max="771" width="11.75" style="2955" customWidth="1"/>
    <col min="772" max="773" width="13.875" style="2955" customWidth="1"/>
    <col min="774" max="774" width="19.875" style="2955" customWidth="1"/>
    <col min="775" max="775" width="7.875" style="2955" customWidth="1"/>
    <col min="776" max="776" width="9" style="2955" customWidth="1"/>
    <col min="777" max="778" width="10.625" style="2955" customWidth="1"/>
    <col min="779" max="780" width="14.375" style="2955" customWidth="1"/>
    <col min="781" max="781" width="6.25" style="2955" customWidth="1"/>
    <col min="782" max="782" width="36" style="2955" customWidth="1"/>
    <col min="783" max="1024" width="9" style="2955"/>
    <col min="1025" max="1025" width="27.75" style="2955" customWidth="1"/>
    <col min="1026" max="1026" width="6.25" style="2955" customWidth="1"/>
    <col min="1027" max="1027" width="11.75" style="2955" customWidth="1"/>
    <col min="1028" max="1029" width="13.875" style="2955" customWidth="1"/>
    <col min="1030" max="1030" width="19.875" style="2955" customWidth="1"/>
    <col min="1031" max="1031" width="7.875" style="2955" customWidth="1"/>
    <col min="1032" max="1032" width="9" style="2955" customWidth="1"/>
    <col min="1033" max="1034" width="10.625" style="2955" customWidth="1"/>
    <col min="1035" max="1036" width="14.375" style="2955" customWidth="1"/>
    <col min="1037" max="1037" width="6.25" style="2955" customWidth="1"/>
    <col min="1038" max="1038" width="36" style="2955" customWidth="1"/>
    <col min="1039" max="1280" width="9" style="2955"/>
    <col min="1281" max="1281" width="27.75" style="2955" customWidth="1"/>
    <col min="1282" max="1282" width="6.25" style="2955" customWidth="1"/>
    <col min="1283" max="1283" width="11.75" style="2955" customWidth="1"/>
    <col min="1284" max="1285" width="13.875" style="2955" customWidth="1"/>
    <col min="1286" max="1286" width="19.875" style="2955" customWidth="1"/>
    <col min="1287" max="1287" width="7.875" style="2955" customWidth="1"/>
    <col min="1288" max="1288" width="9" style="2955" customWidth="1"/>
    <col min="1289" max="1290" width="10.625" style="2955" customWidth="1"/>
    <col min="1291" max="1292" width="14.375" style="2955" customWidth="1"/>
    <col min="1293" max="1293" width="6.25" style="2955" customWidth="1"/>
    <col min="1294" max="1294" width="36" style="2955" customWidth="1"/>
    <col min="1295" max="1536" width="9" style="2955"/>
    <col min="1537" max="1537" width="27.75" style="2955" customWidth="1"/>
    <col min="1538" max="1538" width="6.25" style="2955" customWidth="1"/>
    <col min="1539" max="1539" width="11.75" style="2955" customWidth="1"/>
    <col min="1540" max="1541" width="13.875" style="2955" customWidth="1"/>
    <col min="1542" max="1542" width="19.875" style="2955" customWidth="1"/>
    <col min="1543" max="1543" width="7.875" style="2955" customWidth="1"/>
    <col min="1544" max="1544" width="9" style="2955" customWidth="1"/>
    <col min="1545" max="1546" width="10.625" style="2955" customWidth="1"/>
    <col min="1547" max="1548" width="14.375" style="2955" customWidth="1"/>
    <col min="1549" max="1549" width="6.25" style="2955" customWidth="1"/>
    <col min="1550" max="1550" width="36" style="2955" customWidth="1"/>
    <col min="1551" max="1792" width="9" style="2955"/>
    <col min="1793" max="1793" width="27.75" style="2955" customWidth="1"/>
    <col min="1794" max="1794" width="6.25" style="2955" customWidth="1"/>
    <col min="1795" max="1795" width="11.75" style="2955" customWidth="1"/>
    <col min="1796" max="1797" width="13.875" style="2955" customWidth="1"/>
    <col min="1798" max="1798" width="19.875" style="2955" customWidth="1"/>
    <col min="1799" max="1799" width="7.875" style="2955" customWidth="1"/>
    <col min="1800" max="1800" width="9" style="2955" customWidth="1"/>
    <col min="1801" max="1802" width="10.625" style="2955" customWidth="1"/>
    <col min="1803" max="1804" width="14.375" style="2955" customWidth="1"/>
    <col min="1805" max="1805" width="6.25" style="2955" customWidth="1"/>
    <col min="1806" max="1806" width="36" style="2955" customWidth="1"/>
    <col min="1807" max="2048" width="9" style="2955"/>
    <col min="2049" max="2049" width="27.75" style="2955" customWidth="1"/>
    <col min="2050" max="2050" width="6.25" style="2955" customWidth="1"/>
    <col min="2051" max="2051" width="11.75" style="2955" customWidth="1"/>
    <col min="2052" max="2053" width="13.875" style="2955" customWidth="1"/>
    <col min="2054" max="2054" width="19.875" style="2955" customWidth="1"/>
    <col min="2055" max="2055" width="7.875" style="2955" customWidth="1"/>
    <col min="2056" max="2056" width="9" style="2955" customWidth="1"/>
    <col min="2057" max="2058" width="10.625" style="2955" customWidth="1"/>
    <col min="2059" max="2060" width="14.375" style="2955" customWidth="1"/>
    <col min="2061" max="2061" width="6.25" style="2955" customWidth="1"/>
    <col min="2062" max="2062" width="36" style="2955" customWidth="1"/>
    <col min="2063" max="2304" width="9" style="2955"/>
    <col min="2305" max="2305" width="27.75" style="2955" customWidth="1"/>
    <col min="2306" max="2306" width="6.25" style="2955" customWidth="1"/>
    <col min="2307" max="2307" width="11.75" style="2955" customWidth="1"/>
    <col min="2308" max="2309" width="13.875" style="2955" customWidth="1"/>
    <col min="2310" max="2310" width="19.875" style="2955" customWidth="1"/>
    <col min="2311" max="2311" width="7.875" style="2955" customWidth="1"/>
    <col min="2312" max="2312" width="9" style="2955" customWidth="1"/>
    <col min="2313" max="2314" width="10.625" style="2955" customWidth="1"/>
    <col min="2315" max="2316" width="14.375" style="2955" customWidth="1"/>
    <col min="2317" max="2317" width="6.25" style="2955" customWidth="1"/>
    <col min="2318" max="2318" width="36" style="2955" customWidth="1"/>
    <col min="2319" max="2560" width="9" style="2955"/>
    <col min="2561" max="2561" width="27.75" style="2955" customWidth="1"/>
    <col min="2562" max="2562" width="6.25" style="2955" customWidth="1"/>
    <col min="2563" max="2563" width="11.75" style="2955" customWidth="1"/>
    <col min="2564" max="2565" width="13.875" style="2955" customWidth="1"/>
    <col min="2566" max="2566" width="19.875" style="2955" customWidth="1"/>
    <col min="2567" max="2567" width="7.875" style="2955" customWidth="1"/>
    <col min="2568" max="2568" width="9" style="2955" customWidth="1"/>
    <col min="2569" max="2570" width="10.625" style="2955" customWidth="1"/>
    <col min="2571" max="2572" width="14.375" style="2955" customWidth="1"/>
    <col min="2573" max="2573" width="6.25" style="2955" customWidth="1"/>
    <col min="2574" max="2574" width="36" style="2955" customWidth="1"/>
    <col min="2575" max="2816" width="9" style="2955"/>
    <col min="2817" max="2817" width="27.75" style="2955" customWidth="1"/>
    <col min="2818" max="2818" width="6.25" style="2955" customWidth="1"/>
    <col min="2819" max="2819" width="11.75" style="2955" customWidth="1"/>
    <col min="2820" max="2821" width="13.875" style="2955" customWidth="1"/>
    <col min="2822" max="2822" width="19.875" style="2955" customWidth="1"/>
    <col min="2823" max="2823" width="7.875" style="2955" customWidth="1"/>
    <col min="2824" max="2824" width="9" style="2955" customWidth="1"/>
    <col min="2825" max="2826" width="10.625" style="2955" customWidth="1"/>
    <col min="2827" max="2828" width="14.375" style="2955" customWidth="1"/>
    <col min="2829" max="2829" width="6.25" style="2955" customWidth="1"/>
    <col min="2830" max="2830" width="36" style="2955" customWidth="1"/>
    <col min="2831" max="3072" width="9" style="2955"/>
    <col min="3073" max="3073" width="27.75" style="2955" customWidth="1"/>
    <col min="3074" max="3074" width="6.25" style="2955" customWidth="1"/>
    <col min="3075" max="3075" width="11.75" style="2955" customWidth="1"/>
    <col min="3076" max="3077" width="13.875" style="2955" customWidth="1"/>
    <col min="3078" max="3078" width="19.875" style="2955" customWidth="1"/>
    <col min="3079" max="3079" width="7.875" style="2955" customWidth="1"/>
    <col min="3080" max="3080" width="9" style="2955" customWidth="1"/>
    <col min="3081" max="3082" width="10.625" style="2955" customWidth="1"/>
    <col min="3083" max="3084" width="14.375" style="2955" customWidth="1"/>
    <col min="3085" max="3085" width="6.25" style="2955" customWidth="1"/>
    <col min="3086" max="3086" width="36" style="2955" customWidth="1"/>
    <col min="3087" max="3328" width="9" style="2955"/>
    <col min="3329" max="3329" width="27.75" style="2955" customWidth="1"/>
    <col min="3330" max="3330" width="6.25" style="2955" customWidth="1"/>
    <col min="3331" max="3331" width="11.75" style="2955" customWidth="1"/>
    <col min="3332" max="3333" width="13.875" style="2955" customWidth="1"/>
    <col min="3334" max="3334" width="19.875" style="2955" customWidth="1"/>
    <col min="3335" max="3335" width="7.875" style="2955" customWidth="1"/>
    <col min="3336" max="3336" width="9" style="2955" customWidth="1"/>
    <col min="3337" max="3338" width="10.625" style="2955" customWidth="1"/>
    <col min="3339" max="3340" width="14.375" style="2955" customWidth="1"/>
    <col min="3341" max="3341" width="6.25" style="2955" customWidth="1"/>
    <col min="3342" max="3342" width="36" style="2955" customWidth="1"/>
    <col min="3343" max="3584" width="9" style="2955"/>
    <col min="3585" max="3585" width="27.75" style="2955" customWidth="1"/>
    <col min="3586" max="3586" width="6.25" style="2955" customWidth="1"/>
    <col min="3587" max="3587" width="11.75" style="2955" customWidth="1"/>
    <col min="3588" max="3589" width="13.875" style="2955" customWidth="1"/>
    <col min="3590" max="3590" width="19.875" style="2955" customWidth="1"/>
    <col min="3591" max="3591" width="7.875" style="2955" customWidth="1"/>
    <col min="3592" max="3592" width="9" style="2955" customWidth="1"/>
    <col min="3593" max="3594" width="10.625" style="2955" customWidth="1"/>
    <col min="3595" max="3596" width="14.375" style="2955" customWidth="1"/>
    <col min="3597" max="3597" width="6.25" style="2955" customWidth="1"/>
    <col min="3598" max="3598" width="36" style="2955" customWidth="1"/>
    <col min="3599" max="3840" width="9" style="2955"/>
    <col min="3841" max="3841" width="27.75" style="2955" customWidth="1"/>
    <col min="3842" max="3842" width="6.25" style="2955" customWidth="1"/>
    <col min="3843" max="3843" width="11.75" style="2955" customWidth="1"/>
    <col min="3844" max="3845" width="13.875" style="2955" customWidth="1"/>
    <col min="3846" max="3846" width="19.875" style="2955" customWidth="1"/>
    <col min="3847" max="3847" width="7.875" style="2955" customWidth="1"/>
    <col min="3848" max="3848" width="9" style="2955" customWidth="1"/>
    <col min="3849" max="3850" width="10.625" style="2955" customWidth="1"/>
    <col min="3851" max="3852" width="14.375" style="2955" customWidth="1"/>
    <col min="3853" max="3853" width="6.25" style="2955" customWidth="1"/>
    <col min="3854" max="3854" width="36" style="2955" customWidth="1"/>
    <col min="3855" max="4096" width="9" style="2955"/>
    <col min="4097" max="4097" width="27.75" style="2955" customWidth="1"/>
    <col min="4098" max="4098" width="6.25" style="2955" customWidth="1"/>
    <col min="4099" max="4099" width="11.75" style="2955" customWidth="1"/>
    <col min="4100" max="4101" width="13.875" style="2955" customWidth="1"/>
    <col min="4102" max="4102" width="19.875" style="2955" customWidth="1"/>
    <col min="4103" max="4103" width="7.875" style="2955" customWidth="1"/>
    <col min="4104" max="4104" width="9" style="2955" customWidth="1"/>
    <col min="4105" max="4106" width="10.625" style="2955" customWidth="1"/>
    <col min="4107" max="4108" width="14.375" style="2955" customWidth="1"/>
    <col min="4109" max="4109" width="6.25" style="2955" customWidth="1"/>
    <col min="4110" max="4110" width="36" style="2955" customWidth="1"/>
    <col min="4111" max="4352" width="9" style="2955"/>
    <col min="4353" max="4353" width="27.75" style="2955" customWidth="1"/>
    <col min="4354" max="4354" width="6.25" style="2955" customWidth="1"/>
    <col min="4355" max="4355" width="11.75" style="2955" customWidth="1"/>
    <col min="4356" max="4357" width="13.875" style="2955" customWidth="1"/>
    <col min="4358" max="4358" width="19.875" style="2955" customWidth="1"/>
    <col min="4359" max="4359" width="7.875" style="2955" customWidth="1"/>
    <col min="4360" max="4360" width="9" style="2955" customWidth="1"/>
    <col min="4361" max="4362" width="10.625" style="2955" customWidth="1"/>
    <col min="4363" max="4364" width="14.375" style="2955" customWidth="1"/>
    <col min="4365" max="4365" width="6.25" style="2955" customWidth="1"/>
    <col min="4366" max="4366" width="36" style="2955" customWidth="1"/>
    <col min="4367" max="4608" width="9" style="2955"/>
    <col min="4609" max="4609" width="27.75" style="2955" customWidth="1"/>
    <col min="4610" max="4610" width="6.25" style="2955" customWidth="1"/>
    <col min="4611" max="4611" width="11.75" style="2955" customWidth="1"/>
    <col min="4612" max="4613" width="13.875" style="2955" customWidth="1"/>
    <col min="4614" max="4614" width="19.875" style="2955" customWidth="1"/>
    <col min="4615" max="4615" width="7.875" style="2955" customWidth="1"/>
    <col min="4616" max="4616" width="9" style="2955" customWidth="1"/>
    <col min="4617" max="4618" width="10.625" style="2955" customWidth="1"/>
    <col min="4619" max="4620" width="14.375" style="2955" customWidth="1"/>
    <col min="4621" max="4621" width="6.25" style="2955" customWidth="1"/>
    <col min="4622" max="4622" width="36" style="2955" customWidth="1"/>
    <col min="4623" max="4864" width="9" style="2955"/>
    <col min="4865" max="4865" width="27.75" style="2955" customWidth="1"/>
    <col min="4866" max="4866" width="6.25" style="2955" customWidth="1"/>
    <col min="4867" max="4867" width="11.75" style="2955" customWidth="1"/>
    <col min="4868" max="4869" width="13.875" style="2955" customWidth="1"/>
    <col min="4870" max="4870" width="19.875" style="2955" customWidth="1"/>
    <col min="4871" max="4871" width="7.875" style="2955" customWidth="1"/>
    <col min="4872" max="4872" width="9" style="2955" customWidth="1"/>
    <col min="4873" max="4874" width="10.625" style="2955" customWidth="1"/>
    <col min="4875" max="4876" width="14.375" style="2955" customWidth="1"/>
    <col min="4877" max="4877" width="6.25" style="2955" customWidth="1"/>
    <col min="4878" max="4878" width="36" style="2955" customWidth="1"/>
    <col min="4879" max="5120" width="9" style="2955"/>
    <col min="5121" max="5121" width="27.75" style="2955" customWidth="1"/>
    <col min="5122" max="5122" width="6.25" style="2955" customWidth="1"/>
    <col min="5123" max="5123" width="11.75" style="2955" customWidth="1"/>
    <col min="5124" max="5125" width="13.875" style="2955" customWidth="1"/>
    <col min="5126" max="5126" width="19.875" style="2955" customWidth="1"/>
    <col min="5127" max="5127" width="7.875" style="2955" customWidth="1"/>
    <col min="5128" max="5128" width="9" style="2955" customWidth="1"/>
    <col min="5129" max="5130" width="10.625" style="2955" customWidth="1"/>
    <col min="5131" max="5132" width="14.375" style="2955" customWidth="1"/>
    <col min="5133" max="5133" width="6.25" style="2955" customWidth="1"/>
    <col min="5134" max="5134" width="36" style="2955" customWidth="1"/>
    <col min="5135" max="5376" width="9" style="2955"/>
    <col min="5377" max="5377" width="27.75" style="2955" customWidth="1"/>
    <col min="5378" max="5378" width="6.25" style="2955" customWidth="1"/>
    <col min="5379" max="5379" width="11.75" style="2955" customWidth="1"/>
    <col min="5380" max="5381" width="13.875" style="2955" customWidth="1"/>
    <col min="5382" max="5382" width="19.875" style="2955" customWidth="1"/>
    <col min="5383" max="5383" width="7.875" style="2955" customWidth="1"/>
    <col min="5384" max="5384" width="9" style="2955" customWidth="1"/>
    <col min="5385" max="5386" width="10.625" style="2955" customWidth="1"/>
    <col min="5387" max="5388" width="14.375" style="2955" customWidth="1"/>
    <col min="5389" max="5389" width="6.25" style="2955" customWidth="1"/>
    <col min="5390" max="5390" width="36" style="2955" customWidth="1"/>
    <col min="5391" max="5632" width="9" style="2955"/>
    <col min="5633" max="5633" width="27.75" style="2955" customWidth="1"/>
    <col min="5634" max="5634" width="6.25" style="2955" customWidth="1"/>
    <col min="5635" max="5635" width="11.75" style="2955" customWidth="1"/>
    <col min="5636" max="5637" width="13.875" style="2955" customWidth="1"/>
    <col min="5638" max="5638" width="19.875" style="2955" customWidth="1"/>
    <col min="5639" max="5639" width="7.875" style="2955" customWidth="1"/>
    <col min="5640" max="5640" width="9" style="2955" customWidth="1"/>
    <col min="5641" max="5642" width="10.625" style="2955" customWidth="1"/>
    <col min="5643" max="5644" width="14.375" style="2955" customWidth="1"/>
    <col min="5645" max="5645" width="6.25" style="2955" customWidth="1"/>
    <col min="5646" max="5646" width="36" style="2955" customWidth="1"/>
    <col min="5647" max="5888" width="9" style="2955"/>
    <col min="5889" max="5889" width="27.75" style="2955" customWidth="1"/>
    <col min="5890" max="5890" width="6.25" style="2955" customWidth="1"/>
    <col min="5891" max="5891" width="11.75" style="2955" customWidth="1"/>
    <col min="5892" max="5893" width="13.875" style="2955" customWidth="1"/>
    <col min="5894" max="5894" width="19.875" style="2955" customWidth="1"/>
    <col min="5895" max="5895" width="7.875" style="2955" customWidth="1"/>
    <col min="5896" max="5896" width="9" style="2955" customWidth="1"/>
    <col min="5897" max="5898" width="10.625" style="2955" customWidth="1"/>
    <col min="5899" max="5900" width="14.375" style="2955" customWidth="1"/>
    <col min="5901" max="5901" width="6.25" style="2955" customWidth="1"/>
    <col min="5902" max="5902" width="36" style="2955" customWidth="1"/>
    <col min="5903" max="6144" width="9" style="2955"/>
    <col min="6145" max="6145" width="27.75" style="2955" customWidth="1"/>
    <col min="6146" max="6146" width="6.25" style="2955" customWidth="1"/>
    <col min="6147" max="6147" width="11.75" style="2955" customWidth="1"/>
    <col min="6148" max="6149" width="13.875" style="2955" customWidth="1"/>
    <col min="6150" max="6150" width="19.875" style="2955" customWidth="1"/>
    <col min="6151" max="6151" width="7.875" style="2955" customWidth="1"/>
    <col min="6152" max="6152" width="9" style="2955" customWidth="1"/>
    <col min="6153" max="6154" width="10.625" style="2955" customWidth="1"/>
    <col min="6155" max="6156" width="14.375" style="2955" customWidth="1"/>
    <col min="6157" max="6157" width="6.25" style="2955" customWidth="1"/>
    <col min="6158" max="6158" width="36" style="2955" customWidth="1"/>
    <col min="6159" max="6400" width="9" style="2955"/>
    <col min="6401" max="6401" width="27.75" style="2955" customWidth="1"/>
    <col min="6402" max="6402" width="6.25" style="2955" customWidth="1"/>
    <col min="6403" max="6403" width="11.75" style="2955" customWidth="1"/>
    <col min="6404" max="6405" width="13.875" style="2955" customWidth="1"/>
    <col min="6406" max="6406" width="19.875" style="2955" customWidth="1"/>
    <col min="6407" max="6407" width="7.875" style="2955" customWidth="1"/>
    <col min="6408" max="6408" width="9" style="2955" customWidth="1"/>
    <col min="6409" max="6410" width="10.625" style="2955" customWidth="1"/>
    <col min="6411" max="6412" width="14.375" style="2955" customWidth="1"/>
    <col min="6413" max="6413" width="6.25" style="2955" customWidth="1"/>
    <col min="6414" max="6414" width="36" style="2955" customWidth="1"/>
    <col min="6415" max="6656" width="9" style="2955"/>
    <col min="6657" max="6657" width="27.75" style="2955" customWidth="1"/>
    <col min="6658" max="6658" width="6.25" style="2955" customWidth="1"/>
    <col min="6659" max="6659" width="11.75" style="2955" customWidth="1"/>
    <col min="6660" max="6661" width="13.875" style="2955" customWidth="1"/>
    <col min="6662" max="6662" width="19.875" style="2955" customWidth="1"/>
    <col min="6663" max="6663" width="7.875" style="2955" customWidth="1"/>
    <col min="6664" max="6664" width="9" style="2955" customWidth="1"/>
    <col min="6665" max="6666" width="10.625" style="2955" customWidth="1"/>
    <col min="6667" max="6668" width="14.375" style="2955" customWidth="1"/>
    <col min="6669" max="6669" width="6.25" style="2955" customWidth="1"/>
    <col min="6670" max="6670" width="36" style="2955" customWidth="1"/>
    <col min="6671" max="6912" width="9" style="2955"/>
    <col min="6913" max="6913" width="27.75" style="2955" customWidth="1"/>
    <col min="6914" max="6914" width="6.25" style="2955" customWidth="1"/>
    <col min="6915" max="6915" width="11.75" style="2955" customWidth="1"/>
    <col min="6916" max="6917" width="13.875" style="2955" customWidth="1"/>
    <col min="6918" max="6918" width="19.875" style="2955" customWidth="1"/>
    <col min="6919" max="6919" width="7.875" style="2955" customWidth="1"/>
    <col min="6920" max="6920" width="9" style="2955" customWidth="1"/>
    <col min="6921" max="6922" width="10.625" style="2955" customWidth="1"/>
    <col min="6923" max="6924" width="14.375" style="2955" customWidth="1"/>
    <col min="6925" max="6925" width="6.25" style="2955" customWidth="1"/>
    <col min="6926" max="6926" width="36" style="2955" customWidth="1"/>
    <col min="6927" max="7168" width="9" style="2955"/>
    <col min="7169" max="7169" width="27.75" style="2955" customWidth="1"/>
    <col min="7170" max="7170" width="6.25" style="2955" customWidth="1"/>
    <col min="7171" max="7171" width="11.75" style="2955" customWidth="1"/>
    <col min="7172" max="7173" width="13.875" style="2955" customWidth="1"/>
    <col min="7174" max="7174" width="19.875" style="2955" customWidth="1"/>
    <col min="7175" max="7175" width="7.875" style="2955" customWidth="1"/>
    <col min="7176" max="7176" width="9" style="2955" customWidth="1"/>
    <col min="7177" max="7178" width="10.625" style="2955" customWidth="1"/>
    <col min="7179" max="7180" width="14.375" style="2955" customWidth="1"/>
    <col min="7181" max="7181" width="6.25" style="2955" customWidth="1"/>
    <col min="7182" max="7182" width="36" style="2955" customWidth="1"/>
    <col min="7183" max="7424" width="9" style="2955"/>
    <col min="7425" max="7425" width="27.75" style="2955" customWidth="1"/>
    <col min="7426" max="7426" width="6.25" style="2955" customWidth="1"/>
    <col min="7427" max="7427" width="11.75" style="2955" customWidth="1"/>
    <col min="7428" max="7429" width="13.875" style="2955" customWidth="1"/>
    <col min="7430" max="7430" width="19.875" style="2955" customWidth="1"/>
    <col min="7431" max="7431" width="7.875" style="2955" customWidth="1"/>
    <col min="7432" max="7432" width="9" style="2955" customWidth="1"/>
    <col min="7433" max="7434" width="10.625" style="2955" customWidth="1"/>
    <col min="7435" max="7436" width="14.375" style="2955" customWidth="1"/>
    <col min="7437" max="7437" width="6.25" style="2955" customWidth="1"/>
    <col min="7438" max="7438" width="36" style="2955" customWidth="1"/>
    <col min="7439" max="7680" width="9" style="2955"/>
    <col min="7681" max="7681" width="27.75" style="2955" customWidth="1"/>
    <col min="7682" max="7682" width="6.25" style="2955" customWidth="1"/>
    <col min="7683" max="7683" width="11.75" style="2955" customWidth="1"/>
    <col min="7684" max="7685" width="13.875" style="2955" customWidth="1"/>
    <col min="7686" max="7686" width="19.875" style="2955" customWidth="1"/>
    <col min="7687" max="7687" width="7.875" style="2955" customWidth="1"/>
    <col min="7688" max="7688" width="9" style="2955" customWidth="1"/>
    <col min="7689" max="7690" width="10.625" style="2955" customWidth="1"/>
    <col min="7691" max="7692" width="14.375" style="2955" customWidth="1"/>
    <col min="7693" max="7693" width="6.25" style="2955" customWidth="1"/>
    <col min="7694" max="7694" width="36" style="2955" customWidth="1"/>
    <col min="7695" max="7936" width="9" style="2955"/>
    <col min="7937" max="7937" width="27.75" style="2955" customWidth="1"/>
    <col min="7938" max="7938" width="6.25" style="2955" customWidth="1"/>
    <col min="7939" max="7939" width="11.75" style="2955" customWidth="1"/>
    <col min="7940" max="7941" width="13.875" style="2955" customWidth="1"/>
    <col min="7942" max="7942" width="19.875" style="2955" customWidth="1"/>
    <col min="7943" max="7943" width="7.875" style="2955" customWidth="1"/>
    <col min="7944" max="7944" width="9" style="2955" customWidth="1"/>
    <col min="7945" max="7946" width="10.625" style="2955" customWidth="1"/>
    <col min="7947" max="7948" width="14.375" style="2955" customWidth="1"/>
    <col min="7949" max="7949" width="6.25" style="2955" customWidth="1"/>
    <col min="7950" max="7950" width="36" style="2955" customWidth="1"/>
    <col min="7951" max="8192" width="9" style="2955"/>
    <col min="8193" max="8193" width="27.75" style="2955" customWidth="1"/>
    <col min="8194" max="8194" width="6.25" style="2955" customWidth="1"/>
    <col min="8195" max="8195" width="11.75" style="2955" customWidth="1"/>
    <col min="8196" max="8197" width="13.875" style="2955" customWidth="1"/>
    <col min="8198" max="8198" width="19.875" style="2955" customWidth="1"/>
    <col min="8199" max="8199" width="7.875" style="2955" customWidth="1"/>
    <col min="8200" max="8200" width="9" style="2955" customWidth="1"/>
    <col min="8201" max="8202" width="10.625" style="2955" customWidth="1"/>
    <col min="8203" max="8204" width="14.375" style="2955" customWidth="1"/>
    <col min="8205" max="8205" width="6.25" style="2955" customWidth="1"/>
    <col min="8206" max="8206" width="36" style="2955" customWidth="1"/>
    <col min="8207" max="8448" width="9" style="2955"/>
    <col min="8449" max="8449" width="27.75" style="2955" customWidth="1"/>
    <col min="8450" max="8450" width="6.25" style="2955" customWidth="1"/>
    <col min="8451" max="8451" width="11.75" style="2955" customWidth="1"/>
    <col min="8452" max="8453" width="13.875" style="2955" customWidth="1"/>
    <col min="8454" max="8454" width="19.875" style="2955" customWidth="1"/>
    <col min="8455" max="8455" width="7.875" style="2955" customWidth="1"/>
    <col min="8456" max="8456" width="9" style="2955" customWidth="1"/>
    <col min="8457" max="8458" width="10.625" style="2955" customWidth="1"/>
    <col min="8459" max="8460" width="14.375" style="2955" customWidth="1"/>
    <col min="8461" max="8461" width="6.25" style="2955" customWidth="1"/>
    <col min="8462" max="8462" width="36" style="2955" customWidth="1"/>
    <col min="8463" max="8704" width="9" style="2955"/>
    <col min="8705" max="8705" width="27.75" style="2955" customWidth="1"/>
    <col min="8706" max="8706" width="6.25" style="2955" customWidth="1"/>
    <col min="8707" max="8707" width="11.75" style="2955" customWidth="1"/>
    <col min="8708" max="8709" width="13.875" style="2955" customWidth="1"/>
    <col min="8710" max="8710" width="19.875" style="2955" customWidth="1"/>
    <col min="8711" max="8711" width="7.875" style="2955" customWidth="1"/>
    <col min="8712" max="8712" width="9" style="2955" customWidth="1"/>
    <col min="8713" max="8714" width="10.625" style="2955" customWidth="1"/>
    <col min="8715" max="8716" width="14.375" style="2955" customWidth="1"/>
    <col min="8717" max="8717" width="6.25" style="2955" customWidth="1"/>
    <col min="8718" max="8718" width="36" style="2955" customWidth="1"/>
    <col min="8719" max="8960" width="9" style="2955"/>
    <col min="8961" max="8961" width="27.75" style="2955" customWidth="1"/>
    <col min="8962" max="8962" width="6.25" style="2955" customWidth="1"/>
    <col min="8963" max="8963" width="11.75" style="2955" customWidth="1"/>
    <col min="8964" max="8965" width="13.875" style="2955" customWidth="1"/>
    <col min="8966" max="8966" width="19.875" style="2955" customWidth="1"/>
    <col min="8967" max="8967" width="7.875" style="2955" customWidth="1"/>
    <col min="8968" max="8968" width="9" style="2955" customWidth="1"/>
    <col min="8969" max="8970" width="10.625" style="2955" customWidth="1"/>
    <col min="8971" max="8972" width="14.375" style="2955" customWidth="1"/>
    <col min="8973" max="8973" width="6.25" style="2955" customWidth="1"/>
    <col min="8974" max="8974" width="36" style="2955" customWidth="1"/>
    <col min="8975" max="9216" width="9" style="2955"/>
    <col min="9217" max="9217" width="27.75" style="2955" customWidth="1"/>
    <col min="9218" max="9218" width="6.25" style="2955" customWidth="1"/>
    <col min="9219" max="9219" width="11.75" style="2955" customWidth="1"/>
    <col min="9220" max="9221" width="13.875" style="2955" customWidth="1"/>
    <col min="9222" max="9222" width="19.875" style="2955" customWidth="1"/>
    <col min="9223" max="9223" width="7.875" style="2955" customWidth="1"/>
    <col min="9224" max="9224" width="9" style="2955" customWidth="1"/>
    <col min="9225" max="9226" width="10.625" style="2955" customWidth="1"/>
    <col min="9227" max="9228" width="14.375" style="2955" customWidth="1"/>
    <col min="9229" max="9229" width="6.25" style="2955" customWidth="1"/>
    <col min="9230" max="9230" width="36" style="2955" customWidth="1"/>
    <col min="9231" max="9472" width="9" style="2955"/>
    <col min="9473" max="9473" width="27.75" style="2955" customWidth="1"/>
    <col min="9474" max="9474" width="6.25" style="2955" customWidth="1"/>
    <col min="9475" max="9475" width="11.75" style="2955" customWidth="1"/>
    <col min="9476" max="9477" width="13.875" style="2955" customWidth="1"/>
    <col min="9478" max="9478" width="19.875" style="2955" customWidth="1"/>
    <col min="9479" max="9479" width="7.875" style="2955" customWidth="1"/>
    <col min="9480" max="9480" width="9" style="2955" customWidth="1"/>
    <col min="9481" max="9482" width="10.625" style="2955" customWidth="1"/>
    <col min="9483" max="9484" width="14.375" style="2955" customWidth="1"/>
    <col min="9485" max="9485" width="6.25" style="2955" customWidth="1"/>
    <col min="9486" max="9486" width="36" style="2955" customWidth="1"/>
    <col min="9487" max="9728" width="9" style="2955"/>
    <col min="9729" max="9729" width="27.75" style="2955" customWidth="1"/>
    <col min="9730" max="9730" width="6.25" style="2955" customWidth="1"/>
    <col min="9731" max="9731" width="11.75" style="2955" customWidth="1"/>
    <col min="9732" max="9733" width="13.875" style="2955" customWidth="1"/>
    <col min="9734" max="9734" width="19.875" style="2955" customWidth="1"/>
    <col min="9735" max="9735" width="7.875" style="2955" customWidth="1"/>
    <col min="9736" max="9736" width="9" style="2955" customWidth="1"/>
    <col min="9737" max="9738" width="10.625" style="2955" customWidth="1"/>
    <col min="9739" max="9740" width="14.375" style="2955" customWidth="1"/>
    <col min="9741" max="9741" width="6.25" style="2955" customWidth="1"/>
    <col min="9742" max="9742" width="36" style="2955" customWidth="1"/>
    <col min="9743" max="9984" width="9" style="2955"/>
    <col min="9985" max="9985" width="27.75" style="2955" customWidth="1"/>
    <col min="9986" max="9986" width="6.25" style="2955" customWidth="1"/>
    <col min="9987" max="9987" width="11.75" style="2955" customWidth="1"/>
    <col min="9988" max="9989" width="13.875" style="2955" customWidth="1"/>
    <col min="9990" max="9990" width="19.875" style="2955" customWidth="1"/>
    <col min="9991" max="9991" width="7.875" style="2955" customWidth="1"/>
    <col min="9992" max="9992" width="9" style="2955" customWidth="1"/>
    <col min="9993" max="9994" width="10.625" style="2955" customWidth="1"/>
    <col min="9995" max="9996" width="14.375" style="2955" customWidth="1"/>
    <col min="9997" max="9997" width="6.25" style="2955" customWidth="1"/>
    <col min="9998" max="9998" width="36" style="2955" customWidth="1"/>
    <col min="9999" max="10240" width="9" style="2955"/>
    <col min="10241" max="10241" width="27.75" style="2955" customWidth="1"/>
    <col min="10242" max="10242" width="6.25" style="2955" customWidth="1"/>
    <col min="10243" max="10243" width="11.75" style="2955" customWidth="1"/>
    <col min="10244" max="10245" width="13.875" style="2955" customWidth="1"/>
    <col min="10246" max="10246" width="19.875" style="2955" customWidth="1"/>
    <col min="10247" max="10247" width="7.875" style="2955" customWidth="1"/>
    <col min="10248" max="10248" width="9" style="2955" customWidth="1"/>
    <col min="10249" max="10250" width="10.625" style="2955" customWidth="1"/>
    <col min="10251" max="10252" width="14.375" style="2955" customWidth="1"/>
    <col min="10253" max="10253" width="6.25" style="2955" customWidth="1"/>
    <col min="10254" max="10254" width="36" style="2955" customWidth="1"/>
    <col min="10255" max="10496" width="9" style="2955"/>
    <col min="10497" max="10497" width="27.75" style="2955" customWidth="1"/>
    <col min="10498" max="10498" width="6.25" style="2955" customWidth="1"/>
    <col min="10499" max="10499" width="11.75" style="2955" customWidth="1"/>
    <col min="10500" max="10501" width="13.875" style="2955" customWidth="1"/>
    <col min="10502" max="10502" width="19.875" style="2955" customWidth="1"/>
    <col min="10503" max="10503" width="7.875" style="2955" customWidth="1"/>
    <col min="10504" max="10504" width="9" style="2955" customWidth="1"/>
    <col min="10505" max="10506" width="10.625" style="2955" customWidth="1"/>
    <col min="10507" max="10508" width="14.375" style="2955" customWidth="1"/>
    <col min="10509" max="10509" width="6.25" style="2955" customWidth="1"/>
    <col min="10510" max="10510" width="36" style="2955" customWidth="1"/>
    <col min="10511" max="10752" width="9" style="2955"/>
    <col min="10753" max="10753" width="27.75" style="2955" customWidth="1"/>
    <col min="10754" max="10754" width="6.25" style="2955" customWidth="1"/>
    <col min="10755" max="10755" width="11.75" style="2955" customWidth="1"/>
    <col min="10756" max="10757" width="13.875" style="2955" customWidth="1"/>
    <col min="10758" max="10758" width="19.875" style="2955" customWidth="1"/>
    <col min="10759" max="10759" width="7.875" style="2955" customWidth="1"/>
    <col min="10760" max="10760" width="9" style="2955" customWidth="1"/>
    <col min="10761" max="10762" width="10.625" style="2955" customWidth="1"/>
    <col min="10763" max="10764" width="14.375" style="2955" customWidth="1"/>
    <col min="10765" max="10765" width="6.25" style="2955" customWidth="1"/>
    <col min="10766" max="10766" width="36" style="2955" customWidth="1"/>
    <col min="10767" max="11008" width="9" style="2955"/>
    <col min="11009" max="11009" width="27.75" style="2955" customWidth="1"/>
    <col min="11010" max="11010" width="6.25" style="2955" customWidth="1"/>
    <col min="11011" max="11011" width="11.75" style="2955" customWidth="1"/>
    <col min="11012" max="11013" width="13.875" style="2955" customWidth="1"/>
    <col min="11014" max="11014" width="19.875" style="2955" customWidth="1"/>
    <col min="11015" max="11015" width="7.875" style="2955" customWidth="1"/>
    <col min="11016" max="11016" width="9" style="2955" customWidth="1"/>
    <col min="11017" max="11018" width="10.625" style="2955" customWidth="1"/>
    <col min="11019" max="11020" width="14.375" style="2955" customWidth="1"/>
    <col min="11021" max="11021" width="6.25" style="2955" customWidth="1"/>
    <col min="11022" max="11022" width="36" style="2955" customWidth="1"/>
    <col min="11023" max="11264" width="9" style="2955"/>
    <col min="11265" max="11265" width="27.75" style="2955" customWidth="1"/>
    <col min="11266" max="11266" width="6.25" style="2955" customWidth="1"/>
    <col min="11267" max="11267" width="11.75" style="2955" customWidth="1"/>
    <col min="11268" max="11269" width="13.875" style="2955" customWidth="1"/>
    <col min="11270" max="11270" width="19.875" style="2955" customWidth="1"/>
    <col min="11271" max="11271" width="7.875" style="2955" customWidth="1"/>
    <col min="11272" max="11272" width="9" style="2955" customWidth="1"/>
    <col min="11273" max="11274" width="10.625" style="2955" customWidth="1"/>
    <col min="11275" max="11276" width="14.375" style="2955" customWidth="1"/>
    <col min="11277" max="11277" width="6.25" style="2955" customWidth="1"/>
    <col min="11278" max="11278" width="36" style="2955" customWidth="1"/>
    <col min="11279" max="11520" width="9" style="2955"/>
    <col min="11521" max="11521" width="27.75" style="2955" customWidth="1"/>
    <col min="11522" max="11522" width="6.25" style="2955" customWidth="1"/>
    <col min="11523" max="11523" width="11.75" style="2955" customWidth="1"/>
    <col min="11524" max="11525" width="13.875" style="2955" customWidth="1"/>
    <col min="11526" max="11526" width="19.875" style="2955" customWidth="1"/>
    <col min="11527" max="11527" width="7.875" style="2955" customWidth="1"/>
    <col min="11528" max="11528" width="9" style="2955" customWidth="1"/>
    <col min="11529" max="11530" width="10.625" style="2955" customWidth="1"/>
    <col min="11531" max="11532" width="14.375" style="2955" customWidth="1"/>
    <col min="11533" max="11533" width="6.25" style="2955" customWidth="1"/>
    <col min="11534" max="11534" width="36" style="2955" customWidth="1"/>
    <col min="11535" max="11776" width="9" style="2955"/>
    <col min="11777" max="11777" width="27.75" style="2955" customWidth="1"/>
    <col min="11778" max="11778" width="6.25" style="2955" customWidth="1"/>
    <col min="11779" max="11779" width="11.75" style="2955" customWidth="1"/>
    <col min="11780" max="11781" width="13.875" style="2955" customWidth="1"/>
    <col min="11782" max="11782" width="19.875" style="2955" customWidth="1"/>
    <col min="11783" max="11783" width="7.875" style="2955" customWidth="1"/>
    <col min="11784" max="11784" width="9" style="2955" customWidth="1"/>
    <col min="11785" max="11786" width="10.625" style="2955" customWidth="1"/>
    <col min="11787" max="11788" width="14.375" style="2955" customWidth="1"/>
    <col min="11789" max="11789" width="6.25" style="2955" customWidth="1"/>
    <col min="11790" max="11790" width="36" style="2955" customWidth="1"/>
    <col min="11791" max="12032" width="9" style="2955"/>
    <col min="12033" max="12033" width="27.75" style="2955" customWidth="1"/>
    <col min="12034" max="12034" width="6.25" style="2955" customWidth="1"/>
    <col min="12035" max="12035" width="11.75" style="2955" customWidth="1"/>
    <col min="12036" max="12037" width="13.875" style="2955" customWidth="1"/>
    <col min="12038" max="12038" width="19.875" style="2955" customWidth="1"/>
    <col min="12039" max="12039" width="7.875" style="2955" customWidth="1"/>
    <col min="12040" max="12040" width="9" style="2955" customWidth="1"/>
    <col min="12041" max="12042" width="10.625" style="2955" customWidth="1"/>
    <col min="12043" max="12044" width="14.375" style="2955" customWidth="1"/>
    <col min="12045" max="12045" width="6.25" style="2955" customWidth="1"/>
    <col min="12046" max="12046" width="36" style="2955" customWidth="1"/>
    <col min="12047" max="12288" width="9" style="2955"/>
    <col min="12289" max="12289" width="27.75" style="2955" customWidth="1"/>
    <col min="12290" max="12290" width="6.25" style="2955" customWidth="1"/>
    <col min="12291" max="12291" width="11.75" style="2955" customWidth="1"/>
    <col min="12292" max="12293" width="13.875" style="2955" customWidth="1"/>
    <col min="12294" max="12294" width="19.875" style="2955" customWidth="1"/>
    <col min="12295" max="12295" width="7.875" style="2955" customWidth="1"/>
    <col min="12296" max="12296" width="9" style="2955" customWidth="1"/>
    <col min="12297" max="12298" width="10.625" style="2955" customWidth="1"/>
    <col min="12299" max="12300" width="14.375" style="2955" customWidth="1"/>
    <col min="12301" max="12301" width="6.25" style="2955" customWidth="1"/>
    <col min="12302" max="12302" width="36" style="2955" customWidth="1"/>
    <col min="12303" max="12544" width="9" style="2955"/>
    <col min="12545" max="12545" width="27.75" style="2955" customWidth="1"/>
    <col min="12546" max="12546" width="6.25" style="2955" customWidth="1"/>
    <col min="12547" max="12547" width="11.75" style="2955" customWidth="1"/>
    <col min="12548" max="12549" width="13.875" style="2955" customWidth="1"/>
    <col min="12550" max="12550" width="19.875" style="2955" customWidth="1"/>
    <col min="12551" max="12551" width="7.875" style="2955" customWidth="1"/>
    <col min="12552" max="12552" width="9" style="2955" customWidth="1"/>
    <col min="12553" max="12554" width="10.625" style="2955" customWidth="1"/>
    <col min="12555" max="12556" width="14.375" style="2955" customWidth="1"/>
    <col min="12557" max="12557" width="6.25" style="2955" customWidth="1"/>
    <col min="12558" max="12558" width="36" style="2955" customWidth="1"/>
    <col min="12559" max="12800" width="9" style="2955"/>
    <col min="12801" max="12801" width="27.75" style="2955" customWidth="1"/>
    <col min="12802" max="12802" width="6.25" style="2955" customWidth="1"/>
    <col min="12803" max="12803" width="11.75" style="2955" customWidth="1"/>
    <col min="12804" max="12805" width="13.875" style="2955" customWidth="1"/>
    <col min="12806" max="12806" width="19.875" style="2955" customWidth="1"/>
    <col min="12807" max="12807" width="7.875" style="2955" customWidth="1"/>
    <col min="12808" max="12808" width="9" style="2955" customWidth="1"/>
    <col min="12809" max="12810" width="10.625" style="2955" customWidth="1"/>
    <col min="12811" max="12812" width="14.375" style="2955" customWidth="1"/>
    <col min="12813" max="12813" width="6.25" style="2955" customWidth="1"/>
    <col min="12814" max="12814" width="36" style="2955" customWidth="1"/>
    <col min="12815" max="13056" width="9" style="2955"/>
    <col min="13057" max="13057" width="27.75" style="2955" customWidth="1"/>
    <col min="13058" max="13058" width="6.25" style="2955" customWidth="1"/>
    <col min="13059" max="13059" width="11.75" style="2955" customWidth="1"/>
    <col min="13060" max="13061" width="13.875" style="2955" customWidth="1"/>
    <col min="13062" max="13062" width="19.875" style="2955" customWidth="1"/>
    <col min="13063" max="13063" width="7.875" style="2955" customWidth="1"/>
    <col min="13064" max="13064" width="9" style="2955" customWidth="1"/>
    <col min="13065" max="13066" width="10.625" style="2955" customWidth="1"/>
    <col min="13067" max="13068" width="14.375" style="2955" customWidth="1"/>
    <col min="13069" max="13069" width="6.25" style="2955" customWidth="1"/>
    <col min="13070" max="13070" width="36" style="2955" customWidth="1"/>
    <col min="13071" max="13312" width="9" style="2955"/>
    <col min="13313" max="13313" width="27.75" style="2955" customWidth="1"/>
    <col min="13314" max="13314" width="6.25" style="2955" customWidth="1"/>
    <col min="13315" max="13315" width="11.75" style="2955" customWidth="1"/>
    <col min="13316" max="13317" width="13.875" style="2955" customWidth="1"/>
    <col min="13318" max="13318" width="19.875" style="2955" customWidth="1"/>
    <col min="13319" max="13319" width="7.875" style="2955" customWidth="1"/>
    <col min="13320" max="13320" width="9" style="2955" customWidth="1"/>
    <col min="13321" max="13322" width="10.625" style="2955" customWidth="1"/>
    <col min="13323" max="13324" width="14.375" style="2955" customWidth="1"/>
    <col min="13325" max="13325" width="6.25" style="2955" customWidth="1"/>
    <col min="13326" max="13326" width="36" style="2955" customWidth="1"/>
    <col min="13327" max="13568" width="9" style="2955"/>
    <col min="13569" max="13569" width="27.75" style="2955" customWidth="1"/>
    <col min="13570" max="13570" width="6.25" style="2955" customWidth="1"/>
    <col min="13571" max="13571" width="11.75" style="2955" customWidth="1"/>
    <col min="13572" max="13573" width="13.875" style="2955" customWidth="1"/>
    <col min="13574" max="13574" width="19.875" style="2955" customWidth="1"/>
    <col min="13575" max="13575" width="7.875" style="2955" customWidth="1"/>
    <col min="13576" max="13576" width="9" style="2955" customWidth="1"/>
    <col min="13577" max="13578" width="10.625" style="2955" customWidth="1"/>
    <col min="13579" max="13580" width="14.375" style="2955" customWidth="1"/>
    <col min="13581" max="13581" width="6.25" style="2955" customWidth="1"/>
    <col min="13582" max="13582" width="36" style="2955" customWidth="1"/>
    <col min="13583" max="13824" width="9" style="2955"/>
    <col min="13825" max="13825" width="27.75" style="2955" customWidth="1"/>
    <col min="13826" max="13826" width="6.25" style="2955" customWidth="1"/>
    <col min="13827" max="13827" width="11.75" style="2955" customWidth="1"/>
    <col min="13828" max="13829" width="13.875" style="2955" customWidth="1"/>
    <col min="13830" max="13830" width="19.875" style="2955" customWidth="1"/>
    <col min="13831" max="13831" width="7.875" style="2955" customWidth="1"/>
    <col min="13832" max="13832" width="9" style="2955" customWidth="1"/>
    <col min="13833" max="13834" width="10.625" style="2955" customWidth="1"/>
    <col min="13835" max="13836" width="14.375" style="2955" customWidth="1"/>
    <col min="13837" max="13837" width="6.25" style="2955" customWidth="1"/>
    <col min="13838" max="13838" width="36" style="2955" customWidth="1"/>
    <col min="13839" max="14080" width="9" style="2955"/>
    <col min="14081" max="14081" width="27.75" style="2955" customWidth="1"/>
    <col min="14082" max="14082" width="6.25" style="2955" customWidth="1"/>
    <col min="14083" max="14083" width="11.75" style="2955" customWidth="1"/>
    <col min="14084" max="14085" width="13.875" style="2955" customWidth="1"/>
    <col min="14086" max="14086" width="19.875" style="2955" customWidth="1"/>
    <col min="14087" max="14087" width="7.875" style="2955" customWidth="1"/>
    <col min="14088" max="14088" width="9" style="2955" customWidth="1"/>
    <col min="14089" max="14090" width="10.625" style="2955" customWidth="1"/>
    <col min="14091" max="14092" width="14.375" style="2955" customWidth="1"/>
    <col min="14093" max="14093" width="6.25" style="2955" customWidth="1"/>
    <col min="14094" max="14094" width="36" style="2955" customWidth="1"/>
    <col min="14095" max="14336" width="9" style="2955"/>
    <col min="14337" max="14337" width="27.75" style="2955" customWidth="1"/>
    <col min="14338" max="14338" width="6.25" style="2955" customWidth="1"/>
    <col min="14339" max="14339" width="11.75" style="2955" customWidth="1"/>
    <col min="14340" max="14341" width="13.875" style="2955" customWidth="1"/>
    <col min="14342" max="14342" width="19.875" style="2955" customWidth="1"/>
    <col min="14343" max="14343" width="7.875" style="2955" customWidth="1"/>
    <col min="14344" max="14344" width="9" style="2955" customWidth="1"/>
    <col min="14345" max="14346" width="10.625" style="2955" customWidth="1"/>
    <col min="14347" max="14348" width="14.375" style="2955" customWidth="1"/>
    <col min="14349" max="14349" width="6.25" style="2955" customWidth="1"/>
    <col min="14350" max="14350" width="36" style="2955" customWidth="1"/>
    <col min="14351" max="14592" width="9" style="2955"/>
    <col min="14593" max="14593" width="27.75" style="2955" customWidth="1"/>
    <col min="14594" max="14594" width="6.25" style="2955" customWidth="1"/>
    <col min="14595" max="14595" width="11.75" style="2955" customWidth="1"/>
    <col min="14596" max="14597" width="13.875" style="2955" customWidth="1"/>
    <col min="14598" max="14598" width="19.875" style="2955" customWidth="1"/>
    <col min="14599" max="14599" width="7.875" style="2955" customWidth="1"/>
    <col min="14600" max="14600" width="9" style="2955" customWidth="1"/>
    <col min="14601" max="14602" width="10.625" style="2955" customWidth="1"/>
    <col min="14603" max="14604" width="14.375" style="2955" customWidth="1"/>
    <col min="14605" max="14605" width="6.25" style="2955" customWidth="1"/>
    <col min="14606" max="14606" width="36" style="2955" customWidth="1"/>
    <col min="14607" max="14848" width="9" style="2955"/>
    <col min="14849" max="14849" width="27.75" style="2955" customWidth="1"/>
    <col min="14850" max="14850" width="6.25" style="2955" customWidth="1"/>
    <col min="14851" max="14851" width="11.75" style="2955" customWidth="1"/>
    <col min="14852" max="14853" width="13.875" style="2955" customWidth="1"/>
    <col min="14854" max="14854" width="19.875" style="2955" customWidth="1"/>
    <col min="14855" max="14855" width="7.875" style="2955" customWidth="1"/>
    <col min="14856" max="14856" width="9" style="2955" customWidth="1"/>
    <col min="14857" max="14858" width="10.625" style="2955" customWidth="1"/>
    <col min="14859" max="14860" width="14.375" style="2955" customWidth="1"/>
    <col min="14861" max="14861" width="6.25" style="2955" customWidth="1"/>
    <col min="14862" max="14862" width="36" style="2955" customWidth="1"/>
    <col min="14863" max="15104" width="9" style="2955"/>
    <col min="15105" max="15105" width="27.75" style="2955" customWidth="1"/>
    <col min="15106" max="15106" width="6.25" style="2955" customWidth="1"/>
    <col min="15107" max="15107" width="11.75" style="2955" customWidth="1"/>
    <col min="15108" max="15109" width="13.875" style="2955" customWidth="1"/>
    <col min="15110" max="15110" width="19.875" style="2955" customWidth="1"/>
    <col min="15111" max="15111" width="7.875" style="2955" customWidth="1"/>
    <col min="15112" max="15112" width="9" style="2955" customWidth="1"/>
    <col min="15113" max="15114" width="10.625" style="2955" customWidth="1"/>
    <col min="15115" max="15116" width="14.375" style="2955" customWidth="1"/>
    <col min="15117" max="15117" width="6.25" style="2955" customWidth="1"/>
    <col min="15118" max="15118" width="36" style="2955" customWidth="1"/>
    <col min="15119" max="15360" width="9" style="2955"/>
    <col min="15361" max="15361" width="27.75" style="2955" customWidth="1"/>
    <col min="15362" max="15362" width="6.25" style="2955" customWidth="1"/>
    <col min="15363" max="15363" width="11.75" style="2955" customWidth="1"/>
    <col min="15364" max="15365" width="13.875" style="2955" customWidth="1"/>
    <col min="15366" max="15366" width="19.875" style="2955" customWidth="1"/>
    <col min="15367" max="15367" width="7.875" style="2955" customWidth="1"/>
    <col min="15368" max="15368" width="9" style="2955" customWidth="1"/>
    <col min="15369" max="15370" width="10.625" style="2955" customWidth="1"/>
    <col min="15371" max="15372" width="14.375" style="2955" customWidth="1"/>
    <col min="15373" max="15373" width="6.25" style="2955" customWidth="1"/>
    <col min="15374" max="15374" width="36" style="2955" customWidth="1"/>
    <col min="15375" max="15616" width="9" style="2955"/>
    <col min="15617" max="15617" width="27.75" style="2955" customWidth="1"/>
    <col min="15618" max="15618" width="6.25" style="2955" customWidth="1"/>
    <col min="15619" max="15619" width="11.75" style="2955" customWidth="1"/>
    <col min="15620" max="15621" width="13.875" style="2955" customWidth="1"/>
    <col min="15622" max="15622" width="19.875" style="2955" customWidth="1"/>
    <col min="15623" max="15623" width="7.875" style="2955" customWidth="1"/>
    <col min="15624" max="15624" width="9" style="2955" customWidth="1"/>
    <col min="15625" max="15626" width="10.625" style="2955" customWidth="1"/>
    <col min="15627" max="15628" width="14.375" style="2955" customWidth="1"/>
    <col min="15629" max="15629" width="6.25" style="2955" customWidth="1"/>
    <col min="15630" max="15630" width="36" style="2955" customWidth="1"/>
    <col min="15631" max="15872" width="9" style="2955"/>
    <col min="15873" max="15873" width="27.75" style="2955" customWidth="1"/>
    <col min="15874" max="15874" width="6.25" style="2955" customWidth="1"/>
    <col min="15875" max="15875" width="11.75" style="2955" customWidth="1"/>
    <col min="15876" max="15877" width="13.875" style="2955" customWidth="1"/>
    <col min="15878" max="15878" width="19.875" style="2955" customWidth="1"/>
    <col min="15879" max="15879" width="7.875" style="2955" customWidth="1"/>
    <col min="15880" max="15880" width="9" style="2955" customWidth="1"/>
    <col min="15881" max="15882" width="10.625" style="2955" customWidth="1"/>
    <col min="15883" max="15884" width="14.375" style="2955" customWidth="1"/>
    <col min="15885" max="15885" width="6.25" style="2955" customWidth="1"/>
    <col min="15886" max="15886" width="36" style="2955" customWidth="1"/>
    <col min="15887" max="16128" width="9" style="2955"/>
    <col min="16129" max="16129" width="27.75" style="2955" customWidth="1"/>
    <col min="16130" max="16130" width="6.25" style="2955" customWidth="1"/>
    <col min="16131" max="16131" width="11.75" style="2955" customWidth="1"/>
    <col min="16132" max="16133" width="13.875" style="2955" customWidth="1"/>
    <col min="16134" max="16134" width="19.875" style="2955" customWidth="1"/>
    <col min="16135" max="16135" width="7.875" style="2955" customWidth="1"/>
    <col min="16136" max="16136" width="9" style="2955" customWidth="1"/>
    <col min="16137" max="16138" width="10.625" style="2955" customWidth="1"/>
    <col min="16139" max="16140" width="14.375" style="2955" customWidth="1"/>
    <col min="16141" max="16141" width="6.25" style="2955" customWidth="1"/>
    <col min="16142" max="16142" width="36" style="2955" customWidth="1"/>
    <col min="16143" max="16384" width="9" style="2955"/>
  </cols>
  <sheetData>
    <row r="1" spans="1:14" ht="14.25">
      <c r="A1" s="2955" t="s">
        <v>3056</v>
      </c>
      <c r="B1" s="2955" t="s">
        <v>3057</v>
      </c>
      <c r="C1" s="2955" t="s">
        <v>3058</v>
      </c>
      <c r="D1" s="2955" t="s">
        <v>3059</v>
      </c>
      <c r="E1" s="2955" t="s">
        <v>3060</v>
      </c>
      <c r="F1" s="2955" t="s">
        <v>3061</v>
      </c>
      <c r="G1" s="2955" t="s">
        <v>3062</v>
      </c>
      <c r="H1" s="2955" t="s">
        <v>3063</v>
      </c>
      <c r="I1" s="2955" t="s">
        <v>3064</v>
      </c>
      <c r="J1" s="2955" t="s">
        <v>3065</v>
      </c>
      <c r="K1" s="2955" t="s">
        <v>3066</v>
      </c>
      <c r="L1" s="2956" t="s">
        <v>3067</v>
      </c>
      <c r="M1" s="2955" t="s">
        <v>3068</v>
      </c>
      <c r="N1" s="2955" t="s">
        <v>3069</v>
      </c>
    </row>
    <row r="2" spans="1:14" s="2958" customFormat="1">
      <c r="A2" s="2958" t="s">
        <v>3070</v>
      </c>
      <c r="B2" s="2958" t="s">
        <v>3071</v>
      </c>
      <c r="C2" s="2958" t="s">
        <v>3072</v>
      </c>
      <c r="D2" s="2958">
        <v>16530</v>
      </c>
      <c r="E2" s="2958">
        <v>45457.5</v>
      </c>
      <c r="F2" s="2958" t="s">
        <v>3073</v>
      </c>
      <c r="G2" s="2958" t="s">
        <v>3074</v>
      </c>
      <c r="H2" s="2958" t="s">
        <v>3075</v>
      </c>
      <c r="I2" s="2958">
        <v>3300</v>
      </c>
      <c r="J2" s="2958">
        <v>6090</v>
      </c>
      <c r="K2" s="2958">
        <v>1339.71</v>
      </c>
      <c r="L2" s="2958">
        <f>ROUND(J2*10000/D2,0)</f>
        <v>3684</v>
      </c>
      <c r="M2" s="2958">
        <v>84.55</v>
      </c>
      <c r="N2" s="2958" t="s">
        <v>3076</v>
      </c>
    </row>
    <row r="3" spans="1:14" s="2958" customFormat="1">
      <c r="A3" s="2958" t="s">
        <v>3077</v>
      </c>
      <c r="B3" s="2958" t="s">
        <v>3071</v>
      </c>
      <c r="C3" s="2958" t="s">
        <v>3072</v>
      </c>
      <c r="D3" s="2958">
        <v>19615</v>
      </c>
      <c r="E3" s="2958">
        <v>68652.5</v>
      </c>
      <c r="F3" s="2958" t="s">
        <v>3078</v>
      </c>
      <c r="G3" s="2958" t="s">
        <v>3074</v>
      </c>
      <c r="H3" s="2958" t="s">
        <v>3075</v>
      </c>
      <c r="I3" s="2958">
        <v>6800</v>
      </c>
      <c r="J3" s="2958">
        <v>7050</v>
      </c>
      <c r="K3" s="2958">
        <v>1026.9100000000001</v>
      </c>
      <c r="L3" s="2958">
        <f t="shared" ref="L3:L51" si="0">ROUND(J3*10000/D3,0)</f>
        <v>3594</v>
      </c>
      <c r="M3" s="2958">
        <v>3.68</v>
      </c>
      <c r="N3" s="2958" t="s">
        <v>3079</v>
      </c>
    </row>
    <row r="4" spans="1:14" s="2957" customFormat="1">
      <c r="A4" s="2957" t="s">
        <v>3080</v>
      </c>
      <c r="B4" s="2957" t="s">
        <v>3071</v>
      </c>
      <c r="C4" s="2957" t="s">
        <v>3072</v>
      </c>
      <c r="D4" s="2957">
        <v>13203</v>
      </c>
      <c r="E4" s="2957">
        <v>8581.9500000000007</v>
      </c>
      <c r="F4" s="2957" t="s">
        <v>3081</v>
      </c>
      <c r="G4" s="2957" t="s">
        <v>3074</v>
      </c>
      <c r="H4" s="2957" t="s">
        <v>3075</v>
      </c>
      <c r="I4" s="2957">
        <v>2900</v>
      </c>
      <c r="J4" s="2957">
        <v>2900</v>
      </c>
      <c r="K4" s="2957">
        <v>3379.19</v>
      </c>
      <c r="L4" s="2957">
        <f t="shared" si="0"/>
        <v>2196</v>
      </c>
      <c r="M4" s="2957">
        <v>0</v>
      </c>
      <c r="N4" s="2957" t="s">
        <v>3082</v>
      </c>
    </row>
    <row r="5" spans="1:14">
      <c r="A5" s="2955" t="s">
        <v>3083</v>
      </c>
      <c r="B5" s="2955" t="s">
        <v>3071</v>
      </c>
      <c r="C5" s="2955" t="s">
        <v>3072</v>
      </c>
      <c r="D5" s="2955">
        <v>5507</v>
      </c>
      <c r="E5" s="2955">
        <v>11124.14</v>
      </c>
      <c r="F5" s="2955" t="s">
        <v>3084</v>
      </c>
      <c r="G5" s="2955" t="s">
        <v>3074</v>
      </c>
      <c r="H5" s="2955" t="s">
        <v>3075</v>
      </c>
      <c r="I5" s="2955">
        <v>4500</v>
      </c>
      <c r="J5" s="2955">
        <v>4550</v>
      </c>
      <c r="K5" s="2955">
        <v>4090.19</v>
      </c>
      <c r="L5" s="2955">
        <f t="shared" si="0"/>
        <v>8262</v>
      </c>
      <c r="M5" s="2955">
        <v>1.1100000000000001</v>
      </c>
      <c r="N5" s="2955" t="s">
        <v>3085</v>
      </c>
    </row>
    <row r="6" spans="1:14" s="2958" customFormat="1">
      <c r="A6" s="2958" t="s">
        <v>3086</v>
      </c>
      <c r="B6" s="2958" t="s">
        <v>3071</v>
      </c>
      <c r="C6" s="2958" t="s">
        <v>3072</v>
      </c>
      <c r="D6" s="2958">
        <v>12497</v>
      </c>
      <c r="E6" s="2958">
        <v>31242.5</v>
      </c>
      <c r="F6" s="2958" t="s">
        <v>3087</v>
      </c>
      <c r="G6" s="2958" t="s">
        <v>3074</v>
      </c>
      <c r="H6" s="2958" t="s">
        <v>3075</v>
      </c>
      <c r="I6" s="2958">
        <v>6300</v>
      </c>
      <c r="J6" s="2958">
        <v>10000</v>
      </c>
      <c r="K6" s="2958">
        <v>3200.76</v>
      </c>
      <c r="L6" s="2958">
        <f t="shared" si="0"/>
        <v>8002</v>
      </c>
      <c r="M6" s="2958">
        <v>58.73</v>
      </c>
      <c r="N6" s="2958" t="s">
        <v>3088</v>
      </c>
    </row>
    <row r="7" spans="1:14" s="2957" customFormat="1">
      <c r="A7" s="2957" t="s">
        <v>3089</v>
      </c>
      <c r="B7" s="2957" t="s">
        <v>3071</v>
      </c>
      <c r="C7" s="2957" t="s">
        <v>3072</v>
      </c>
      <c r="D7" s="2957">
        <v>49739</v>
      </c>
      <c r="E7" s="2957">
        <v>29843.4</v>
      </c>
      <c r="F7" s="2957" t="s">
        <v>3090</v>
      </c>
      <c r="G7" s="2957" t="s">
        <v>3074</v>
      </c>
      <c r="H7" s="2957" t="s">
        <v>3091</v>
      </c>
      <c r="I7" s="2957">
        <v>9750</v>
      </c>
      <c r="J7" s="2957">
        <v>9750</v>
      </c>
      <c r="K7" s="2957">
        <v>3267.05</v>
      </c>
      <c r="L7" s="2957">
        <f t="shared" si="0"/>
        <v>1960</v>
      </c>
      <c r="M7" s="2957">
        <v>0</v>
      </c>
      <c r="N7" s="2957" t="s">
        <v>3092</v>
      </c>
    </row>
    <row r="8" spans="1:14" s="2957" customFormat="1">
      <c r="A8" s="2957" t="s">
        <v>3093</v>
      </c>
      <c r="B8" s="2957" t="s">
        <v>3071</v>
      </c>
      <c r="C8" s="2957" t="s">
        <v>3072</v>
      </c>
      <c r="D8" s="2957">
        <v>17980</v>
      </c>
      <c r="E8" s="2957">
        <v>14384</v>
      </c>
      <c r="F8" s="2957" t="s">
        <v>3094</v>
      </c>
      <c r="G8" s="2957" t="s">
        <v>3074</v>
      </c>
      <c r="H8" s="2957" t="s">
        <v>3091</v>
      </c>
      <c r="I8" s="2957">
        <v>4060.8</v>
      </c>
      <c r="J8" s="2957">
        <v>4060.8</v>
      </c>
      <c r="K8" s="2957">
        <v>2823.13</v>
      </c>
      <c r="L8" s="2957">
        <f t="shared" si="0"/>
        <v>2259</v>
      </c>
      <c r="M8" s="2957">
        <v>0</v>
      </c>
      <c r="N8" s="2957" t="s">
        <v>3092</v>
      </c>
    </row>
    <row r="9" spans="1:14">
      <c r="A9" s="2955" t="s">
        <v>3095</v>
      </c>
      <c r="B9" s="2955" t="s">
        <v>3071</v>
      </c>
      <c r="C9" s="2955" t="s">
        <v>3072</v>
      </c>
      <c r="D9" s="2955">
        <v>1702</v>
      </c>
      <c r="E9" s="2955">
        <v>680.8</v>
      </c>
      <c r="F9" s="2955" t="s">
        <v>3096</v>
      </c>
      <c r="G9" s="2955" t="s">
        <v>3074</v>
      </c>
      <c r="H9" s="2955" t="s">
        <v>3097</v>
      </c>
      <c r="I9" s="2955">
        <v>780</v>
      </c>
      <c r="J9" s="2955">
        <v>780</v>
      </c>
      <c r="K9" s="2955">
        <v>11457.11</v>
      </c>
      <c r="L9" s="2955">
        <f t="shared" si="0"/>
        <v>4583</v>
      </c>
      <c r="M9" s="2955">
        <v>0</v>
      </c>
      <c r="N9" s="2955" t="s">
        <v>3098</v>
      </c>
    </row>
    <row r="10" spans="1:14">
      <c r="A10" s="2955" t="s">
        <v>3099</v>
      </c>
      <c r="B10" s="2955" t="s">
        <v>3071</v>
      </c>
      <c r="C10" s="2955" t="s">
        <v>3072</v>
      </c>
      <c r="D10" s="2955">
        <v>8018</v>
      </c>
      <c r="E10" s="2955">
        <v>9621.6</v>
      </c>
      <c r="F10" s="2955" t="s">
        <v>3100</v>
      </c>
      <c r="G10" s="2955" t="s">
        <v>3074</v>
      </c>
      <c r="H10" s="2955" t="s">
        <v>3097</v>
      </c>
      <c r="I10" s="2955">
        <v>4070</v>
      </c>
      <c r="J10" s="2955">
        <v>6770</v>
      </c>
      <c r="K10" s="2955">
        <v>7036.25</v>
      </c>
      <c r="L10" s="2955">
        <f t="shared" si="0"/>
        <v>8444</v>
      </c>
      <c r="M10" s="2955">
        <v>66.34</v>
      </c>
      <c r="N10" s="2955" t="s">
        <v>3101</v>
      </c>
    </row>
    <row r="11" spans="1:14">
      <c r="A11" s="2955" t="s">
        <v>3102</v>
      </c>
      <c r="B11" s="2955" t="s">
        <v>3071</v>
      </c>
      <c r="C11" s="2955" t="s">
        <v>3072</v>
      </c>
      <c r="D11" s="2955">
        <v>8657</v>
      </c>
      <c r="E11" s="2955">
        <v>6925.6</v>
      </c>
      <c r="F11" s="2955" t="s">
        <v>3094</v>
      </c>
      <c r="G11" s="2955" t="s">
        <v>3074</v>
      </c>
      <c r="H11" s="2955" t="s">
        <v>3097</v>
      </c>
      <c r="I11" s="2955">
        <v>1600</v>
      </c>
      <c r="J11" s="2955">
        <v>1600</v>
      </c>
      <c r="K11" s="2955">
        <v>2310.2600000000002</v>
      </c>
      <c r="L11" s="2955">
        <f t="shared" si="0"/>
        <v>1848</v>
      </c>
      <c r="M11" s="2955">
        <v>0</v>
      </c>
      <c r="N11" s="2955" t="s">
        <v>3103</v>
      </c>
    </row>
    <row r="12" spans="1:14">
      <c r="A12" s="2955" t="s">
        <v>3104</v>
      </c>
      <c r="B12" s="2955" t="s">
        <v>3071</v>
      </c>
      <c r="C12" s="2955" t="s">
        <v>3072</v>
      </c>
      <c r="D12" s="2955">
        <v>1444</v>
      </c>
      <c r="E12" s="2955">
        <v>1660.6</v>
      </c>
      <c r="F12" s="2955" t="s">
        <v>3105</v>
      </c>
      <c r="G12" s="2955" t="s">
        <v>3074</v>
      </c>
      <c r="H12" s="2955" t="s">
        <v>3097</v>
      </c>
      <c r="I12" s="2955">
        <v>330</v>
      </c>
      <c r="J12" s="2955">
        <v>330</v>
      </c>
      <c r="K12" s="2955">
        <v>1987.23</v>
      </c>
      <c r="L12" s="2955">
        <f t="shared" si="0"/>
        <v>2285</v>
      </c>
      <c r="M12" s="2955">
        <v>0</v>
      </c>
      <c r="N12" s="2955" t="s">
        <v>3106</v>
      </c>
    </row>
    <row r="13" spans="1:14">
      <c r="A13" s="2955" t="s">
        <v>3107</v>
      </c>
      <c r="B13" s="2955" t="s">
        <v>3071</v>
      </c>
      <c r="C13" s="2955" t="s">
        <v>3072</v>
      </c>
      <c r="D13" s="2955">
        <v>4978</v>
      </c>
      <c r="E13" s="2955">
        <v>995.6</v>
      </c>
      <c r="F13" s="2955" t="s">
        <v>3108</v>
      </c>
      <c r="G13" s="2955" t="s">
        <v>3074</v>
      </c>
      <c r="H13" s="2955" t="s">
        <v>3097</v>
      </c>
      <c r="I13" s="2955">
        <v>1200</v>
      </c>
      <c r="J13" s="2955">
        <v>1200</v>
      </c>
      <c r="K13" s="2955">
        <v>12053.03</v>
      </c>
      <c r="L13" s="2955">
        <f t="shared" si="0"/>
        <v>2411</v>
      </c>
      <c r="M13" s="2955">
        <v>0</v>
      </c>
      <c r="N13" s="2955" t="s">
        <v>3109</v>
      </c>
    </row>
    <row r="14" spans="1:14">
      <c r="A14" s="2955" t="s">
        <v>3110</v>
      </c>
      <c r="B14" s="2955" t="s">
        <v>3071</v>
      </c>
      <c r="C14" s="2955" t="s">
        <v>3072</v>
      </c>
      <c r="D14" s="2955">
        <v>7913</v>
      </c>
      <c r="E14" s="2955">
        <v>8308.65</v>
      </c>
      <c r="F14" s="2955" t="s">
        <v>3111</v>
      </c>
      <c r="G14" s="2955" t="s">
        <v>3074</v>
      </c>
      <c r="H14" s="2955" t="s">
        <v>3097</v>
      </c>
      <c r="I14" s="2955">
        <v>1500</v>
      </c>
      <c r="J14" s="2955">
        <v>1500</v>
      </c>
      <c r="K14" s="2955">
        <v>1805.34</v>
      </c>
      <c r="L14" s="2955">
        <f t="shared" si="0"/>
        <v>1896</v>
      </c>
      <c r="M14" s="2955">
        <v>0</v>
      </c>
      <c r="N14" s="2955" t="s">
        <v>3112</v>
      </c>
    </row>
    <row r="15" spans="1:14" s="2958" customFormat="1">
      <c r="A15" s="2958" t="s">
        <v>3113</v>
      </c>
      <c r="B15" s="2958" t="s">
        <v>3071</v>
      </c>
      <c r="C15" s="2958" t="s">
        <v>3072</v>
      </c>
      <c r="D15" s="2958">
        <v>57472</v>
      </c>
      <c r="E15" s="2958">
        <v>43104</v>
      </c>
      <c r="F15" s="2958" t="s">
        <v>3114</v>
      </c>
      <c r="G15" s="2958" t="s">
        <v>3074</v>
      </c>
      <c r="H15" s="2958" t="s">
        <v>3115</v>
      </c>
      <c r="I15" s="2958">
        <v>24800</v>
      </c>
      <c r="J15" s="2958">
        <v>24800</v>
      </c>
      <c r="K15" s="2958">
        <v>5753.52</v>
      </c>
      <c r="L15" s="2958">
        <f t="shared" si="0"/>
        <v>4315</v>
      </c>
      <c r="M15" s="2958">
        <v>0</v>
      </c>
      <c r="N15" s="2958" t="s">
        <v>3116</v>
      </c>
    </row>
    <row r="16" spans="1:14">
      <c r="A16" s="2955" t="s">
        <v>3117</v>
      </c>
      <c r="B16" s="2955" t="s">
        <v>3071</v>
      </c>
      <c r="C16" s="2955" t="s">
        <v>3072</v>
      </c>
      <c r="D16" s="2955">
        <v>1658</v>
      </c>
      <c r="E16" s="2955">
        <v>663.2</v>
      </c>
      <c r="F16" s="2955" t="s">
        <v>3096</v>
      </c>
      <c r="G16" s="2955" t="s">
        <v>3074</v>
      </c>
      <c r="H16" s="2955" t="s">
        <v>3115</v>
      </c>
      <c r="I16" s="2955">
        <v>1080</v>
      </c>
      <c r="J16" s="2955">
        <v>1080</v>
      </c>
      <c r="K16" s="2955">
        <v>16284.68</v>
      </c>
      <c r="L16" s="2955">
        <f t="shared" si="0"/>
        <v>6514</v>
      </c>
      <c r="M16" s="2955">
        <v>0</v>
      </c>
      <c r="N16" s="2955" t="s">
        <v>3118</v>
      </c>
    </row>
    <row r="17" spans="1:14">
      <c r="A17" s="2955" t="s">
        <v>3119</v>
      </c>
      <c r="B17" s="2955" t="s">
        <v>3071</v>
      </c>
      <c r="C17" s="2955" t="s">
        <v>3072</v>
      </c>
      <c r="D17" s="2955">
        <v>96628</v>
      </c>
      <c r="E17" s="2955">
        <v>36525.379999999997</v>
      </c>
      <c r="F17" s="2955" t="s">
        <v>3120</v>
      </c>
      <c r="G17" s="2955" t="s">
        <v>3074</v>
      </c>
      <c r="H17" s="2955" t="s">
        <v>3121</v>
      </c>
      <c r="I17" s="2955">
        <v>17000</v>
      </c>
      <c r="J17" s="2955">
        <v>17000</v>
      </c>
      <c r="K17" s="2955">
        <v>4654.3</v>
      </c>
      <c r="L17" s="2955">
        <f t="shared" si="0"/>
        <v>1759</v>
      </c>
      <c r="M17" s="2955">
        <v>0</v>
      </c>
      <c r="N17" s="2955" t="s">
        <v>3116</v>
      </c>
    </row>
    <row r="18" spans="1:14">
      <c r="A18" s="2955" t="s">
        <v>3122</v>
      </c>
      <c r="B18" s="2955" t="s">
        <v>3071</v>
      </c>
      <c r="C18" s="2955" t="s">
        <v>3072</v>
      </c>
      <c r="D18" s="2955">
        <v>9121</v>
      </c>
      <c r="E18" s="2955">
        <v>1550.57</v>
      </c>
      <c r="F18" s="2955" t="s">
        <v>3123</v>
      </c>
      <c r="G18" s="2955" t="s">
        <v>3074</v>
      </c>
      <c r="H18" s="2955" t="s">
        <v>3121</v>
      </c>
      <c r="I18" s="2955">
        <v>1000</v>
      </c>
      <c r="J18" s="2955">
        <v>1000</v>
      </c>
      <c r="K18" s="2955">
        <v>6449.23</v>
      </c>
      <c r="L18" s="2955">
        <f t="shared" si="0"/>
        <v>1096</v>
      </c>
      <c r="M18" s="2955">
        <v>0</v>
      </c>
      <c r="N18" s="2955" t="s">
        <v>3116</v>
      </c>
    </row>
    <row r="19" spans="1:14">
      <c r="A19" s="2955" t="s">
        <v>3124</v>
      </c>
      <c r="B19" s="2955" t="s">
        <v>3071</v>
      </c>
      <c r="C19" s="2955" t="s">
        <v>3072</v>
      </c>
      <c r="D19" s="2955">
        <v>65822</v>
      </c>
      <c r="E19" s="2955">
        <v>19746.599999999999</v>
      </c>
      <c r="F19" s="2955" t="s">
        <v>3125</v>
      </c>
      <c r="G19" s="2955" t="s">
        <v>3074</v>
      </c>
      <c r="H19" s="2955" t="s">
        <v>3121</v>
      </c>
      <c r="I19" s="2955">
        <v>8000</v>
      </c>
      <c r="J19" s="2955">
        <v>8200</v>
      </c>
      <c r="K19" s="2955">
        <v>4152.6000000000004</v>
      </c>
      <c r="L19" s="2955">
        <f t="shared" si="0"/>
        <v>1246</v>
      </c>
      <c r="M19" s="2955">
        <v>2.5</v>
      </c>
      <c r="N19" s="2955" t="s">
        <v>3126</v>
      </c>
    </row>
    <row r="20" spans="1:14">
      <c r="A20" s="2955" t="s">
        <v>3127</v>
      </c>
      <c r="B20" s="2955" t="s">
        <v>3071</v>
      </c>
      <c r="C20" s="2955" t="s">
        <v>3072</v>
      </c>
      <c r="D20" s="2955">
        <v>20977</v>
      </c>
      <c r="E20" s="2955">
        <v>2517.2399999999998</v>
      </c>
      <c r="F20" s="2955" t="s">
        <v>3128</v>
      </c>
      <c r="G20" s="2955" t="s">
        <v>3074</v>
      </c>
      <c r="H20" s="2955" t="s">
        <v>3121</v>
      </c>
      <c r="I20" s="2955">
        <v>2500</v>
      </c>
      <c r="J20" s="2955">
        <v>2500</v>
      </c>
      <c r="K20" s="2955">
        <v>9931.51</v>
      </c>
      <c r="L20" s="2955">
        <f t="shared" si="0"/>
        <v>1192</v>
      </c>
      <c r="M20" s="2955">
        <v>0</v>
      </c>
      <c r="N20" s="2955" t="s">
        <v>3116</v>
      </c>
    </row>
    <row r="21" spans="1:14">
      <c r="A21" s="2955" t="s">
        <v>3129</v>
      </c>
      <c r="B21" s="2955" t="s">
        <v>3071</v>
      </c>
      <c r="C21" s="2955" t="s">
        <v>3072</v>
      </c>
      <c r="D21" s="2955">
        <v>44755</v>
      </c>
      <c r="E21" s="2955">
        <v>8951</v>
      </c>
      <c r="F21" s="2955" t="s">
        <v>3108</v>
      </c>
      <c r="G21" s="2955" t="s">
        <v>3074</v>
      </c>
      <c r="H21" s="2955" t="s">
        <v>3121</v>
      </c>
      <c r="I21" s="2955">
        <v>5000</v>
      </c>
      <c r="J21" s="2955">
        <v>5100</v>
      </c>
      <c r="K21" s="2955">
        <v>5697.68</v>
      </c>
      <c r="L21" s="2955">
        <f t="shared" si="0"/>
        <v>1140</v>
      </c>
      <c r="M21" s="2955">
        <v>2</v>
      </c>
      <c r="N21" s="2955" t="s">
        <v>3126</v>
      </c>
    </row>
    <row r="22" spans="1:14">
      <c r="A22" s="2955" t="s">
        <v>3130</v>
      </c>
      <c r="B22" s="2955" t="s">
        <v>3071</v>
      </c>
      <c r="C22" s="2955" t="s">
        <v>3072</v>
      </c>
      <c r="D22" s="2955">
        <v>2320</v>
      </c>
      <c r="E22" s="2955">
        <v>2784</v>
      </c>
      <c r="F22" s="2955" t="s">
        <v>3131</v>
      </c>
      <c r="G22" s="2955" t="s">
        <v>3074</v>
      </c>
      <c r="H22" s="2955" t="s">
        <v>3132</v>
      </c>
      <c r="I22" s="2955">
        <v>169</v>
      </c>
      <c r="J22" s="2955">
        <v>174</v>
      </c>
      <c r="K22" s="2955">
        <v>625</v>
      </c>
      <c r="L22" s="2955">
        <f t="shared" si="0"/>
        <v>750</v>
      </c>
      <c r="M22" s="2955">
        <v>2.96</v>
      </c>
      <c r="N22" s="2955" t="s">
        <v>3133</v>
      </c>
    </row>
    <row r="23" spans="1:14">
      <c r="A23" s="2955" t="s">
        <v>3134</v>
      </c>
      <c r="B23" s="2955" t="s">
        <v>3071</v>
      </c>
      <c r="C23" s="2955" t="s">
        <v>3072</v>
      </c>
      <c r="D23" s="2955">
        <v>27116</v>
      </c>
      <c r="E23" s="2955">
        <v>30369.919999999998</v>
      </c>
      <c r="F23" s="2955" t="s">
        <v>3135</v>
      </c>
      <c r="G23" s="2955" t="s">
        <v>3074</v>
      </c>
      <c r="H23" s="2955" t="s">
        <v>3136</v>
      </c>
      <c r="I23" s="2955">
        <v>16500</v>
      </c>
      <c r="J23" s="2955">
        <v>16500</v>
      </c>
      <c r="K23" s="2955">
        <v>5433.01</v>
      </c>
      <c r="L23" s="2955">
        <f t="shared" si="0"/>
        <v>6085</v>
      </c>
      <c r="M23" s="2955">
        <v>0</v>
      </c>
      <c r="N23" s="2955" t="s">
        <v>3137</v>
      </c>
    </row>
    <row r="24" spans="1:14">
      <c r="A24" s="2955" t="s">
        <v>3138</v>
      </c>
      <c r="B24" s="2955" t="s">
        <v>3071</v>
      </c>
      <c r="C24" s="2955" t="s">
        <v>3072</v>
      </c>
      <c r="D24" s="2955">
        <v>35585</v>
      </c>
      <c r="E24" s="2955">
        <v>138781.5</v>
      </c>
      <c r="F24" s="2955" t="s">
        <v>3139</v>
      </c>
      <c r="G24" s="2955" t="s">
        <v>3074</v>
      </c>
      <c r="H24" s="2955" t="s">
        <v>3136</v>
      </c>
      <c r="I24" s="2955">
        <v>7800</v>
      </c>
      <c r="J24" s="2955">
        <v>7800</v>
      </c>
      <c r="K24" s="2955">
        <v>562.02</v>
      </c>
      <c r="L24" s="2955">
        <f t="shared" si="0"/>
        <v>2192</v>
      </c>
      <c r="M24" s="2955">
        <v>0</v>
      </c>
      <c r="N24" s="2955" t="s">
        <v>3140</v>
      </c>
    </row>
    <row r="25" spans="1:14">
      <c r="A25" s="2955" t="s">
        <v>3141</v>
      </c>
      <c r="B25" s="2955" t="s">
        <v>3071</v>
      </c>
      <c r="C25" s="2955" t="s">
        <v>3072</v>
      </c>
      <c r="D25" s="2955">
        <v>19879</v>
      </c>
      <c r="E25" s="2955">
        <v>20872.95</v>
      </c>
      <c r="F25" s="2955" t="s">
        <v>3111</v>
      </c>
      <c r="G25" s="2955" t="s">
        <v>3074</v>
      </c>
      <c r="H25" s="2955" t="s">
        <v>3136</v>
      </c>
      <c r="I25" s="2955">
        <v>5500</v>
      </c>
      <c r="J25" s="2955">
        <v>5500</v>
      </c>
      <c r="K25" s="2955">
        <v>2634.98</v>
      </c>
      <c r="L25" s="2955">
        <f t="shared" si="0"/>
        <v>2767</v>
      </c>
      <c r="M25" s="2955">
        <v>0</v>
      </c>
      <c r="N25" s="2955" t="s">
        <v>3142</v>
      </c>
    </row>
    <row r="26" spans="1:14">
      <c r="A26" s="2955" t="s">
        <v>3143</v>
      </c>
      <c r="B26" s="2955" t="s">
        <v>3071</v>
      </c>
      <c r="C26" s="2955" t="s">
        <v>3072</v>
      </c>
      <c r="D26" s="2955">
        <v>11110</v>
      </c>
      <c r="E26" s="2955">
        <v>27219.5</v>
      </c>
      <c r="F26" s="2955" t="s">
        <v>3144</v>
      </c>
      <c r="G26" s="2955" t="s">
        <v>3074</v>
      </c>
      <c r="H26" s="2955" t="s">
        <v>3145</v>
      </c>
      <c r="I26" s="2955">
        <v>1057</v>
      </c>
      <c r="J26" s="2955">
        <v>1087</v>
      </c>
      <c r="K26" s="2955">
        <v>399.35</v>
      </c>
      <c r="L26" s="2955">
        <f t="shared" si="0"/>
        <v>978</v>
      </c>
      <c r="M26" s="2955">
        <v>2.84</v>
      </c>
      <c r="N26" s="2955" t="s">
        <v>3146</v>
      </c>
    </row>
    <row r="27" spans="1:14">
      <c r="A27" s="2955" t="s">
        <v>3147</v>
      </c>
      <c r="B27" s="2955" t="s">
        <v>3071</v>
      </c>
      <c r="C27" s="2955" t="s">
        <v>3072</v>
      </c>
      <c r="D27" s="2955">
        <v>8117</v>
      </c>
      <c r="E27" s="2955">
        <v>14204.75</v>
      </c>
      <c r="F27" s="2955">
        <v>1.75</v>
      </c>
      <c r="G27" s="2955" t="s">
        <v>3074</v>
      </c>
      <c r="H27" s="2955" t="s">
        <v>3148</v>
      </c>
      <c r="I27" s="2955">
        <v>2160</v>
      </c>
      <c r="J27" s="2955">
        <v>2160</v>
      </c>
      <c r="K27" s="2955">
        <v>1520.61</v>
      </c>
      <c r="L27" s="2955">
        <f t="shared" si="0"/>
        <v>2661</v>
      </c>
      <c r="M27" s="2955">
        <v>0</v>
      </c>
      <c r="N27" s="2955" t="s">
        <v>3149</v>
      </c>
    </row>
    <row r="28" spans="1:14">
      <c r="A28" s="2955" t="s">
        <v>3150</v>
      </c>
      <c r="B28" s="2955" t="s">
        <v>3071</v>
      </c>
      <c r="C28" s="2955" t="s">
        <v>3072</v>
      </c>
      <c r="D28" s="2955">
        <v>27407</v>
      </c>
      <c r="E28" s="2955">
        <v>28777.35</v>
      </c>
      <c r="F28" s="2955">
        <v>1.05</v>
      </c>
      <c r="G28" s="2955" t="s">
        <v>3074</v>
      </c>
      <c r="H28" s="2955" t="s">
        <v>3148</v>
      </c>
      <c r="I28" s="2955">
        <v>24600</v>
      </c>
      <c r="J28" s="2955">
        <v>24600</v>
      </c>
      <c r="K28" s="2955">
        <v>8548.3799999999992</v>
      </c>
      <c r="L28" s="2955">
        <f t="shared" si="0"/>
        <v>8976</v>
      </c>
      <c r="M28" s="2955">
        <v>0</v>
      </c>
      <c r="N28" s="2955" t="s">
        <v>3151</v>
      </c>
    </row>
    <row r="29" spans="1:14">
      <c r="A29" s="2955" t="s">
        <v>3152</v>
      </c>
      <c r="B29" s="2955" t="s">
        <v>3071</v>
      </c>
      <c r="C29" s="2955" t="s">
        <v>3072</v>
      </c>
      <c r="D29" s="2955">
        <v>13541</v>
      </c>
      <c r="E29" s="2955">
        <v>29790.2</v>
      </c>
      <c r="F29" s="2955">
        <v>2.2000000000000002</v>
      </c>
      <c r="G29" s="2955" t="s">
        <v>3074</v>
      </c>
      <c r="H29" s="2955" t="s">
        <v>3148</v>
      </c>
      <c r="I29" s="2955">
        <v>2300</v>
      </c>
      <c r="J29" s="2955">
        <v>2300</v>
      </c>
      <c r="K29" s="2955">
        <v>772.07</v>
      </c>
      <c r="L29" s="2955">
        <f t="shared" si="0"/>
        <v>1699</v>
      </c>
      <c r="M29" s="2955">
        <v>0</v>
      </c>
      <c r="N29" s="2955" t="s">
        <v>3153</v>
      </c>
    </row>
    <row r="30" spans="1:14">
      <c r="A30" s="2955" t="s">
        <v>3154</v>
      </c>
      <c r="B30" s="2955" t="s">
        <v>3071</v>
      </c>
      <c r="C30" s="2955" t="s">
        <v>3072</v>
      </c>
      <c r="D30" s="2955">
        <v>23158</v>
      </c>
      <c r="E30" s="2955" t="s">
        <v>1331</v>
      </c>
      <c r="F30" s="2955" t="s">
        <v>3155</v>
      </c>
      <c r="G30" s="2955" t="s">
        <v>3074</v>
      </c>
      <c r="H30" s="2955" t="s">
        <v>3148</v>
      </c>
      <c r="I30" s="2955">
        <v>9360</v>
      </c>
      <c r="J30" s="2955">
        <v>9360</v>
      </c>
      <c r="K30" s="2955" t="s">
        <v>1331</v>
      </c>
      <c r="L30" s="2955">
        <f t="shared" si="0"/>
        <v>4042</v>
      </c>
      <c r="M30" s="2955">
        <v>0</v>
      </c>
      <c r="N30" s="2955" t="s">
        <v>3137</v>
      </c>
    </row>
    <row r="31" spans="1:14">
      <c r="A31" s="2955" t="s">
        <v>3156</v>
      </c>
      <c r="B31" s="2955" t="s">
        <v>3071</v>
      </c>
      <c r="C31" s="2955" t="s">
        <v>3072</v>
      </c>
      <c r="D31" s="2955">
        <v>2273</v>
      </c>
      <c r="E31" s="2955">
        <v>2727.6</v>
      </c>
      <c r="F31" s="2955" t="s">
        <v>3100</v>
      </c>
      <c r="G31" s="2955" t="s">
        <v>3074</v>
      </c>
      <c r="H31" s="2955" t="s">
        <v>3157</v>
      </c>
      <c r="I31" s="2955">
        <v>390</v>
      </c>
      <c r="J31" s="2955">
        <v>390</v>
      </c>
      <c r="K31" s="2955">
        <v>1429.82</v>
      </c>
      <c r="L31" s="2955">
        <f t="shared" si="0"/>
        <v>1716</v>
      </c>
      <c r="M31" s="2955">
        <v>0</v>
      </c>
      <c r="N31" s="2955" t="s">
        <v>3158</v>
      </c>
    </row>
    <row r="32" spans="1:14">
      <c r="A32" s="2955" t="s">
        <v>3159</v>
      </c>
      <c r="B32" s="2955" t="s">
        <v>3071</v>
      </c>
      <c r="C32" s="2955" t="s">
        <v>3072</v>
      </c>
      <c r="D32" s="2955">
        <v>3234</v>
      </c>
      <c r="E32" s="2955">
        <v>5174.3999999999996</v>
      </c>
      <c r="F32" s="2955" t="s">
        <v>3160</v>
      </c>
      <c r="G32" s="2955" t="s">
        <v>3074</v>
      </c>
      <c r="H32" s="2955" t="s">
        <v>3161</v>
      </c>
      <c r="I32" s="2955">
        <v>730</v>
      </c>
      <c r="J32" s="2955">
        <v>730</v>
      </c>
      <c r="K32" s="2955">
        <v>1410.78</v>
      </c>
      <c r="L32" s="2955">
        <f t="shared" si="0"/>
        <v>2257</v>
      </c>
      <c r="M32" s="2955">
        <v>0</v>
      </c>
      <c r="N32" s="2955" t="s">
        <v>3158</v>
      </c>
    </row>
    <row r="33" spans="1:14">
      <c r="A33" s="2955" t="s">
        <v>3162</v>
      </c>
      <c r="B33" s="2955" t="s">
        <v>3071</v>
      </c>
      <c r="C33" s="2955" t="s">
        <v>3072</v>
      </c>
      <c r="D33" s="2955">
        <v>4417</v>
      </c>
      <c r="E33" s="2955">
        <v>5300.4</v>
      </c>
      <c r="F33" s="2955" t="s">
        <v>3163</v>
      </c>
      <c r="G33" s="2955" t="s">
        <v>3074</v>
      </c>
      <c r="H33" s="2955" t="s">
        <v>3164</v>
      </c>
      <c r="I33" s="2955">
        <v>850</v>
      </c>
      <c r="J33" s="2955">
        <v>850</v>
      </c>
      <c r="K33" s="2955">
        <v>1603.65</v>
      </c>
      <c r="L33" s="2955">
        <f t="shared" si="0"/>
        <v>1924</v>
      </c>
      <c r="M33" s="2955">
        <v>0</v>
      </c>
      <c r="N33" s="2955" t="s">
        <v>3165</v>
      </c>
    </row>
    <row r="34" spans="1:14">
      <c r="A34" s="2955" t="s">
        <v>3166</v>
      </c>
      <c r="B34" s="2955" t="s">
        <v>3071</v>
      </c>
      <c r="C34" s="2955" t="s">
        <v>3072</v>
      </c>
      <c r="D34" s="2955">
        <v>2955</v>
      </c>
      <c r="E34" s="2955">
        <v>886.5</v>
      </c>
      <c r="F34" s="2955" t="s">
        <v>3167</v>
      </c>
      <c r="G34" s="2955" t="s">
        <v>3074</v>
      </c>
      <c r="H34" s="2955" t="s">
        <v>3164</v>
      </c>
      <c r="I34" s="2955">
        <v>2200</v>
      </c>
      <c r="J34" s="2955">
        <v>2200</v>
      </c>
      <c r="K34" s="2955">
        <v>24816.68</v>
      </c>
      <c r="L34" s="2955">
        <f t="shared" si="0"/>
        <v>7445</v>
      </c>
      <c r="M34" s="2955">
        <v>0</v>
      </c>
      <c r="N34" s="2955" t="s">
        <v>3168</v>
      </c>
    </row>
    <row r="35" spans="1:14">
      <c r="A35" s="2955" t="s">
        <v>3169</v>
      </c>
      <c r="B35" s="2955" t="s">
        <v>3071</v>
      </c>
      <c r="C35" s="2955" t="s">
        <v>3072</v>
      </c>
      <c r="D35" s="2955">
        <v>4290</v>
      </c>
      <c r="E35" s="2955">
        <v>5148</v>
      </c>
      <c r="F35" s="2955" t="s">
        <v>3163</v>
      </c>
      <c r="G35" s="2955" t="s">
        <v>3074</v>
      </c>
      <c r="H35" s="2955" t="s">
        <v>3164</v>
      </c>
      <c r="I35" s="2955">
        <v>830</v>
      </c>
      <c r="J35" s="2955">
        <v>830</v>
      </c>
      <c r="K35" s="2955">
        <v>1612.27</v>
      </c>
      <c r="L35" s="2955">
        <f t="shared" si="0"/>
        <v>1935</v>
      </c>
      <c r="M35" s="2955">
        <v>0</v>
      </c>
      <c r="N35" s="2955" t="s">
        <v>3165</v>
      </c>
    </row>
    <row r="36" spans="1:14">
      <c r="A36" s="2955" t="s">
        <v>3170</v>
      </c>
      <c r="B36" s="2955" t="s">
        <v>3071</v>
      </c>
      <c r="C36" s="2955" t="s">
        <v>3072</v>
      </c>
      <c r="D36" s="2955">
        <v>5598</v>
      </c>
      <c r="E36" s="2955">
        <v>8956.7999999999993</v>
      </c>
      <c r="F36" s="2955" t="s">
        <v>3171</v>
      </c>
      <c r="G36" s="2955" t="s">
        <v>3074</v>
      </c>
      <c r="H36" s="2955" t="s">
        <v>3164</v>
      </c>
      <c r="I36" s="2955">
        <v>2400</v>
      </c>
      <c r="J36" s="2955">
        <v>2400</v>
      </c>
      <c r="K36" s="2955">
        <v>2679.53</v>
      </c>
      <c r="L36" s="2955">
        <f t="shared" si="0"/>
        <v>4287</v>
      </c>
      <c r="M36" s="2955">
        <v>0</v>
      </c>
      <c r="N36" s="2955" t="s">
        <v>3172</v>
      </c>
    </row>
    <row r="37" spans="1:14">
      <c r="A37" s="2955" t="s">
        <v>3173</v>
      </c>
      <c r="B37" s="2955" t="s">
        <v>3071</v>
      </c>
      <c r="C37" s="2955" t="s">
        <v>3072</v>
      </c>
      <c r="D37" s="2955">
        <v>68764</v>
      </c>
      <c r="E37" s="2955">
        <v>72202.2</v>
      </c>
      <c r="F37" s="2955" t="s">
        <v>3174</v>
      </c>
      <c r="G37" s="2955" t="s">
        <v>3074</v>
      </c>
      <c r="H37" s="2955" t="s">
        <v>3164</v>
      </c>
      <c r="I37" s="2955">
        <v>11000</v>
      </c>
      <c r="J37" s="2955">
        <v>11000</v>
      </c>
      <c r="K37" s="2955">
        <v>1523.5</v>
      </c>
      <c r="L37" s="2955">
        <f t="shared" si="0"/>
        <v>1600</v>
      </c>
      <c r="M37" s="2955">
        <v>0</v>
      </c>
      <c r="N37" s="2955" t="s">
        <v>3092</v>
      </c>
    </row>
    <row r="38" spans="1:14">
      <c r="A38" s="2955" t="s">
        <v>3175</v>
      </c>
      <c r="B38" s="2955" t="s">
        <v>3071</v>
      </c>
      <c r="C38" s="2955" t="s">
        <v>3072</v>
      </c>
      <c r="D38" s="2955">
        <v>14595</v>
      </c>
      <c r="E38" s="2955">
        <v>15324.75</v>
      </c>
      <c r="F38" s="2955" t="s">
        <v>3174</v>
      </c>
      <c r="G38" s="2955" t="s">
        <v>3074</v>
      </c>
      <c r="H38" s="2955" t="s">
        <v>3164</v>
      </c>
      <c r="I38" s="2955">
        <v>3180</v>
      </c>
      <c r="J38" s="2955">
        <v>3180</v>
      </c>
      <c r="K38" s="2955">
        <v>2075.0700000000002</v>
      </c>
      <c r="L38" s="2955">
        <f t="shared" si="0"/>
        <v>2179</v>
      </c>
      <c r="M38" s="2955">
        <v>0</v>
      </c>
      <c r="N38" s="2955" t="s">
        <v>3176</v>
      </c>
    </row>
    <row r="39" spans="1:14">
      <c r="A39" s="2955" t="s">
        <v>3177</v>
      </c>
      <c r="B39" s="2955" t="s">
        <v>3071</v>
      </c>
      <c r="C39" s="2955" t="s">
        <v>3072</v>
      </c>
      <c r="D39" s="2955">
        <v>10121</v>
      </c>
      <c r="E39" s="2955">
        <v>28844.85</v>
      </c>
      <c r="F39" s="2955" t="s">
        <v>3178</v>
      </c>
      <c r="G39" s="2955" t="s">
        <v>3074</v>
      </c>
      <c r="H39" s="2955" t="s">
        <v>3164</v>
      </c>
      <c r="I39" s="2955">
        <v>5300</v>
      </c>
      <c r="J39" s="2955">
        <v>5300</v>
      </c>
      <c r="K39" s="2955">
        <v>1837.42</v>
      </c>
      <c r="L39" s="2955">
        <f t="shared" si="0"/>
        <v>5237</v>
      </c>
      <c r="M39" s="2955">
        <v>0</v>
      </c>
      <c r="N39" s="2955" t="s">
        <v>3179</v>
      </c>
    </row>
    <row r="40" spans="1:14">
      <c r="A40" s="2955" t="s">
        <v>3180</v>
      </c>
      <c r="B40" s="2955" t="s">
        <v>3071</v>
      </c>
      <c r="C40" s="2955" t="s">
        <v>3072</v>
      </c>
      <c r="D40" s="2955">
        <v>8522</v>
      </c>
      <c r="E40" s="2955">
        <v>13635.2</v>
      </c>
      <c r="F40" s="2955" t="s">
        <v>3181</v>
      </c>
      <c r="G40" s="2955" t="s">
        <v>3074</v>
      </c>
      <c r="H40" s="2955" t="s">
        <v>3182</v>
      </c>
      <c r="I40" s="2955">
        <v>579</v>
      </c>
      <c r="J40" s="2955">
        <v>594</v>
      </c>
      <c r="K40" s="2955">
        <v>435.63</v>
      </c>
      <c r="L40" s="2955">
        <f t="shared" si="0"/>
        <v>697</v>
      </c>
      <c r="M40" s="2955">
        <v>2.59</v>
      </c>
      <c r="N40" s="2955" t="s">
        <v>3183</v>
      </c>
    </row>
    <row r="41" spans="1:14">
      <c r="A41" s="2955" t="s">
        <v>3184</v>
      </c>
      <c r="B41" s="2955" t="s">
        <v>3071</v>
      </c>
      <c r="C41" s="2955" t="s">
        <v>3072</v>
      </c>
      <c r="D41" s="2955">
        <v>2404</v>
      </c>
      <c r="E41" s="2955">
        <v>2884.8</v>
      </c>
      <c r="F41" s="2955" t="s">
        <v>3163</v>
      </c>
      <c r="G41" s="2955" t="s">
        <v>3074</v>
      </c>
      <c r="H41" s="2955" t="s">
        <v>3182</v>
      </c>
      <c r="I41" s="2955">
        <v>158</v>
      </c>
      <c r="J41" s="2955">
        <v>163</v>
      </c>
      <c r="K41" s="2955">
        <v>565.02</v>
      </c>
      <c r="L41" s="2955">
        <f t="shared" si="0"/>
        <v>678</v>
      </c>
      <c r="M41" s="2955">
        <v>3.16</v>
      </c>
      <c r="N41" s="2955" t="s">
        <v>3185</v>
      </c>
    </row>
    <row r="42" spans="1:14">
      <c r="A42" s="2955" t="s">
        <v>3186</v>
      </c>
      <c r="B42" s="2955" t="s">
        <v>3071</v>
      </c>
      <c r="C42" s="2955" t="s">
        <v>3072</v>
      </c>
      <c r="D42" s="2955">
        <v>121436</v>
      </c>
      <c r="E42" s="2955">
        <v>157866.79999999999</v>
      </c>
      <c r="F42" s="2955" t="s">
        <v>3187</v>
      </c>
      <c r="G42" s="2955" t="s">
        <v>3074</v>
      </c>
      <c r="H42" s="2955" t="s">
        <v>3182</v>
      </c>
      <c r="I42" s="2955">
        <v>7865</v>
      </c>
      <c r="J42" s="2955">
        <v>8015</v>
      </c>
      <c r="K42" s="2955">
        <v>507.7</v>
      </c>
      <c r="L42" s="2955">
        <f t="shared" si="0"/>
        <v>660</v>
      </c>
      <c r="M42" s="2955">
        <v>1.91</v>
      </c>
      <c r="N42" s="2955" t="s">
        <v>3188</v>
      </c>
    </row>
    <row r="43" spans="1:14">
      <c r="A43" s="2955" t="s">
        <v>3189</v>
      </c>
      <c r="B43" s="2955" t="s">
        <v>3071</v>
      </c>
      <c r="C43" s="2955" t="s">
        <v>3072</v>
      </c>
      <c r="D43" s="2955">
        <v>8718</v>
      </c>
      <c r="E43" s="2955">
        <v>21795</v>
      </c>
      <c r="F43" s="2955" t="s">
        <v>3190</v>
      </c>
      <c r="G43" s="2955" t="s">
        <v>3074</v>
      </c>
      <c r="H43" s="2955" t="s">
        <v>3191</v>
      </c>
      <c r="I43" s="2955">
        <v>1500</v>
      </c>
      <c r="J43" s="2955">
        <v>1500</v>
      </c>
      <c r="K43" s="2955">
        <v>688.23</v>
      </c>
      <c r="L43" s="2955">
        <f t="shared" si="0"/>
        <v>1721</v>
      </c>
      <c r="M43" s="2955">
        <v>0</v>
      </c>
      <c r="N43" s="2955" t="s">
        <v>3192</v>
      </c>
    </row>
    <row r="44" spans="1:14">
      <c r="A44" s="2955" t="s">
        <v>3193</v>
      </c>
      <c r="B44" s="2955" t="s">
        <v>3071</v>
      </c>
      <c r="C44" s="2955" t="s">
        <v>3072</v>
      </c>
      <c r="D44" s="2955">
        <v>3114</v>
      </c>
      <c r="E44" s="2955">
        <v>3269.7</v>
      </c>
      <c r="F44" s="2955" t="s">
        <v>3194</v>
      </c>
      <c r="G44" s="2955" t="s">
        <v>3074</v>
      </c>
      <c r="H44" s="2955" t="s">
        <v>3191</v>
      </c>
      <c r="I44" s="2955">
        <v>728</v>
      </c>
      <c r="J44" s="2955">
        <v>728</v>
      </c>
      <c r="K44" s="2955">
        <v>2226.5</v>
      </c>
      <c r="L44" s="2955">
        <f t="shared" si="0"/>
        <v>2338</v>
      </c>
      <c r="M44" s="2955">
        <v>0</v>
      </c>
      <c r="N44" s="2955" t="s">
        <v>3195</v>
      </c>
    </row>
    <row r="45" spans="1:14">
      <c r="A45" s="2955" t="s">
        <v>3196</v>
      </c>
      <c r="B45" s="2955" t="s">
        <v>3071</v>
      </c>
      <c r="C45" s="2955" t="s">
        <v>3072</v>
      </c>
      <c r="D45" s="2955">
        <v>6667</v>
      </c>
      <c r="E45" s="2955">
        <v>23334.5</v>
      </c>
      <c r="F45" s="2955" t="s">
        <v>3197</v>
      </c>
      <c r="G45" s="2955" t="s">
        <v>3074</v>
      </c>
      <c r="H45" s="2955" t="s">
        <v>3191</v>
      </c>
      <c r="I45" s="2955">
        <v>2480</v>
      </c>
      <c r="J45" s="2955">
        <v>2480</v>
      </c>
      <c r="K45" s="2955">
        <v>1062.79</v>
      </c>
      <c r="L45" s="2955">
        <f t="shared" si="0"/>
        <v>3720</v>
      </c>
      <c r="M45" s="2955">
        <v>0</v>
      </c>
      <c r="N45" s="2955" t="s">
        <v>3198</v>
      </c>
    </row>
    <row r="46" spans="1:14">
      <c r="A46" s="2955" t="s">
        <v>3199</v>
      </c>
      <c r="B46" s="2955" t="s">
        <v>3071</v>
      </c>
      <c r="C46" s="2955" t="s">
        <v>3072</v>
      </c>
      <c r="D46" s="2955">
        <v>3971</v>
      </c>
      <c r="E46" s="2955">
        <v>5479.98</v>
      </c>
      <c r="F46" s="2955" t="s">
        <v>3200</v>
      </c>
      <c r="G46" s="2955" t="s">
        <v>3074</v>
      </c>
      <c r="H46" s="2955" t="s">
        <v>3191</v>
      </c>
      <c r="I46" s="2955">
        <v>2100</v>
      </c>
      <c r="J46" s="2955">
        <v>2100</v>
      </c>
      <c r="K46" s="2955">
        <v>3832.13</v>
      </c>
      <c r="L46" s="2955">
        <f t="shared" si="0"/>
        <v>5288</v>
      </c>
      <c r="M46" s="2955">
        <v>0</v>
      </c>
      <c r="N46" s="2955" t="s">
        <v>3101</v>
      </c>
    </row>
    <row r="47" spans="1:14">
      <c r="A47" s="2955" t="s">
        <v>3201</v>
      </c>
      <c r="B47" s="2955" t="s">
        <v>3071</v>
      </c>
      <c r="C47" s="2955" t="s">
        <v>3072</v>
      </c>
      <c r="D47" s="2955">
        <v>4000</v>
      </c>
      <c r="E47" s="2955">
        <v>1200</v>
      </c>
      <c r="F47" s="2955" t="s">
        <v>3202</v>
      </c>
      <c r="G47" s="2955" t="s">
        <v>3074</v>
      </c>
      <c r="H47" s="2955" t="s">
        <v>3191</v>
      </c>
      <c r="I47" s="2955">
        <v>2400</v>
      </c>
      <c r="J47" s="2955">
        <v>2400</v>
      </c>
      <c r="K47" s="2955">
        <v>20000</v>
      </c>
      <c r="L47" s="2955">
        <f t="shared" si="0"/>
        <v>6000</v>
      </c>
      <c r="M47" s="2955">
        <v>0</v>
      </c>
      <c r="N47" s="2955" t="s">
        <v>3203</v>
      </c>
    </row>
    <row r="48" spans="1:14">
      <c r="A48" s="2955" t="s">
        <v>3204</v>
      </c>
      <c r="B48" s="2955" t="s">
        <v>3071</v>
      </c>
      <c r="C48" s="2955" t="s">
        <v>3072</v>
      </c>
      <c r="D48" s="2955">
        <v>6738</v>
      </c>
      <c r="E48" s="2955">
        <v>12128.4</v>
      </c>
      <c r="F48" s="2955" t="s">
        <v>3205</v>
      </c>
      <c r="G48" s="2955" t="s">
        <v>3074</v>
      </c>
      <c r="H48" s="2955" t="s">
        <v>3191</v>
      </c>
      <c r="I48" s="2955">
        <v>1500</v>
      </c>
      <c r="J48" s="2955">
        <v>1500</v>
      </c>
      <c r="K48" s="2955">
        <v>1236.76</v>
      </c>
      <c r="L48" s="2955">
        <f t="shared" si="0"/>
        <v>2226</v>
      </c>
      <c r="M48" s="2955">
        <v>0</v>
      </c>
      <c r="N48" s="2955" t="s">
        <v>3206</v>
      </c>
    </row>
    <row r="49" spans="1:14">
      <c r="A49" s="2955" t="s">
        <v>3207</v>
      </c>
      <c r="B49" s="2955" t="s">
        <v>3071</v>
      </c>
      <c r="C49" s="2955" t="s">
        <v>3072</v>
      </c>
      <c r="D49" s="2955">
        <v>2348</v>
      </c>
      <c r="E49" s="2955">
        <v>704.4</v>
      </c>
      <c r="F49" s="2955" t="s">
        <v>3202</v>
      </c>
      <c r="G49" s="2955" t="s">
        <v>3074</v>
      </c>
      <c r="H49" s="2955" t="s">
        <v>3191</v>
      </c>
      <c r="I49" s="2955">
        <v>1580</v>
      </c>
      <c r="J49" s="2955">
        <v>1580</v>
      </c>
      <c r="K49" s="2955">
        <v>22430.43</v>
      </c>
      <c r="L49" s="2955">
        <f t="shared" si="0"/>
        <v>6729</v>
      </c>
      <c r="M49" s="2955">
        <v>0</v>
      </c>
      <c r="N49" s="2955" t="s">
        <v>3208</v>
      </c>
    </row>
    <row r="50" spans="1:14">
      <c r="A50" s="2955" t="s">
        <v>3209</v>
      </c>
      <c r="B50" s="2955" t="s">
        <v>3071</v>
      </c>
      <c r="C50" s="2955" t="s">
        <v>3072</v>
      </c>
      <c r="D50" s="2955">
        <v>2266</v>
      </c>
      <c r="E50" s="2955">
        <v>679.8</v>
      </c>
      <c r="F50" s="2955" t="s">
        <v>3202</v>
      </c>
      <c r="G50" s="2955" t="s">
        <v>3074</v>
      </c>
      <c r="H50" s="2955" t="s">
        <v>3191</v>
      </c>
      <c r="I50" s="2955">
        <v>1560</v>
      </c>
      <c r="J50" s="2955">
        <v>1560</v>
      </c>
      <c r="K50" s="2955">
        <v>22947.93</v>
      </c>
      <c r="L50" s="2955">
        <f t="shared" si="0"/>
        <v>6884</v>
      </c>
      <c r="M50" s="2955">
        <v>0</v>
      </c>
      <c r="N50" s="2955" t="s">
        <v>3210</v>
      </c>
    </row>
    <row r="51" spans="1:14">
      <c r="A51" s="2955" t="s">
        <v>3211</v>
      </c>
      <c r="B51" s="2955" t="s">
        <v>3071</v>
      </c>
      <c r="C51" s="2955" t="s">
        <v>3072</v>
      </c>
      <c r="D51" s="2955">
        <v>15998</v>
      </c>
      <c r="E51" s="2955">
        <v>51993.5</v>
      </c>
      <c r="F51" s="2955" t="s">
        <v>3212</v>
      </c>
      <c r="G51" s="2955" t="s">
        <v>3074</v>
      </c>
      <c r="H51" s="2955" t="s">
        <v>3191</v>
      </c>
      <c r="I51" s="2955">
        <v>5740</v>
      </c>
      <c r="J51" s="2955">
        <v>5740</v>
      </c>
      <c r="K51" s="2955">
        <v>1103.98</v>
      </c>
      <c r="L51" s="2955">
        <f t="shared" si="0"/>
        <v>3588</v>
      </c>
      <c r="M51" s="2955">
        <v>0</v>
      </c>
      <c r="N51" s="2955" t="s">
        <v>3213</v>
      </c>
    </row>
  </sheetData>
  <phoneticPr fontId="144" type="noConversion"/>
  <pageMargins left="0.75" right="0.75" top="1" bottom="1" header="0.5" footer="0.5"/>
  <pageSetup orientation="portrait" horizontalDpi="300" verticalDpi="30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topLeftCell="A11" workbookViewId="0">
      <selection activeCell="B2" sqref="B2:B50"/>
    </sheetView>
  </sheetViews>
  <sheetFormatPr defaultRowHeight="13.5"/>
  <sheetData>
    <row r="1" spans="1:13">
      <c r="A1" t="s">
        <v>3462</v>
      </c>
      <c r="B1" t="s">
        <v>3463</v>
      </c>
      <c r="C1" t="s">
        <v>3464</v>
      </c>
      <c r="D1" t="s">
        <v>3465</v>
      </c>
      <c r="E1" t="s">
        <v>3464</v>
      </c>
      <c r="F1" t="s">
        <v>3466</v>
      </c>
      <c r="G1" t="s">
        <v>3464</v>
      </c>
      <c r="H1" t="s">
        <v>3467</v>
      </c>
      <c r="I1" t="s">
        <v>3464</v>
      </c>
      <c r="J1" t="s">
        <v>3468</v>
      </c>
      <c r="K1" t="s">
        <v>3464</v>
      </c>
      <c r="L1" t="s">
        <v>3469</v>
      </c>
      <c r="M1" t="s">
        <v>3470</v>
      </c>
    </row>
    <row r="2" spans="1:13">
      <c r="A2" t="s">
        <v>3471</v>
      </c>
      <c r="B2">
        <v>249.95</v>
      </c>
      <c r="C2">
        <v>1</v>
      </c>
      <c r="D2" t="s">
        <v>3440</v>
      </c>
      <c r="E2">
        <v>1</v>
      </c>
      <c r="F2" t="s">
        <v>3428</v>
      </c>
      <c r="G2">
        <v>1</v>
      </c>
      <c r="H2" t="s">
        <v>3249</v>
      </c>
      <c r="I2">
        <v>1</v>
      </c>
      <c r="J2" t="s">
        <v>3420</v>
      </c>
      <c r="K2">
        <v>1</v>
      </c>
      <c r="L2">
        <v>16726</v>
      </c>
      <c r="M2">
        <v>418</v>
      </c>
    </row>
    <row r="3" spans="1:13">
      <c r="A3" t="s">
        <v>3375</v>
      </c>
      <c r="B3">
        <v>500.22</v>
      </c>
      <c r="C3">
        <v>0.98</v>
      </c>
      <c r="D3" t="s">
        <v>3440</v>
      </c>
      <c r="E3">
        <v>1</v>
      </c>
      <c r="F3" t="s">
        <v>3428</v>
      </c>
      <c r="G3">
        <v>1</v>
      </c>
      <c r="H3" t="s">
        <v>3249</v>
      </c>
      <c r="I3">
        <v>1</v>
      </c>
      <c r="J3" t="s">
        <v>3420</v>
      </c>
      <c r="K3">
        <v>1</v>
      </c>
      <c r="L3">
        <v>16391</v>
      </c>
      <c r="M3">
        <v>820</v>
      </c>
    </row>
    <row r="4" spans="1:13">
      <c r="A4" t="s">
        <v>3263</v>
      </c>
      <c r="B4">
        <v>367.74</v>
      </c>
      <c r="C4">
        <v>1</v>
      </c>
      <c r="D4" t="s">
        <v>3440</v>
      </c>
      <c r="E4">
        <v>1</v>
      </c>
      <c r="F4" t="s">
        <v>3428</v>
      </c>
      <c r="G4">
        <v>1</v>
      </c>
      <c r="H4" t="s">
        <v>3249</v>
      </c>
      <c r="I4">
        <v>1</v>
      </c>
      <c r="J4" t="s">
        <v>3420</v>
      </c>
      <c r="K4">
        <v>1</v>
      </c>
      <c r="L4">
        <v>16726</v>
      </c>
      <c r="M4">
        <v>615</v>
      </c>
    </row>
    <row r="5" spans="1:13">
      <c r="A5" t="s">
        <v>3265</v>
      </c>
      <c r="B5">
        <v>276.88</v>
      </c>
      <c r="C5">
        <v>1</v>
      </c>
      <c r="D5" t="s">
        <v>3440</v>
      </c>
      <c r="E5">
        <v>1</v>
      </c>
      <c r="F5" t="s">
        <v>3428</v>
      </c>
      <c r="G5">
        <v>1</v>
      </c>
      <c r="H5" t="s">
        <v>3249</v>
      </c>
      <c r="I5">
        <v>1</v>
      </c>
      <c r="J5" t="s">
        <v>3420</v>
      </c>
      <c r="K5">
        <v>1</v>
      </c>
      <c r="L5">
        <v>16726</v>
      </c>
      <c r="M5">
        <v>463</v>
      </c>
    </row>
    <row r="6" spans="1:13">
      <c r="A6" t="s">
        <v>3266</v>
      </c>
      <c r="B6">
        <v>344.6</v>
      </c>
      <c r="C6">
        <v>1</v>
      </c>
      <c r="D6" t="s">
        <v>3440</v>
      </c>
      <c r="E6">
        <v>1</v>
      </c>
      <c r="F6" t="s">
        <v>3428</v>
      </c>
      <c r="G6">
        <v>1</v>
      </c>
      <c r="H6" t="s">
        <v>3249</v>
      </c>
      <c r="I6">
        <v>1</v>
      </c>
      <c r="J6" t="s">
        <v>3420</v>
      </c>
      <c r="K6">
        <v>1</v>
      </c>
      <c r="L6">
        <v>16726</v>
      </c>
      <c r="M6">
        <v>576</v>
      </c>
    </row>
    <row r="7" spans="1:13">
      <c r="A7" t="s">
        <v>3267</v>
      </c>
      <c r="B7">
        <v>173.92</v>
      </c>
      <c r="C7">
        <v>1.02</v>
      </c>
      <c r="D7" t="s">
        <v>3440</v>
      </c>
      <c r="E7">
        <v>1</v>
      </c>
      <c r="F7" t="s">
        <v>3428</v>
      </c>
      <c r="G7">
        <v>1</v>
      </c>
      <c r="H7" t="s">
        <v>3249</v>
      </c>
      <c r="I7">
        <v>1</v>
      </c>
      <c r="J7" t="s">
        <v>3420</v>
      </c>
      <c r="K7">
        <v>1</v>
      </c>
      <c r="L7">
        <v>17061</v>
      </c>
      <c r="M7">
        <v>297</v>
      </c>
    </row>
    <row r="8" spans="1:13">
      <c r="A8" t="s">
        <v>3268</v>
      </c>
      <c r="B8">
        <v>158.53</v>
      </c>
      <c r="C8">
        <v>1.02</v>
      </c>
      <c r="D8" t="s">
        <v>3440</v>
      </c>
      <c r="E8">
        <v>1</v>
      </c>
      <c r="F8" t="s">
        <v>3428</v>
      </c>
      <c r="G8">
        <v>1</v>
      </c>
      <c r="H8" t="s">
        <v>3249</v>
      </c>
      <c r="I8">
        <v>1</v>
      </c>
      <c r="J8" t="s">
        <v>3420</v>
      </c>
      <c r="K8">
        <v>1</v>
      </c>
      <c r="L8">
        <v>17061</v>
      </c>
      <c r="M8">
        <v>270</v>
      </c>
    </row>
    <row r="9" spans="1:13">
      <c r="A9" t="s">
        <v>3269</v>
      </c>
      <c r="B9">
        <v>319.99</v>
      </c>
      <c r="C9">
        <v>1</v>
      </c>
      <c r="D9" t="s">
        <v>3440</v>
      </c>
      <c r="E9">
        <v>1</v>
      </c>
      <c r="F9" t="s">
        <v>3428</v>
      </c>
      <c r="G9">
        <v>1</v>
      </c>
      <c r="H9" t="s">
        <v>3249</v>
      </c>
      <c r="I9">
        <v>1</v>
      </c>
      <c r="J9" t="s">
        <v>3420</v>
      </c>
      <c r="K9">
        <v>1</v>
      </c>
      <c r="L9">
        <v>16726</v>
      </c>
      <c r="M9">
        <v>535</v>
      </c>
    </row>
    <row r="10" spans="1:13">
      <c r="A10" t="s">
        <v>3270</v>
      </c>
      <c r="B10">
        <v>153.97</v>
      </c>
      <c r="C10">
        <v>1.02</v>
      </c>
      <c r="D10" t="s">
        <v>3440</v>
      </c>
      <c r="E10">
        <v>1</v>
      </c>
      <c r="F10" t="s">
        <v>3428</v>
      </c>
      <c r="G10">
        <v>1</v>
      </c>
      <c r="H10" t="s">
        <v>3249</v>
      </c>
      <c r="I10">
        <v>1</v>
      </c>
      <c r="J10" t="s">
        <v>3420</v>
      </c>
      <c r="K10">
        <v>1</v>
      </c>
      <c r="L10">
        <v>17061</v>
      </c>
      <c r="M10">
        <v>263</v>
      </c>
    </row>
    <row r="11" spans="1:13">
      <c r="A11" t="s">
        <v>3271</v>
      </c>
      <c r="B11">
        <v>153.97</v>
      </c>
      <c r="C11">
        <v>1.02</v>
      </c>
      <c r="D11" t="s">
        <v>3440</v>
      </c>
      <c r="E11">
        <v>1</v>
      </c>
      <c r="F11" t="s">
        <v>3428</v>
      </c>
      <c r="G11">
        <v>1</v>
      </c>
      <c r="H11" t="s">
        <v>3249</v>
      </c>
      <c r="I11">
        <v>1</v>
      </c>
      <c r="J11" t="s">
        <v>3420</v>
      </c>
      <c r="K11">
        <v>1</v>
      </c>
      <c r="L11">
        <v>17061</v>
      </c>
      <c r="M11">
        <v>263</v>
      </c>
    </row>
    <row r="12" spans="1:13">
      <c r="A12" t="s">
        <v>3272</v>
      </c>
      <c r="B12">
        <v>401.93</v>
      </c>
      <c r="C12">
        <v>0.98</v>
      </c>
      <c r="D12" t="s">
        <v>3440</v>
      </c>
      <c r="E12">
        <v>1</v>
      </c>
      <c r="F12" t="s">
        <v>3428</v>
      </c>
      <c r="G12">
        <v>1</v>
      </c>
      <c r="H12" t="s">
        <v>3249</v>
      </c>
      <c r="I12">
        <v>1</v>
      </c>
      <c r="J12" t="s">
        <v>3420</v>
      </c>
      <c r="K12">
        <v>1</v>
      </c>
      <c r="L12">
        <v>16391</v>
      </c>
      <c r="M12">
        <v>659</v>
      </c>
    </row>
    <row r="13" spans="1:13">
      <c r="A13" t="s">
        <v>3273</v>
      </c>
      <c r="B13">
        <v>366.93</v>
      </c>
      <c r="C13">
        <v>1</v>
      </c>
      <c r="D13" t="s">
        <v>3440</v>
      </c>
      <c r="E13">
        <v>1</v>
      </c>
      <c r="F13" t="s">
        <v>3428</v>
      </c>
      <c r="G13">
        <v>1</v>
      </c>
      <c r="H13" t="s">
        <v>3249</v>
      </c>
      <c r="I13">
        <v>1</v>
      </c>
      <c r="J13" t="s">
        <v>3420</v>
      </c>
      <c r="K13">
        <v>1</v>
      </c>
      <c r="L13">
        <v>16726</v>
      </c>
      <c r="M13">
        <v>614</v>
      </c>
    </row>
    <row r="14" spans="1:13">
      <c r="A14" t="s">
        <v>3274</v>
      </c>
      <c r="B14">
        <v>622.17999999999995</v>
      </c>
      <c r="C14">
        <v>0.96</v>
      </c>
      <c r="D14" t="s">
        <v>3440</v>
      </c>
      <c r="E14">
        <v>1</v>
      </c>
      <c r="F14" t="s">
        <v>3428</v>
      </c>
      <c r="G14">
        <v>1</v>
      </c>
      <c r="H14" t="s">
        <v>3249</v>
      </c>
      <c r="I14">
        <v>1</v>
      </c>
      <c r="J14" t="s">
        <v>3420</v>
      </c>
      <c r="K14">
        <v>1</v>
      </c>
      <c r="L14">
        <v>16057</v>
      </c>
      <c r="M14">
        <v>999</v>
      </c>
    </row>
    <row r="15" spans="1:13">
      <c r="A15" t="s">
        <v>3275</v>
      </c>
      <c r="B15">
        <v>161.94</v>
      </c>
      <c r="C15">
        <v>1.02</v>
      </c>
      <c r="D15" t="s">
        <v>3440</v>
      </c>
      <c r="E15">
        <v>1</v>
      </c>
      <c r="F15" t="s">
        <v>3428</v>
      </c>
      <c r="G15">
        <v>1</v>
      </c>
      <c r="H15" t="s">
        <v>3249</v>
      </c>
      <c r="I15">
        <v>1</v>
      </c>
      <c r="J15" t="s">
        <v>3420</v>
      </c>
      <c r="K15">
        <v>1</v>
      </c>
      <c r="L15">
        <v>17061</v>
      </c>
      <c r="M15">
        <v>276</v>
      </c>
    </row>
    <row r="16" spans="1:13">
      <c r="A16" t="s">
        <v>3276</v>
      </c>
      <c r="B16">
        <v>281.02</v>
      </c>
      <c r="C16">
        <v>1</v>
      </c>
      <c r="D16" t="s">
        <v>3440</v>
      </c>
      <c r="E16">
        <v>1</v>
      </c>
      <c r="F16" t="s">
        <v>3428</v>
      </c>
      <c r="G16">
        <v>1</v>
      </c>
      <c r="H16" t="s">
        <v>3249</v>
      </c>
      <c r="I16">
        <v>1</v>
      </c>
      <c r="J16" t="s">
        <v>3420</v>
      </c>
      <c r="K16">
        <v>1</v>
      </c>
      <c r="L16">
        <v>16726</v>
      </c>
      <c r="M16">
        <v>470</v>
      </c>
    </row>
    <row r="17" spans="1:13">
      <c r="A17" t="s">
        <v>3277</v>
      </c>
      <c r="B17">
        <v>442.38</v>
      </c>
      <c r="C17">
        <v>0.98</v>
      </c>
      <c r="D17" t="s">
        <v>3440</v>
      </c>
      <c r="E17">
        <v>1</v>
      </c>
      <c r="F17" t="s">
        <v>3428</v>
      </c>
      <c r="G17">
        <v>1</v>
      </c>
      <c r="H17" t="s">
        <v>3249</v>
      </c>
      <c r="I17">
        <v>1</v>
      </c>
      <c r="J17" t="s">
        <v>3420</v>
      </c>
      <c r="K17">
        <v>1</v>
      </c>
      <c r="L17">
        <v>16391</v>
      </c>
      <c r="M17">
        <v>725</v>
      </c>
    </row>
    <row r="18" spans="1:13">
      <c r="A18" t="s">
        <v>3278</v>
      </c>
      <c r="B18">
        <v>385.33</v>
      </c>
      <c r="C18">
        <v>1</v>
      </c>
      <c r="D18" t="s">
        <v>3440</v>
      </c>
      <c r="E18">
        <v>1</v>
      </c>
      <c r="F18" t="s">
        <v>3428</v>
      </c>
      <c r="G18">
        <v>1</v>
      </c>
      <c r="H18" t="s">
        <v>3249</v>
      </c>
      <c r="I18">
        <v>1</v>
      </c>
      <c r="J18" t="s">
        <v>3420</v>
      </c>
      <c r="K18">
        <v>1</v>
      </c>
      <c r="L18">
        <v>16726</v>
      </c>
      <c r="M18">
        <v>645</v>
      </c>
    </row>
    <row r="19" spans="1:13">
      <c r="A19" t="s">
        <v>3292</v>
      </c>
      <c r="B19">
        <v>432.32</v>
      </c>
      <c r="C19">
        <v>0.98</v>
      </c>
      <c r="D19" t="s">
        <v>3440</v>
      </c>
      <c r="E19">
        <v>1</v>
      </c>
      <c r="F19" t="s">
        <v>3428</v>
      </c>
      <c r="G19">
        <v>1</v>
      </c>
      <c r="H19" t="s">
        <v>3249</v>
      </c>
      <c r="I19">
        <v>1</v>
      </c>
      <c r="J19" t="s">
        <v>3420</v>
      </c>
      <c r="K19">
        <v>1</v>
      </c>
      <c r="L19">
        <v>16391</v>
      </c>
      <c r="M19">
        <v>709</v>
      </c>
    </row>
    <row r="20" spans="1:13">
      <c r="A20" t="s">
        <v>3293</v>
      </c>
      <c r="B20">
        <v>394.24</v>
      </c>
      <c r="C20">
        <v>1</v>
      </c>
      <c r="D20" t="s">
        <v>3440</v>
      </c>
      <c r="E20">
        <v>1</v>
      </c>
      <c r="F20" t="s">
        <v>3428</v>
      </c>
      <c r="G20">
        <v>1</v>
      </c>
      <c r="H20" t="s">
        <v>3249</v>
      </c>
      <c r="I20">
        <v>1</v>
      </c>
      <c r="J20" t="s">
        <v>3420</v>
      </c>
      <c r="K20">
        <v>1</v>
      </c>
      <c r="L20">
        <v>16726</v>
      </c>
      <c r="M20">
        <v>659</v>
      </c>
    </row>
    <row r="21" spans="1:13">
      <c r="A21" t="s">
        <v>3294</v>
      </c>
      <c r="B21">
        <v>483.15</v>
      </c>
      <c r="C21">
        <v>0.98</v>
      </c>
      <c r="D21" t="s">
        <v>3440</v>
      </c>
      <c r="E21">
        <v>1</v>
      </c>
      <c r="F21" t="s">
        <v>3428</v>
      </c>
      <c r="G21">
        <v>1</v>
      </c>
      <c r="H21" t="s">
        <v>3249</v>
      </c>
      <c r="I21">
        <v>1</v>
      </c>
      <c r="J21" t="s">
        <v>3420</v>
      </c>
      <c r="K21">
        <v>1</v>
      </c>
      <c r="L21">
        <v>16391</v>
      </c>
      <c r="M21">
        <v>792</v>
      </c>
    </row>
    <row r="22" spans="1:13">
      <c r="A22" t="s">
        <v>3295</v>
      </c>
      <c r="B22">
        <v>94.29</v>
      </c>
      <c r="C22">
        <v>1.04</v>
      </c>
      <c r="D22" t="s">
        <v>3440</v>
      </c>
      <c r="E22">
        <v>1</v>
      </c>
      <c r="F22" t="s">
        <v>3428</v>
      </c>
      <c r="G22">
        <v>1</v>
      </c>
      <c r="H22" t="s">
        <v>3249</v>
      </c>
      <c r="I22">
        <v>1</v>
      </c>
      <c r="J22" t="s">
        <v>3420</v>
      </c>
      <c r="K22">
        <v>1</v>
      </c>
      <c r="L22">
        <v>17395</v>
      </c>
      <c r="M22">
        <v>164</v>
      </c>
    </row>
    <row r="23" spans="1:13">
      <c r="A23" t="s">
        <v>3301</v>
      </c>
      <c r="B23">
        <v>641.16999999999996</v>
      </c>
      <c r="C23">
        <v>0.96</v>
      </c>
      <c r="D23" t="s">
        <v>3440</v>
      </c>
      <c r="E23">
        <v>1</v>
      </c>
      <c r="F23" t="s">
        <v>3428</v>
      </c>
      <c r="G23">
        <v>1</v>
      </c>
      <c r="H23" t="s">
        <v>3249</v>
      </c>
      <c r="I23">
        <v>1</v>
      </c>
      <c r="J23" t="s">
        <v>3421</v>
      </c>
      <c r="K23">
        <v>0.75</v>
      </c>
      <c r="L23">
        <v>12043</v>
      </c>
      <c r="M23">
        <v>772</v>
      </c>
    </row>
    <row r="24" spans="1:13">
      <c r="A24" t="s">
        <v>3303</v>
      </c>
      <c r="B24">
        <v>237.42</v>
      </c>
      <c r="C24">
        <v>1</v>
      </c>
      <c r="D24" t="s">
        <v>3440</v>
      </c>
      <c r="E24">
        <v>1</v>
      </c>
      <c r="F24" t="s">
        <v>3428</v>
      </c>
      <c r="G24">
        <v>1</v>
      </c>
      <c r="H24" t="s">
        <v>3249</v>
      </c>
      <c r="I24">
        <v>1</v>
      </c>
      <c r="J24" t="s">
        <v>3421</v>
      </c>
      <c r="K24">
        <v>0.75</v>
      </c>
      <c r="L24">
        <v>12545</v>
      </c>
      <c r="M24">
        <v>298</v>
      </c>
    </row>
    <row r="25" spans="1:13">
      <c r="A25" t="s">
        <v>3304</v>
      </c>
      <c r="B25">
        <v>474.42</v>
      </c>
      <c r="C25">
        <v>0.98</v>
      </c>
      <c r="D25" t="s">
        <v>3440</v>
      </c>
      <c r="E25">
        <v>1</v>
      </c>
      <c r="F25" t="s">
        <v>3428</v>
      </c>
      <c r="G25">
        <v>1</v>
      </c>
      <c r="H25" t="s">
        <v>3249</v>
      </c>
      <c r="I25">
        <v>1</v>
      </c>
      <c r="J25" t="s">
        <v>3421</v>
      </c>
      <c r="K25">
        <v>0.75</v>
      </c>
      <c r="L25">
        <v>12294</v>
      </c>
      <c r="M25">
        <v>583</v>
      </c>
    </row>
    <row r="26" spans="1:13">
      <c r="A26" t="s">
        <v>3305</v>
      </c>
      <c r="B26">
        <v>407.01</v>
      </c>
      <c r="C26">
        <v>0.98</v>
      </c>
      <c r="D26" t="s">
        <v>3440</v>
      </c>
      <c r="E26">
        <v>1</v>
      </c>
      <c r="F26" t="s">
        <v>3428</v>
      </c>
      <c r="G26">
        <v>1</v>
      </c>
      <c r="H26" t="s">
        <v>3249</v>
      </c>
      <c r="I26">
        <v>1</v>
      </c>
      <c r="J26" t="s">
        <v>3421</v>
      </c>
      <c r="K26">
        <v>0.75</v>
      </c>
      <c r="L26">
        <v>12294</v>
      </c>
      <c r="M26">
        <v>500</v>
      </c>
    </row>
    <row r="27" spans="1:13">
      <c r="A27" t="s">
        <v>3306</v>
      </c>
      <c r="B27">
        <v>262.60000000000002</v>
      </c>
      <c r="C27">
        <v>1</v>
      </c>
      <c r="D27" t="s">
        <v>3440</v>
      </c>
      <c r="E27">
        <v>1</v>
      </c>
      <c r="F27" t="s">
        <v>3428</v>
      </c>
      <c r="G27">
        <v>1</v>
      </c>
      <c r="H27" t="s">
        <v>3249</v>
      </c>
      <c r="I27">
        <v>1</v>
      </c>
      <c r="J27" t="s">
        <v>3421</v>
      </c>
      <c r="K27">
        <v>0.75</v>
      </c>
      <c r="L27">
        <v>12545</v>
      </c>
      <c r="M27">
        <v>329</v>
      </c>
    </row>
    <row r="28" spans="1:13">
      <c r="A28" t="s">
        <v>3307</v>
      </c>
      <c r="B28">
        <v>337.69</v>
      </c>
      <c r="C28">
        <v>1</v>
      </c>
      <c r="D28" t="s">
        <v>3440</v>
      </c>
      <c r="E28">
        <v>1</v>
      </c>
      <c r="F28" t="s">
        <v>3428</v>
      </c>
      <c r="G28">
        <v>1</v>
      </c>
      <c r="H28" t="s">
        <v>3249</v>
      </c>
      <c r="I28">
        <v>1</v>
      </c>
      <c r="J28" t="s">
        <v>3421</v>
      </c>
      <c r="K28">
        <v>0.75</v>
      </c>
      <c r="L28">
        <v>12545</v>
      </c>
      <c r="M28">
        <v>424</v>
      </c>
    </row>
    <row r="29" spans="1:13">
      <c r="A29" t="s">
        <v>3308</v>
      </c>
      <c r="B29">
        <v>223.24</v>
      </c>
      <c r="C29">
        <v>1</v>
      </c>
      <c r="D29" t="s">
        <v>3440</v>
      </c>
      <c r="E29">
        <v>1</v>
      </c>
      <c r="F29" t="s">
        <v>3428</v>
      </c>
      <c r="G29">
        <v>1</v>
      </c>
      <c r="H29" t="s">
        <v>3249</v>
      </c>
      <c r="I29">
        <v>1</v>
      </c>
      <c r="J29" t="s">
        <v>3421</v>
      </c>
      <c r="K29">
        <v>0.75</v>
      </c>
      <c r="L29">
        <v>12545</v>
      </c>
      <c r="M29">
        <v>280</v>
      </c>
    </row>
    <row r="30" spans="1:13">
      <c r="A30" t="s">
        <v>3309</v>
      </c>
      <c r="B30">
        <v>188.24</v>
      </c>
      <c r="C30">
        <v>1.02</v>
      </c>
      <c r="D30" t="s">
        <v>3440</v>
      </c>
      <c r="E30">
        <v>1</v>
      </c>
      <c r="F30" t="s">
        <v>3428</v>
      </c>
      <c r="G30">
        <v>1</v>
      </c>
      <c r="H30" t="s">
        <v>3249</v>
      </c>
      <c r="I30">
        <v>1</v>
      </c>
      <c r="J30" t="s">
        <v>3421</v>
      </c>
      <c r="K30">
        <v>0.75</v>
      </c>
      <c r="L30">
        <v>12795</v>
      </c>
      <c r="M30">
        <v>241</v>
      </c>
    </row>
    <row r="31" spans="1:13">
      <c r="A31" t="s">
        <v>3310</v>
      </c>
      <c r="B31">
        <v>293.43</v>
      </c>
      <c r="C31">
        <v>1</v>
      </c>
      <c r="D31" t="s">
        <v>3440</v>
      </c>
      <c r="E31">
        <v>1</v>
      </c>
      <c r="F31" t="s">
        <v>3428</v>
      </c>
      <c r="G31">
        <v>1</v>
      </c>
      <c r="H31" t="s">
        <v>3249</v>
      </c>
      <c r="I31">
        <v>1</v>
      </c>
      <c r="J31" t="s">
        <v>3421</v>
      </c>
      <c r="K31">
        <v>0.75</v>
      </c>
      <c r="L31">
        <v>12545</v>
      </c>
      <c r="M31">
        <v>368</v>
      </c>
    </row>
    <row r="32" spans="1:13">
      <c r="A32" t="s">
        <v>3311</v>
      </c>
      <c r="B32">
        <v>146.03</v>
      </c>
      <c r="C32">
        <v>1.02</v>
      </c>
      <c r="D32" t="s">
        <v>3440</v>
      </c>
      <c r="E32">
        <v>1</v>
      </c>
      <c r="F32" t="s">
        <v>3428</v>
      </c>
      <c r="G32">
        <v>1</v>
      </c>
      <c r="H32" t="s">
        <v>3249</v>
      </c>
      <c r="I32">
        <v>1</v>
      </c>
      <c r="J32" t="s">
        <v>3421</v>
      </c>
      <c r="K32">
        <v>0.75</v>
      </c>
      <c r="L32">
        <v>12795</v>
      </c>
      <c r="M32">
        <v>187</v>
      </c>
    </row>
    <row r="33" spans="1:13">
      <c r="A33" t="s">
        <v>3312</v>
      </c>
      <c r="B33">
        <v>146.03</v>
      </c>
      <c r="C33">
        <v>1.02</v>
      </c>
      <c r="D33" t="s">
        <v>3440</v>
      </c>
      <c r="E33">
        <v>1</v>
      </c>
      <c r="F33" t="s">
        <v>3428</v>
      </c>
      <c r="G33">
        <v>1</v>
      </c>
      <c r="H33" t="s">
        <v>3249</v>
      </c>
      <c r="I33">
        <v>1</v>
      </c>
      <c r="J33" t="s">
        <v>3421</v>
      </c>
      <c r="K33">
        <v>0.75</v>
      </c>
      <c r="L33">
        <v>12795</v>
      </c>
      <c r="M33">
        <v>187</v>
      </c>
    </row>
    <row r="34" spans="1:13">
      <c r="A34" t="s">
        <v>3313</v>
      </c>
      <c r="B34">
        <v>381.2</v>
      </c>
      <c r="C34">
        <v>1</v>
      </c>
      <c r="D34" t="s">
        <v>3440</v>
      </c>
      <c r="E34">
        <v>1</v>
      </c>
      <c r="F34" t="s">
        <v>3428</v>
      </c>
      <c r="G34">
        <v>1</v>
      </c>
      <c r="H34" t="s">
        <v>3249</v>
      </c>
      <c r="I34">
        <v>1</v>
      </c>
      <c r="J34" t="s">
        <v>3421</v>
      </c>
      <c r="K34">
        <v>0.75</v>
      </c>
      <c r="L34">
        <v>12545</v>
      </c>
      <c r="M34">
        <v>478</v>
      </c>
    </row>
    <row r="35" spans="1:13">
      <c r="A35" t="s">
        <v>3314</v>
      </c>
      <c r="B35">
        <v>357.37</v>
      </c>
      <c r="C35">
        <v>1</v>
      </c>
      <c r="D35" t="s">
        <v>3440</v>
      </c>
      <c r="E35">
        <v>1</v>
      </c>
      <c r="F35" t="s">
        <v>3428</v>
      </c>
      <c r="G35">
        <v>1</v>
      </c>
      <c r="H35" t="s">
        <v>3249</v>
      </c>
      <c r="I35">
        <v>1</v>
      </c>
      <c r="J35" t="s">
        <v>3421</v>
      </c>
      <c r="K35">
        <v>0.75</v>
      </c>
      <c r="L35">
        <v>12545</v>
      </c>
      <c r="M35">
        <v>448</v>
      </c>
    </row>
    <row r="36" spans="1:13">
      <c r="A36" t="s">
        <v>3315</v>
      </c>
      <c r="B36">
        <v>628.79999999999995</v>
      </c>
      <c r="C36">
        <v>0.96</v>
      </c>
      <c r="D36" t="s">
        <v>3440</v>
      </c>
      <c r="E36">
        <v>1</v>
      </c>
      <c r="F36" t="s">
        <v>3428</v>
      </c>
      <c r="G36">
        <v>1</v>
      </c>
      <c r="H36" t="s">
        <v>3249</v>
      </c>
      <c r="I36">
        <v>1</v>
      </c>
      <c r="J36" t="s">
        <v>3421</v>
      </c>
      <c r="K36">
        <v>0.75</v>
      </c>
      <c r="L36">
        <v>12043</v>
      </c>
      <c r="M36">
        <v>757</v>
      </c>
    </row>
    <row r="37" spans="1:13">
      <c r="A37" t="s">
        <v>3316</v>
      </c>
      <c r="B37">
        <v>153.59</v>
      </c>
      <c r="C37">
        <v>1.02</v>
      </c>
      <c r="D37" t="s">
        <v>3440</v>
      </c>
      <c r="E37">
        <v>1</v>
      </c>
      <c r="F37" t="s">
        <v>3428</v>
      </c>
      <c r="G37">
        <v>1</v>
      </c>
      <c r="H37" t="s">
        <v>3249</v>
      </c>
      <c r="I37">
        <v>1</v>
      </c>
      <c r="J37" t="s">
        <v>3421</v>
      </c>
      <c r="K37">
        <v>0.75</v>
      </c>
      <c r="L37">
        <v>12795</v>
      </c>
      <c r="M37">
        <v>197</v>
      </c>
    </row>
    <row r="38" spans="1:13">
      <c r="A38" t="s">
        <v>3317</v>
      </c>
      <c r="B38">
        <v>355.79</v>
      </c>
      <c r="C38">
        <v>1</v>
      </c>
      <c r="D38" t="s">
        <v>3440</v>
      </c>
      <c r="E38">
        <v>1</v>
      </c>
      <c r="F38" t="s">
        <v>3428</v>
      </c>
      <c r="G38">
        <v>1</v>
      </c>
      <c r="H38" t="s">
        <v>3249</v>
      </c>
      <c r="I38">
        <v>1</v>
      </c>
      <c r="J38" t="s">
        <v>3421</v>
      </c>
      <c r="K38">
        <v>0.75</v>
      </c>
      <c r="L38">
        <v>12545</v>
      </c>
      <c r="M38">
        <v>446</v>
      </c>
    </row>
    <row r="39" spans="1:13">
      <c r="A39" t="s">
        <v>3318</v>
      </c>
      <c r="B39">
        <v>419.63</v>
      </c>
      <c r="C39">
        <v>0.98</v>
      </c>
      <c r="D39" t="s">
        <v>3440</v>
      </c>
      <c r="E39">
        <v>1</v>
      </c>
      <c r="F39" t="s">
        <v>3428</v>
      </c>
      <c r="G39">
        <v>1</v>
      </c>
      <c r="H39" t="s">
        <v>3249</v>
      </c>
      <c r="I39">
        <v>1</v>
      </c>
      <c r="J39" t="s">
        <v>3421</v>
      </c>
      <c r="K39">
        <v>0.75</v>
      </c>
      <c r="L39">
        <v>12294</v>
      </c>
      <c r="M39">
        <v>516</v>
      </c>
    </row>
    <row r="40" spans="1:13">
      <c r="A40" t="s">
        <v>3319</v>
      </c>
      <c r="B40">
        <v>372.21</v>
      </c>
      <c r="C40">
        <v>1</v>
      </c>
      <c r="D40" t="s">
        <v>3440</v>
      </c>
      <c r="E40">
        <v>1</v>
      </c>
      <c r="F40" t="s">
        <v>3428</v>
      </c>
      <c r="G40">
        <v>1</v>
      </c>
      <c r="H40" t="s">
        <v>3249</v>
      </c>
      <c r="I40">
        <v>1</v>
      </c>
      <c r="J40" t="s">
        <v>3421</v>
      </c>
      <c r="K40">
        <v>0.75</v>
      </c>
      <c r="L40">
        <v>12545</v>
      </c>
      <c r="M40">
        <v>467</v>
      </c>
    </row>
    <row r="41" spans="1:13">
      <c r="A41" t="s">
        <v>3320</v>
      </c>
      <c r="B41">
        <v>409.93</v>
      </c>
      <c r="C41">
        <v>0.98</v>
      </c>
      <c r="D41" t="s">
        <v>3440</v>
      </c>
      <c r="E41">
        <v>1</v>
      </c>
      <c r="F41" t="s">
        <v>3428</v>
      </c>
      <c r="G41">
        <v>1</v>
      </c>
      <c r="H41" t="s">
        <v>3249</v>
      </c>
      <c r="I41">
        <v>1</v>
      </c>
      <c r="J41" t="s">
        <v>3421</v>
      </c>
      <c r="K41">
        <v>0.75</v>
      </c>
      <c r="L41">
        <v>12294</v>
      </c>
      <c r="M41">
        <v>504</v>
      </c>
    </row>
    <row r="42" spans="1:13">
      <c r="A42" t="s">
        <v>3321</v>
      </c>
      <c r="B42">
        <v>373.9</v>
      </c>
      <c r="C42">
        <v>1</v>
      </c>
      <c r="D42" t="s">
        <v>3440</v>
      </c>
      <c r="E42">
        <v>1</v>
      </c>
      <c r="F42" t="s">
        <v>3428</v>
      </c>
      <c r="G42">
        <v>1</v>
      </c>
      <c r="H42" t="s">
        <v>3249</v>
      </c>
      <c r="I42">
        <v>1</v>
      </c>
      <c r="J42" t="s">
        <v>3421</v>
      </c>
      <c r="K42">
        <v>0.75</v>
      </c>
      <c r="L42">
        <v>12545</v>
      </c>
      <c r="M42">
        <v>469</v>
      </c>
    </row>
    <row r="43" spans="1:13">
      <c r="A43" t="s">
        <v>3322</v>
      </c>
      <c r="B43">
        <v>569.6</v>
      </c>
      <c r="C43">
        <v>0.98</v>
      </c>
      <c r="D43" t="s">
        <v>3440</v>
      </c>
      <c r="E43">
        <v>1</v>
      </c>
      <c r="F43" t="s">
        <v>3428</v>
      </c>
      <c r="G43">
        <v>1</v>
      </c>
      <c r="H43" t="s">
        <v>3249</v>
      </c>
      <c r="I43">
        <v>1</v>
      </c>
      <c r="J43" t="s">
        <v>3421</v>
      </c>
      <c r="K43">
        <v>0.75</v>
      </c>
      <c r="L43">
        <v>12294</v>
      </c>
      <c r="M43">
        <v>700</v>
      </c>
    </row>
    <row r="44" spans="1:13">
      <c r="A44" t="s">
        <v>3343</v>
      </c>
      <c r="B44">
        <v>1439.25</v>
      </c>
      <c r="C44">
        <v>0.92</v>
      </c>
      <c r="D44" t="s">
        <v>3440</v>
      </c>
      <c r="E44">
        <v>1</v>
      </c>
      <c r="F44" t="s">
        <v>3428</v>
      </c>
      <c r="G44">
        <v>1</v>
      </c>
      <c r="H44" t="s">
        <v>3249</v>
      </c>
      <c r="I44">
        <v>1</v>
      </c>
      <c r="J44" t="s">
        <v>3422</v>
      </c>
      <c r="K44">
        <v>0.65</v>
      </c>
      <c r="L44">
        <v>10002</v>
      </c>
      <c r="M44">
        <v>1440</v>
      </c>
    </row>
    <row r="45" spans="1:13">
      <c r="A45" t="s">
        <v>3347</v>
      </c>
      <c r="B45">
        <v>1501</v>
      </c>
      <c r="C45">
        <v>0.9</v>
      </c>
      <c r="D45" t="s">
        <v>3440</v>
      </c>
      <c r="E45">
        <v>1</v>
      </c>
      <c r="F45" t="s">
        <v>3428</v>
      </c>
      <c r="G45">
        <v>1</v>
      </c>
      <c r="H45" t="s">
        <v>3249</v>
      </c>
      <c r="I45">
        <v>1</v>
      </c>
      <c r="J45" t="s">
        <v>3422</v>
      </c>
      <c r="K45">
        <v>0.65</v>
      </c>
      <c r="L45">
        <v>9785</v>
      </c>
      <c r="M45">
        <v>1469</v>
      </c>
    </row>
    <row r="46" spans="1:13">
      <c r="A46" t="s">
        <v>3350</v>
      </c>
      <c r="B46">
        <v>1441.56</v>
      </c>
      <c r="C46">
        <v>0.92</v>
      </c>
      <c r="D46" t="s">
        <v>3440</v>
      </c>
      <c r="E46">
        <v>1</v>
      </c>
      <c r="F46" t="s">
        <v>3428</v>
      </c>
      <c r="G46">
        <v>1</v>
      </c>
      <c r="H46" t="s">
        <v>3249</v>
      </c>
      <c r="I46">
        <v>1</v>
      </c>
      <c r="J46" t="s">
        <v>3423</v>
      </c>
      <c r="K46">
        <v>0.55000000000000004</v>
      </c>
      <c r="L46">
        <v>8463</v>
      </c>
      <c r="M46">
        <v>1220</v>
      </c>
    </row>
    <row r="47" spans="1:13">
      <c r="A47" t="s">
        <v>3358</v>
      </c>
      <c r="B47">
        <v>1377.12</v>
      </c>
      <c r="C47">
        <v>0.92</v>
      </c>
      <c r="D47" t="s">
        <v>3440</v>
      </c>
      <c r="E47">
        <v>1</v>
      </c>
      <c r="F47" t="s">
        <v>3428</v>
      </c>
      <c r="G47">
        <v>1</v>
      </c>
      <c r="H47" t="s">
        <v>3249</v>
      </c>
      <c r="I47">
        <v>1</v>
      </c>
      <c r="J47" t="s">
        <v>3423</v>
      </c>
      <c r="K47">
        <v>0.55000000000000004</v>
      </c>
      <c r="L47">
        <v>8463</v>
      </c>
      <c r="M47">
        <v>1165</v>
      </c>
    </row>
    <row r="48" spans="1:13">
      <c r="A48" t="s">
        <v>3360</v>
      </c>
      <c r="B48">
        <v>1440.56</v>
      </c>
      <c r="C48">
        <v>0.92</v>
      </c>
      <c r="D48" t="s">
        <v>3440</v>
      </c>
      <c r="E48">
        <v>1</v>
      </c>
      <c r="F48" t="s">
        <v>3428</v>
      </c>
      <c r="G48">
        <v>1</v>
      </c>
      <c r="H48" t="s">
        <v>3249</v>
      </c>
      <c r="I48">
        <v>1</v>
      </c>
      <c r="J48" t="s">
        <v>3424</v>
      </c>
      <c r="K48">
        <v>0.55000000000000004</v>
      </c>
      <c r="L48">
        <v>8463</v>
      </c>
      <c r="M48">
        <v>1219</v>
      </c>
    </row>
    <row r="49" spans="1:13">
      <c r="A49" t="s">
        <v>3363</v>
      </c>
      <c r="B49">
        <v>1377.12</v>
      </c>
      <c r="C49">
        <v>0.92</v>
      </c>
      <c r="D49" t="s">
        <v>3440</v>
      </c>
      <c r="E49">
        <v>1</v>
      </c>
      <c r="F49" t="s">
        <v>3428</v>
      </c>
      <c r="G49">
        <v>1</v>
      </c>
      <c r="H49" t="s">
        <v>3249</v>
      </c>
      <c r="I49">
        <v>1</v>
      </c>
      <c r="J49" t="s">
        <v>3424</v>
      </c>
      <c r="K49">
        <v>0.55000000000000004</v>
      </c>
      <c r="L49">
        <v>8463</v>
      </c>
      <c r="M49">
        <v>1165</v>
      </c>
    </row>
    <row r="50" spans="1:13">
      <c r="A50" t="s">
        <v>3366</v>
      </c>
      <c r="B50">
        <v>8081.16</v>
      </c>
      <c r="C50">
        <v>0.88</v>
      </c>
      <c r="D50" t="s">
        <v>3437</v>
      </c>
      <c r="E50">
        <v>1.0900000000000001</v>
      </c>
      <c r="F50" t="s">
        <v>3426</v>
      </c>
      <c r="G50">
        <v>1.2</v>
      </c>
      <c r="H50" t="s">
        <v>3458</v>
      </c>
      <c r="I50">
        <v>1.2</v>
      </c>
      <c r="J50" t="s">
        <v>3425</v>
      </c>
      <c r="K50">
        <v>0.9</v>
      </c>
      <c r="L50">
        <v>20792</v>
      </c>
      <c r="M50">
        <v>16802</v>
      </c>
    </row>
  </sheetData>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
  <sheetViews>
    <sheetView topLeftCell="A12" workbookViewId="0">
      <selection sqref="A1:E57"/>
    </sheetView>
  </sheetViews>
  <sheetFormatPr defaultRowHeight="12" customHeight="1"/>
  <cols>
    <col min="1" max="1" width="55.75" customWidth="1"/>
  </cols>
  <sheetData>
    <row r="1" spans="1:5" ht="12" customHeight="1" thickTop="1">
      <c r="A1" s="3311" t="s">
        <v>3472</v>
      </c>
      <c r="B1" s="3311" t="s">
        <v>3463</v>
      </c>
      <c r="C1" s="3311" t="s">
        <v>3473</v>
      </c>
      <c r="D1" s="3313" t="s">
        <v>3474</v>
      </c>
      <c r="E1" s="3314"/>
    </row>
    <row r="2" spans="1:5" ht="12" customHeight="1">
      <c r="A2" s="3312"/>
      <c r="B2" s="3312"/>
      <c r="C2" s="3312"/>
      <c r="D2" s="3308" t="s">
        <v>3476</v>
      </c>
      <c r="E2" s="3308" t="s">
        <v>3475</v>
      </c>
    </row>
    <row r="3" spans="1:5" ht="12" customHeight="1">
      <c r="A3" s="3309" t="s">
        <v>3480</v>
      </c>
      <c r="B3" s="3310">
        <v>249.95</v>
      </c>
      <c r="C3" s="3310">
        <v>114.7</v>
      </c>
      <c r="D3" s="3310">
        <v>418</v>
      </c>
      <c r="E3" s="3310">
        <v>16723</v>
      </c>
    </row>
    <row r="4" spans="1:5" ht="12" customHeight="1">
      <c r="A4" s="3309" t="s">
        <v>3481</v>
      </c>
      <c r="B4" s="3310">
        <v>500.22</v>
      </c>
      <c r="C4" s="3310">
        <v>229.55</v>
      </c>
      <c r="D4" s="3310">
        <v>820</v>
      </c>
      <c r="E4" s="3310">
        <v>16389</v>
      </c>
    </row>
    <row r="5" spans="1:5" ht="12" customHeight="1">
      <c r="A5" s="3309" t="s">
        <v>3482</v>
      </c>
      <c r="B5" s="3310">
        <v>367.74</v>
      </c>
      <c r="C5" s="3310">
        <v>168.75</v>
      </c>
      <c r="D5" s="3310">
        <v>615</v>
      </c>
      <c r="E5" s="3310">
        <v>16723</v>
      </c>
    </row>
    <row r="6" spans="1:5" ht="12" customHeight="1">
      <c r="A6" s="3309" t="s">
        <v>3483</v>
      </c>
      <c r="B6" s="3310">
        <v>276.88</v>
      </c>
      <c r="C6" s="3310">
        <v>127.06</v>
      </c>
      <c r="D6" s="3310">
        <v>463</v>
      </c>
      <c r="E6" s="3310">
        <v>16723</v>
      </c>
    </row>
    <row r="7" spans="1:5" ht="12" customHeight="1">
      <c r="A7" s="3309" t="s">
        <v>3484</v>
      </c>
      <c r="B7" s="3310">
        <v>344.6</v>
      </c>
      <c r="C7" s="3310">
        <v>158.13</v>
      </c>
      <c r="D7" s="3310">
        <v>576</v>
      </c>
      <c r="E7" s="3310">
        <v>16723</v>
      </c>
    </row>
    <row r="8" spans="1:5" ht="12" customHeight="1">
      <c r="A8" s="3309" t="s">
        <v>3485</v>
      </c>
      <c r="B8" s="3310">
        <v>173.92</v>
      </c>
      <c r="C8" s="3310">
        <v>79.81</v>
      </c>
      <c r="D8" s="3310">
        <v>297</v>
      </c>
      <c r="E8" s="3310">
        <v>17057</v>
      </c>
    </row>
    <row r="9" spans="1:5" ht="12" customHeight="1">
      <c r="A9" s="3309" t="s">
        <v>3486</v>
      </c>
      <c r="B9" s="3310">
        <v>158.53</v>
      </c>
      <c r="C9" s="3310">
        <v>72.75</v>
      </c>
      <c r="D9" s="3310">
        <v>270</v>
      </c>
      <c r="E9" s="3310">
        <v>17057</v>
      </c>
    </row>
    <row r="10" spans="1:5" ht="12" customHeight="1">
      <c r="A10" s="3309" t="s">
        <v>3487</v>
      </c>
      <c r="B10" s="3310">
        <v>319.99</v>
      </c>
      <c r="C10" s="3310">
        <v>146.84</v>
      </c>
      <c r="D10" s="3310">
        <v>535</v>
      </c>
      <c r="E10" s="3310">
        <v>16723</v>
      </c>
    </row>
    <row r="11" spans="1:5" ht="12" customHeight="1">
      <c r="A11" s="3309" t="s">
        <v>3488</v>
      </c>
      <c r="B11" s="3310">
        <v>153.97</v>
      </c>
      <c r="C11" s="3310">
        <v>70.66</v>
      </c>
      <c r="D11" s="3310">
        <v>263</v>
      </c>
      <c r="E11" s="3310">
        <v>17057</v>
      </c>
    </row>
    <row r="12" spans="1:5" ht="12" customHeight="1">
      <c r="A12" s="3309" t="s">
        <v>3489</v>
      </c>
      <c r="B12" s="3310">
        <v>153.97</v>
      </c>
      <c r="C12" s="3310">
        <v>70.66</v>
      </c>
      <c r="D12" s="3310">
        <v>263</v>
      </c>
      <c r="E12" s="3310">
        <v>17057</v>
      </c>
    </row>
    <row r="13" spans="1:5" ht="12" customHeight="1">
      <c r="A13" s="3309" t="s">
        <v>3490</v>
      </c>
      <c r="B13" s="3310">
        <v>401.93</v>
      </c>
      <c r="C13" s="3310">
        <v>184.44</v>
      </c>
      <c r="D13" s="3310">
        <v>659</v>
      </c>
      <c r="E13" s="3310">
        <v>16389</v>
      </c>
    </row>
    <row r="14" spans="1:5" ht="12" customHeight="1">
      <c r="A14" s="3309" t="s">
        <v>3491</v>
      </c>
      <c r="B14" s="3310">
        <v>366.93</v>
      </c>
      <c r="C14" s="3310">
        <v>168.38</v>
      </c>
      <c r="D14" s="3310">
        <v>614</v>
      </c>
      <c r="E14" s="3310">
        <v>16723</v>
      </c>
    </row>
    <row r="15" spans="1:5" ht="12" customHeight="1">
      <c r="A15" s="3309" t="s">
        <v>3492</v>
      </c>
      <c r="B15" s="3310">
        <v>622.17999999999995</v>
      </c>
      <c r="C15" s="3310">
        <v>285.51</v>
      </c>
      <c r="D15" s="3310">
        <v>999</v>
      </c>
      <c r="E15" s="3310">
        <v>16054</v>
      </c>
    </row>
    <row r="16" spans="1:5" ht="12" customHeight="1">
      <c r="A16" s="3309" t="s">
        <v>3493</v>
      </c>
      <c r="B16" s="3310">
        <v>161.94</v>
      </c>
      <c r="C16" s="3310">
        <v>74.31</v>
      </c>
      <c r="D16" s="3310">
        <v>276</v>
      </c>
      <c r="E16" s="3310">
        <v>17057</v>
      </c>
    </row>
    <row r="17" spans="1:5" ht="12" customHeight="1">
      <c r="A17" s="3309" t="s">
        <v>3494</v>
      </c>
      <c r="B17" s="3310">
        <v>281.02</v>
      </c>
      <c r="C17" s="3310">
        <v>128.96</v>
      </c>
      <c r="D17" s="3310">
        <v>470</v>
      </c>
      <c r="E17" s="3310">
        <v>16723</v>
      </c>
    </row>
    <row r="18" spans="1:5" ht="12" customHeight="1">
      <c r="A18" s="3309" t="s">
        <v>3495</v>
      </c>
      <c r="B18" s="3310">
        <v>442.38</v>
      </c>
      <c r="C18" s="3310">
        <v>203</v>
      </c>
      <c r="D18" s="3310">
        <v>725</v>
      </c>
      <c r="E18" s="3310">
        <v>16389</v>
      </c>
    </row>
    <row r="19" spans="1:5" ht="12" customHeight="1">
      <c r="A19" s="3309" t="s">
        <v>3496</v>
      </c>
      <c r="B19" s="3310">
        <v>385.33</v>
      </c>
      <c r="C19" s="3310">
        <v>176.82</v>
      </c>
      <c r="D19" s="3310">
        <v>644</v>
      </c>
      <c r="E19" s="3310">
        <v>16723</v>
      </c>
    </row>
    <row r="20" spans="1:5" ht="12" customHeight="1">
      <c r="A20" s="3309" t="s">
        <v>3497</v>
      </c>
      <c r="B20" s="3310">
        <v>432.32</v>
      </c>
      <c r="C20" s="3310">
        <v>198.39</v>
      </c>
      <c r="D20" s="3310">
        <v>709</v>
      </c>
      <c r="E20" s="3310">
        <v>16389</v>
      </c>
    </row>
    <row r="21" spans="1:5" ht="12" customHeight="1">
      <c r="A21" s="3309" t="s">
        <v>3498</v>
      </c>
      <c r="B21" s="3310">
        <v>394.24</v>
      </c>
      <c r="C21" s="3310">
        <v>180.91</v>
      </c>
      <c r="D21" s="3310">
        <v>659</v>
      </c>
      <c r="E21" s="3310">
        <v>16723</v>
      </c>
    </row>
    <row r="22" spans="1:5" ht="12" customHeight="1">
      <c r="A22" s="3309" t="s">
        <v>3499</v>
      </c>
      <c r="B22" s="3310">
        <v>483.15</v>
      </c>
      <c r="C22" s="3310">
        <v>221.71</v>
      </c>
      <c r="D22" s="3310">
        <v>792</v>
      </c>
      <c r="E22" s="3310">
        <v>16389</v>
      </c>
    </row>
    <row r="23" spans="1:5" ht="12" customHeight="1">
      <c r="A23" s="3309" t="s">
        <v>3500</v>
      </c>
      <c r="B23" s="3310">
        <v>94.29</v>
      </c>
      <c r="C23" s="3310">
        <v>43.27</v>
      </c>
      <c r="D23" s="3310">
        <v>164</v>
      </c>
      <c r="E23" s="3310">
        <v>17392</v>
      </c>
    </row>
    <row r="24" spans="1:5" ht="12" customHeight="1">
      <c r="A24" s="3309" t="s">
        <v>3501</v>
      </c>
      <c r="B24" s="3310">
        <v>641.16999999999996</v>
      </c>
      <c r="C24" s="3310">
        <v>294.23</v>
      </c>
      <c r="D24" s="3310">
        <v>772</v>
      </c>
      <c r="E24" s="3310">
        <v>12041</v>
      </c>
    </row>
    <row r="25" spans="1:5" ht="12" customHeight="1">
      <c r="A25" s="3309" t="s">
        <v>3502</v>
      </c>
      <c r="B25" s="3310">
        <v>237.42</v>
      </c>
      <c r="C25" s="3310">
        <v>108.95</v>
      </c>
      <c r="D25" s="3310">
        <v>298</v>
      </c>
      <c r="E25" s="3310">
        <v>12542</v>
      </c>
    </row>
    <row r="26" spans="1:5" ht="12" customHeight="1">
      <c r="A26" s="3309" t="s">
        <v>3503</v>
      </c>
      <c r="B26" s="3310">
        <v>474.42</v>
      </c>
      <c r="C26" s="3310">
        <v>217.71</v>
      </c>
      <c r="D26" s="3310">
        <v>583</v>
      </c>
      <c r="E26" s="3310">
        <v>12291</v>
      </c>
    </row>
    <row r="27" spans="1:5" ht="12" customHeight="1">
      <c r="A27" s="3309" t="s">
        <v>3504</v>
      </c>
      <c r="B27" s="3310">
        <v>407.01</v>
      </c>
      <c r="C27" s="3310">
        <v>186.77</v>
      </c>
      <c r="D27" s="3310">
        <v>500</v>
      </c>
      <c r="E27" s="3310">
        <v>12291</v>
      </c>
    </row>
    <row r="28" spans="1:5" ht="12" customHeight="1">
      <c r="A28" s="3309" t="s">
        <v>3505</v>
      </c>
      <c r="B28" s="3310">
        <v>262.60000000000002</v>
      </c>
      <c r="C28" s="3310">
        <v>120.5</v>
      </c>
      <c r="D28" s="3310">
        <v>329</v>
      </c>
      <c r="E28" s="3310">
        <v>12542</v>
      </c>
    </row>
    <row r="29" spans="1:5" ht="12" customHeight="1">
      <c r="A29" s="3309" t="s">
        <v>3506</v>
      </c>
      <c r="B29" s="3310">
        <v>337.69</v>
      </c>
      <c r="C29" s="3310">
        <v>154.96</v>
      </c>
      <c r="D29" s="3310">
        <v>424</v>
      </c>
      <c r="E29" s="3310">
        <v>12542</v>
      </c>
    </row>
    <row r="30" spans="1:5" ht="12" customHeight="1">
      <c r="A30" s="3309" t="s">
        <v>3507</v>
      </c>
      <c r="B30" s="3310">
        <v>223.24</v>
      </c>
      <c r="C30" s="3310">
        <v>102.44</v>
      </c>
      <c r="D30" s="3310">
        <v>280</v>
      </c>
      <c r="E30" s="3310">
        <v>12542</v>
      </c>
    </row>
    <row r="31" spans="1:5" ht="12" customHeight="1">
      <c r="A31" s="3309" t="s">
        <v>3508</v>
      </c>
      <c r="B31" s="3310">
        <v>188.24</v>
      </c>
      <c r="C31" s="3310">
        <v>86.38</v>
      </c>
      <c r="D31" s="3310">
        <v>241</v>
      </c>
      <c r="E31" s="3310">
        <v>12793</v>
      </c>
    </row>
    <row r="32" spans="1:5" ht="12" customHeight="1">
      <c r="A32" s="3309" t="s">
        <v>3509</v>
      </c>
      <c r="B32" s="3310">
        <v>293.43</v>
      </c>
      <c r="C32" s="3310">
        <v>134.65</v>
      </c>
      <c r="D32" s="3310">
        <v>368</v>
      </c>
      <c r="E32" s="3310">
        <v>12542</v>
      </c>
    </row>
    <row r="33" spans="1:5" ht="12" customHeight="1">
      <c r="A33" s="3309" t="s">
        <v>3510</v>
      </c>
      <c r="B33" s="3310">
        <v>146.03</v>
      </c>
      <c r="C33" s="3310">
        <v>67.010000000000005</v>
      </c>
      <c r="D33" s="3310">
        <v>187</v>
      </c>
      <c r="E33" s="3310">
        <v>12793</v>
      </c>
    </row>
    <row r="34" spans="1:5" ht="12" customHeight="1">
      <c r="A34" s="3309" t="s">
        <v>3511</v>
      </c>
      <c r="B34" s="3310">
        <v>146.03</v>
      </c>
      <c r="C34" s="3310">
        <v>67.010000000000005</v>
      </c>
      <c r="D34" s="3310">
        <v>187</v>
      </c>
      <c r="E34" s="3310">
        <v>12793</v>
      </c>
    </row>
    <row r="35" spans="1:5" ht="12" customHeight="1">
      <c r="A35" s="3309" t="s">
        <v>3512</v>
      </c>
      <c r="B35" s="3310">
        <v>381.2</v>
      </c>
      <c r="C35" s="3310">
        <v>174.93</v>
      </c>
      <c r="D35" s="3310">
        <v>478</v>
      </c>
      <c r="E35" s="3310">
        <v>12542</v>
      </c>
    </row>
    <row r="36" spans="1:5" ht="12" customHeight="1">
      <c r="A36" s="3309" t="s">
        <v>3513</v>
      </c>
      <c r="B36" s="3310">
        <v>357.37</v>
      </c>
      <c r="C36" s="3310">
        <v>163.99</v>
      </c>
      <c r="D36" s="3310">
        <v>448</v>
      </c>
      <c r="E36" s="3310">
        <v>12542</v>
      </c>
    </row>
    <row r="37" spans="1:5" ht="12" customHeight="1">
      <c r="A37" s="3309" t="s">
        <v>3514</v>
      </c>
      <c r="B37" s="3310">
        <v>628.79999999999995</v>
      </c>
      <c r="C37" s="3310">
        <v>288.55</v>
      </c>
      <c r="D37" s="3310">
        <v>757</v>
      </c>
      <c r="E37" s="3310">
        <v>12041</v>
      </c>
    </row>
    <row r="38" spans="1:5" ht="12" customHeight="1">
      <c r="A38" s="3309" t="s">
        <v>3515</v>
      </c>
      <c r="B38" s="3310">
        <v>153.59</v>
      </c>
      <c r="C38" s="3310">
        <v>70.48</v>
      </c>
      <c r="D38" s="3310">
        <v>196</v>
      </c>
      <c r="E38" s="3310">
        <v>12793</v>
      </c>
    </row>
    <row r="39" spans="1:5" ht="12" customHeight="1">
      <c r="A39" s="3309" t="s">
        <v>3516</v>
      </c>
      <c r="B39" s="3310">
        <v>355.79</v>
      </c>
      <c r="C39" s="3310">
        <v>163.27000000000001</v>
      </c>
      <c r="D39" s="3310">
        <v>446</v>
      </c>
      <c r="E39" s="3310">
        <v>12542</v>
      </c>
    </row>
    <row r="40" spans="1:5" ht="12" customHeight="1">
      <c r="A40" s="3309" t="s">
        <v>3517</v>
      </c>
      <c r="B40" s="3310">
        <v>419.63</v>
      </c>
      <c r="C40" s="3310">
        <v>192.56</v>
      </c>
      <c r="D40" s="3310">
        <v>516</v>
      </c>
      <c r="E40" s="3310">
        <v>12291</v>
      </c>
    </row>
    <row r="41" spans="1:5" ht="12" customHeight="1">
      <c r="A41" s="3309" t="s">
        <v>3518</v>
      </c>
      <c r="B41" s="3310">
        <v>372.21</v>
      </c>
      <c r="C41" s="3310">
        <v>170.8</v>
      </c>
      <c r="D41" s="3310">
        <v>467</v>
      </c>
      <c r="E41" s="3310">
        <v>12542</v>
      </c>
    </row>
    <row r="42" spans="1:5" ht="12" customHeight="1">
      <c r="A42" s="3309" t="s">
        <v>3519</v>
      </c>
      <c r="B42" s="3310">
        <v>409.93</v>
      </c>
      <c r="C42" s="3310">
        <v>188.11</v>
      </c>
      <c r="D42" s="3310">
        <v>504</v>
      </c>
      <c r="E42" s="3310">
        <v>12291</v>
      </c>
    </row>
    <row r="43" spans="1:5" ht="12" customHeight="1">
      <c r="A43" s="3309" t="s">
        <v>3520</v>
      </c>
      <c r="B43" s="3310">
        <v>373.9</v>
      </c>
      <c r="C43" s="3310">
        <v>171.58</v>
      </c>
      <c r="D43" s="3310">
        <v>469</v>
      </c>
      <c r="E43" s="3310">
        <v>12542</v>
      </c>
    </row>
    <row r="44" spans="1:5" ht="12" customHeight="1">
      <c r="A44" s="3309" t="s">
        <v>3521</v>
      </c>
      <c r="B44" s="3310">
        <v>569.6</v>
      </c>
      <c r="C44" s="3310">
        <v>261.38</v>
      </c>
      <c r="D44" s="3310">
        <v>700</v>
      </c>
      <c r="E44" s="3310">
        <v>12291</v>
      </c>
    </row>
    <row r="45" spans="1:5" ht="12" customHeight="1">
      <c r="A45" s="3309" t="s">
        <v>3522</v>
      </c>
      <c r="B45" s="3310">
        <v>1439.25</v>
      </c>
      <c r="C45" s="3310">
        <v>566.79999999999995</v>
      </c>
      <c r="D45" s="3310">
        <v>1439</v>
      </c>
      <c r="E45" s="3310">
        <v>10000</v>
      </c>
    </row>
    <row r="46" spans="1:5" ht="12" customHeight="1">
      <c r="A46" s="3309" t="s">
        <v>3523</v>
      </c>
      <c r="B46" s="3310">
        <v>1501</v>
      </c>
      <c r="C46" s="3310">
        <v>591.1</v>
      </c>
      <c r="D46" s="3310">
        <v>1468</v>
      </c>
      <c r="E46" s="3310">
        <v>9783</v>
      </c>
    </row>
    <row r="47" spans="1:5" ht="12" customHeight="1">
      <c r="A47" s="3309" t="s">
        <v>3524</v>
      </c>
      <c r="B47" s="3310">
        <v>1441.56</v>
      </c>
      <c r="C47" s="3310">
        <v>567.70000000000005</v>
      </c>
      <c r="D47" s="3310">
        <v>1220</v>
      </c>
      <c r="E47" s="3310">
        <v>8462</v>
      </c>
    </row>
    <row r="48" spans="1:5" ht="12" customHeight="1">
      <c r="A48" s="3309" t="s">
        <v>3525</v>
      </c>
      <c r="B48" s="3310">
        <v>1377.12</v>
      </c>
      <c r="C48" s="3310">
        <v>542.29999999999995</v>
      </c>
      <c r="D48" s="3310">
        <v>1165</v>
      </c>
      <c r="E48" s="3310">
        <v>8462</v>
      </c>
    </row>
    <row r="49" spans="1:5" ht="12" customHeight="1">
      <c r="A49" s="3309" t="s">
        <v>3526</v>
      </c>
      <c r="B49" s="3310">
        <v>1440.56</v>
      </c>
      <c r="C49" s="3310">
        <v>567.29999999999995</v>
      </c>
      <c r="D49" s="3310">
        <v>1219</v>
      </c>
      <c r="E49" s="3310">
        <v>8462</v>
      </c>
    </row>
    <row r="50" spans="1:5" ht="12" customHeight="1">
      <c r="A50" s="3309" t="s">
        <v>3527</v>
      </c>
      <c r="B50" s="3310">
        <v>1377.12</v>
      </c>
      <c r="C50" s="3310">
        <v>542.29999999999995</v>
      </c>
      <c r="D50" s="3310">
        <v>1165</v>
      </c>
      <c r="E50" s="3310">
        <v>8462</v>
      </c>
    </row>
    <row r="51" spans="1:5" ht="12" customHeight="1">
      <c r="A51" s="3309" t="s">
        <v>3528</v>
      </c>
      <c r="B51" s="3310">
        <v>8081.16</v>
      </c>
      <c r="C51" s="3310">
        <v>4339.2</v>
      </c>
      <c r="D51" s="3310">
        <v>16800</v>
      </c>
      <c r="E51" s="3310">
        <v>20789</v>
      </c>
    </row>
    <row r="52" spans="1:5" ht="12" customHeight="1">
      <c r="A52" s="3309" t="s">
        <v>37</v>
      </c>
      <c r="B52" s="3310">
        <f>SUM(B3:B51)</f>
        <v>30802.55</v>
      </c>
      <c r="C52" s="3310">
        <f>SUM(C3:C51)</f>
        <v>14207.57</v>
      </c>
      <c r="D52" s="3315">
        <f>SUM(D3:D51)</f>
        <v>44857</v>
      </c>
      <c r="E52" s="3316"/>
    </row>
    <row r="53" spans="1:5" ht="12" customHeight="1">
      <c r="A53" s="3317" t="s">
        <v>3477</v>
      </c>
      <c r="B53" s="3318"/>
      <c r="C53" s="3319"/>
      <c r="D53" s="3317" t="s">
        <v>3478</v>
      </c>
      <c r="E53" s="3319"/>
    </row>
    <row r="54" spans="1:5" ht="12" customHeight="1">
      <c r="A54" s="3317" t="s">
        <v>3479</v>
      </c>
      <c r="B54" s="3318"/>
      <c r="C54" s="3319"/>
      <c r="D54" s="3320"/>
      <c r="E54" s="3316"/>
    </row>
    <row r="55" spans="1:5" ht="12" customHeight="1">
      <c r="A55" s="3317" t="s">
        <v>3477</v>
      </c>
      <c r="B55" s="3318"/>
      <c r="C55" s="3319"/>
      <c r="D55" s="3318"/>
      <c r="E55" s="3319"/>
    </row>
    <row r="56" spans="1:5" ht="12" customHeight="1">
      <c r="A56" s="3317" t="s">
        <v>3048</v>
      </c>
      <c r="B56" s="3318"/>
      <c r="C56" s="3319"/>
      <c r="D56" s="3320"/>
      <c r="E56" s="3316"/>
    </row>
    <row r="57" spans="1:5" ht="12" customHeight="1" thickBot="1">
      <c r="A57" s="3321" t="s">
        <v>3477</v>
      </c>
      <c r="B57" s="3322"/>
      <c r="C57" s="3323"/>
      <c r="D57" s="3322"/>
      <c r="E57" s="3323"/>
    </row>
    <row r="58" spans="1:5" ht="12" customHeight="1" thickTop="1"/>
  </sheetData>
  <mergeCells count="15">
    <mergeCell ref="A57:C57"/>
    <mergeCell ref="D57:E57"/>
    <mergeCell ref="A54:C54"/>
    <mergeCell ref="D54:E54"/>
    <mergeCell ref="A55:C55"/>
    <mergeCell ref="D55:E55"/>
    <mergeCell ref="A56:C56"/>
    <mergeCell ref="D56:E56"/>
    <mergeCell ref="D52:E52"/>
    <mergeCell ref="A53:C53"/>
    <mergeCell ref="D53:E53"/>
    <mergeCell ref="A1:A2"/>
    <mergeCell ref="B1:B2"/>
    <mergeCell ref="C1:C2"/>
    <mergeCell ref="D1:E1"/>
  </mergeCells>
  <phoneticPr fontId="1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1641</v>
      </c>
      <c r="B2" s="2993" t="s">
        <v>1642</v>
      </c>
      <c r="C2" s="2993" t="s">
        <v>1643</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94"/>
      <c r="B3" s="2994"/>
      <c r="C3" s="2994"/>
      <c r="D3" s="1046" t="s">
        <v>1638</v>
      </c>
      <c r="E3" s="1046" t="s">
        <v>1644</v>
      </c>
      <c r="F3" s="1046" t="s">
        <v>1638</v>
      </c>
      <c r="G3" s="1046" t="s">
        <v>1639</v>
      </c>
      <c r="H3" s="1046" t="s">
        <v>1638</v>
      </c>
      <c r="I3" s="1046" t="s">
        <v>1639</v>
      </c>
    </row>
    <row r="4" spans="1:9" ht="15">
      <c r="A4" s="1973" t="str">
        <f>项目基本情况!S2</f>
        <v>北京市房地产</v>
      </c>
      <c r="B4" s="1046">
        <f>项目基本情况!C17</f>
        <v>249.95</v>
      </c>
      <c r="C4" s="1046">
        <f>项目基本情况!C18</f>
        <v>114.7</v>
      </c>
      <c r="D4" s="1046" t="e">
        <f ca="1">结果表!D118</f>
        <v>#REF!</v>
      </c>
      <c r="E4" s="1046" t="e">
        <f ca="1">结果表!E118</f>
        <v>#REF!</v>
      </c>
      <c r="F4" s="1046" t="e">
        <f ca="1">结果表!F118</f>
        <v>#REF!</v>
      </c>
      <c r="G4" s="1046" t="e">
        <f ca="1">结果表!G118</f>
        <v>#REF!</v>
      </c>
      <c r="H4" s="1046">
        <f ca="1">结果表!H118</f>
        <v>418</v>
      </c>
      <c r="I4" s="1046">
        <f ca="1">结果表!I118</f>
        <v>16723</v>
      </c>
    </row>
    <row r="5" spans="1:9" ht="30" customHeight="1">
      <c r="A5" s="2994" t="s">
        <v>1640</v>
      </c>
      <c r="B5" s="2994"/>
      <c r="C5" s="2994"/>
      <c r="D5" s="2995" t="e">
        <f ca="1">结果表!D119</f>
        <v>#REF!</v>
      </c>
      <c r="E5" s="2995"/>
      <c r="F5" s="2995" t="e">
        <f ca="1">结果表!F119</f>
        <v>#REF!</v>
      </c>
      <c r="G5" s="2995"/>
      <c r="H5" s="2995" t="str">
        <f ca="1">结果表!H119</f>
        <v>肆佰壹拾捌万元整</v>
      </c>
      <c r="I5" s="2995"/>
    </row>
    <row r="6" spans="1:9" ht="15.75">
      <c r="A6" s="2996" t="str">
        <f>结果表!A120</f>
        <v>估价师知悉的法定优先受偿款</v>
      </c>
      <c r="B6" s="2996"/>
      <c r="C6" s="2996"/>
      <c r="D6" s="2996">
        <f>结果表!D120</f>
        <v>0</v>
      </c>
      <c r="E6" s="2996"/>
      <c r="F6" s="2996"/>
      <c r="G6" s="2996"/>
      <c r="H6" s="2996"/>
      <c r="I6" s="2996"/>
    </row>
    <row r="7" spans="1:9" ht="15">
      <c r="A7" s="2994" t="s">
        <v>1640</v>
      </c>
      <c r="B7" s="2994"/>
      <c r="C7" s="2994"/>
      <c r="D7" s="2997" t="str">
        <f>结果表!D121</f>
        <v>零元整</v>
      </c>
      <c r="E7" s="2998"/>
      <c r="F7" s="2998"/>
      <c r="G7" s="2998"/>
      <c r="H7" s="2998"/>
      <c r="I7" s="2999"/>
    </row>
    <row r="8" spans="1:9" ht="15.75">
      <c r="A8" s="2996" t="str">
        <f>结果表!A122</f>
        <v>房地产抵押价值</v>
      </c>
      <c r="B8" s="2996"/>
      <c r="C8" s="2996"/>
      <c r="D8" s="2996">
        <f ca="1">结果表!D122</f>
        <v>418</v>
      </c>
      <c r="E8" s="2996"/>
      <c r="F8" s="2996"/>
      <c r="G8" s="2996"/>
      <c r="H8" s="2996"/>
      <c r="I8" s="2996"/>
    </row>
    <row r="9" spans="1:9" ht="15">
      <c r="A9" s="2994" t="s">
        <v>1640</v>
      </c>
      <c r="B9" s="2994"/>
      <c r="C9" s="2994"/>
      <c r="D9" s="2995" t="str">
        <f ca="1">结果表!D123</f>
        <v>肆佰壹拾捌万元整</v>
      </c>
      <c r="E9" s="2995"/>
      <c r="F9" s="2995"/>
      <c r="G9" s="2995"/>
      <c r="H9" s="2995"/>
      <c r="I9" s="2995"/>
    </row>
    <row r="10" spans="1:9" ht="15.75">
      <c r="A10" s="2996" t="str">
        <f>结果表!A124</f>
        <v/>
      </c>
      <c r="B10" s="2996"/>
      <c r="C10" s="2996"/>
      <c r="D10" s="2996" t="str">
        <f>结果表!D124</f>
        <v>——</v>
      </c>
      <c r="E10" s="2996"/>
      <c r="F10" s="2996"/>
      <c r="G10" s="2996"/>
      <c r="H10" s="2996"/>
      <c r="I10" s="2996"/>
    </row>
    <row r="11" spans="1:9" ht="15">
      <c r="A11" s="2994" t="s">
        <v>1640</v>
      </c>
      <c r="B11" s="2994"/>
      <c r="C11" s="2994"/>
      <c r="D11" s="2995" t="e">
        <f>结果表!D125</f>
        <v>#VALUE!</v>
      </c>
      <c r="E11" s="2995"/>
      <c r="F11" s="2995"/>
      <c r="G11" s="2995"/>
      <c r="H11" s="2995"/>
      <c r="I11" s="2995"/>
    </row>
    <row r="12" spans="1:9" ht="15.75">
      <c r="A12" s="2996" t="str">
        <f>结果表!A126</f>
        <v/>
      </c>
      <c r="B12" s="2996"/>
      <c r="C12" s="2996"/>
      <c r="D12" s="2996" t="str">
        <f>结果表!D126</f>
        <v>——</v>
      </c>
      <c r="E12" s="2996"/>
      <c r="F12" s="2996"/>
      <c r="G12" s="2996"/>
      <c r="H12" s="2996"/>
      <c r="I12" s="2996"/>
    </row>
    <row r="13" spans="1:9" ht="15.75" thickBot="1">
      <c r="A13" s="3000" t="s">
        <v>1640</v>
      </c>
      <c r="B13" s="3000"/>
      <c r="C13" s="3000"/>
      <c r="D13" s="3001" t="e">
        <f>结果表!D127</f>
        <v>#VALUE!</v>
      </c>
      <c r="E13" s="3001"/>
      <c r="F13" s="3001"/>
      <c r="G13" s="3001"/>
      <c r="H13" s="3001"/>
      <c r="I13" s="3001"/>
    </row>
    <row r="14" spans="1:9" ht="15" thickTop="1">
      <c r="A14" s="3002" t="s">
        <v>1645</v>
      </c>
      <c r="B14" s="3002"/>
      <c r="C14" s="3002"/>
      <c r="D14" s="3002"/>
      <c r="E14" s="3002"/>
      <c r="F14" s="3002"/>
      <c r="G14" s="3002"/>
      <c r="H14" s="3002"/>
      <c r="I14" s="3002"/>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03" t="s">
        <v>1662</v>
      </c>
      <c r="B1" s="3003"/>
      <c r="C1" s="3003"/>
      <c r="D1" s="3003"/>
    </row>
    <row r="2" spans="1:4" ht="18">
      <c r="A2" s="3004" t="s">
        <v>1646</v>
      </c>
      <c r="B2" s="3004"/>
      <c r="C2" s="3004"/>
      <c r="D2" s="3004"/>
    </row>
    <row r="3" spans="1:4" ht="18.75">
      <c r="A3" s="1977" t="s">
        <v>1647</v>
      </c>
      <c r="B3" s="1977" t="s">
        <v>1648</v>
      </c>
      <c r="C3" s="1977" t="s">
        <v>1649</v>
      </c>
      <c r="D3" s="1977" t="s">
        <v>1650</v>
      </c>
    </row>
    <row r="4" spans="1:4" ht="56.25" customHeight="1">
      <c r="A4" s="1978" t="str">
        <f>项目基本情况!B4</f>
        <v>刘梅</v>
      </c>
      <c r="B4" s="1979">
        <f ca="1">项目基本情况!C4</f>
        <v>1120140022</v>
      </c>
      <c r="C4" s="1980"/>
      <c r="D4" s="1981" t="s">
        <v>1651</v>
      </c>
    </row>
    <row r="5" spans="1:4" ht="56.25" customHeight="1">
      <c r="A5" s="1978" t="str">
        <f>项目基本情况!D4</f>
        <v>吴薇</v>
      </c>
      <c r="B5" s="1979">
        <f ca="1">项目基本情况!E4</f>
        <v>1419970001</v>
      </c>
      <c r="C5" s="1982"/>
      <c r="D5" s="1981" t="s">
        <v>1651</v>
      </c>
    </row>
    <row r="6" spans="1:4" ht="18">
      <c r="A6" s="3004" t="s">
        <v>1652</v>
      </c>
      <c r="B6" s="3004"/>
      <c r="C6" s="3004"/>
      <c r="D6" s="3004"/>
    </row>
    <row r="7" spans="1:4" ht="18.75">
      <c r="A7" s="1977" t="s">
        <v>1647</v>
      </c>
      <c r="B7" s="1979" t="s">
        <v>1653</v>
      </c>
      <c r="C7" s="1977" t="s">
        <v>1649</v>
      </c>
      <c r="D7" s="1977" t="s">
        <v>1650</v>
      </c>
    </row>
    <row r="8" spans="1:4" ht="56.25" customHeight="1">
      <c r="A8" s="1983" t="s">
        <v>869</v>
      </c>
      <c r="B8" s="1983" t="s">
        <v>1</v>
      </c>
      <c r="C8" s="1980"/>
      <c r="D8" s="1981" t="s">
        <v>1651</v>
      </c>
    </row>
    <row r="9" spans="1:4">
      <c r="A9" s="727"/>
      <c r="B9" s="727"/>
      <c r="C9" s="727"/>
      <c r="D9" s="727"/>
    </row>
    <row r="10" spans="1:4" ht="18.75">
      <c r="A10" s="1984" t="s">
        <v>1654</v>
      </c>
      <c r="B10" s="727"/>
      <c r="C10" s="727"/>
      <c r="D10" s="727"/>
    </row>
    <row r="11" spans="1:4" ht="30" customHeight="1">
      <c r="A11" s="3005" t="s">
        <v>1655</v>
      </c>
      <c r="B11" s="3006"/>
      <c r="C11" s="3006"/>
      <c r="D11" s="3006"/>
    </row>
    <row r="12" spans="1:4" ht="15.75">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6" t="str">
        <f>IF(项目基本情况!B8="抵押","4.本次评估估价师所知悉的法定优先受偿款情况说明如下：","——")</f>
        <v>4.本次评估估价师所知悉的法定优先受偿款情况说明如下：</v>
      </c>
      <c r="B14" s="3007"/>
      <c r="C14" s="3007"/>
      <c r="D14" s="3007"/>
    </row>
    <row r="15" spans="1:4" ht="42" customHeight="1">
      <c r="A15" s="30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6"/>
      <c r="C15" s="3006"/>
      <c r="D15" s="3006"/>
    </row>
    <row r="16" spans="1:4" ht="30" customHeight="1">
      <c r="A16" s="3009" t="s">
        <v>1656</v>
      </c>
      <c r="B16" s="3009"/>
      <c r="C16" s="3009"/>
      <c r="D16" s="3009"/>
    </row>
    <row r="17" spans="1:4" ht="144" customHeight="1">
      <c r="A17" s="3009" t="s">
        <v>1657</v>
      </c>
      <c r="B17" s="3009"/>
      <c r="C17" s="3009"/>
      <c r="D17" s="3009"/>
    </row>
    <row r="18" spans="1:4" ht="15.75" customHeight="1">
      <c r="A18" s="3006" t="str">
        <f>IF(项目基本情况!B8="抵押",结果表!K120,"——")</f>
        <v>故，本次评估不存在估价师知悉的法定优先受偿款</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6"/>
      <c r="C20" s="3006"/>
      <c r="D20" s="3006"/>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1658</v>
      </c>
      <c r="B22" s="3011"/>
      <c r="C22" s="3011"/>
      <c r="D22" s="3011"/>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08">
        <v>42551</v>
      </c>
      <c r="D31" s="30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17" t="s">
        <v>1669</v>
      </c>
      <c r="B15" s="3012" t="s">
        <v>136</v>
      </c>
      <c r="C15" s="3013"/>
    </row>
    <row r="16" spans="1:7" ht="13.5">
      <c r="A16" s="3018"/>
      <c r="B16" s="3012" t="s">
        <v>69</v>
      </c>
      <c r="C16" s="3013"/>
    </row>
    <row r="17" spans="1:3" ht="13.5">
      <c r="A17" s="3018"/>
      <c r="B17" s="3015" t="s">
        <v>1670</v>
      </c>
      <c r="C17" s="2000" t="s">
        <v>1669</v>
      </c>
    </row>
    <row r="18" spans="1:3" ht="13.5">
      <c r="A18" s="3018"/>
      <c r="B18" s="3015"/>
      <c r="C18" s="2000" t="s">
        <v>1671</v>
      </c>
    </row>
    <row r="19" spans="1:3" ht="13.5">
      <c r="A19" s="3018"/>
      <c r="B19" s="3015"/>
      <c r="C19" s="2000" t="s">
        <v>1672</v>
      </c>
    </row>
    <row r="20" spans="1:3" ht="13.5">
      <c r="A20" s="3019"/>
      <c r="B20" s="3014" t="s">
        <v>1673</v>
      </c>
      <c r="C20" s="3013"/>
    </row>
    <row r="21" spans="1:3" ht="13.5">
      <c r="A21" s="2001" t="s">
        <v>1674</v>
      </c>
      <c r="B21" s="2002"/>
      <c r="C21" s="2003"/>
    </row>
    <row r="22" spans="1:3" ht="13.5">
      <c r="A22" s="3016" t="s">
        <v>1675</v>
      </c>
      <c r="B22" s="3014" t="s">
        <v>1676</v>
      </c>
      <c r="C22" s="3013"/>
    </row>
    <row r="23" spans="1:3" ht="13.5">
      <c r="A23" s="3016"/>
      <c r="B23" s="3014" t="s">
        <v>1677</v>
      </c>
      <c r="C23" s="3013"/>
    </row>
    <row r="24" spans="1:3" ht="13.5">
      <c r="A24" s="3016"/>
      <c r="B24" s="3014" t="s">
        <v>1678</v>
      </c>
      <c r="C24" s="3013"/>
    </row>
    <row r="25" spans="1:3" ht="13.5">
      <c r="A25" s="3016"/>
      <c r="B25" s="3015" t="s">
        <v>1679</v>
      </c>
      <c r="C25" s="2000" t="s">
        <v>1680</v>
      </c>
    </row>
    <row r="26" spans="1:3" ht="13.5">
      <c r="A26" s="3016"/>
      <c r="B26" s="3015"/>
      <c r="C26" s="2000" t="s">
        <v>1681</v>
      </c>
    </row>
    <row r="27" spans="1:3" ht="13.5">
      <c r="A27" s="3016"/>
      <c r="B27" s="3015"/>
      <c r="C27" s="2000" t="s">
        <v>1682</v>
      </c>
    </row>
    <row r="28" spans="1:3" ht="13.5">
      <c r="A28" s="3016"/>
      <c r="B28" s="3015"/>
      <c r="C28" s="2000" t="s">
        <v>1683</v>
      </c>
    </row>
    <row r="29" spans="1:3" ht="13.5">
      <c r="A29" s="3016"/>
      <c r="B29" s="3015"/>
      <c r="C29" s="2000" t="s">
        <v>1684</v>
      </c>
    </row>
    <row r="30" spans="1:3" ht="13.5">
      <c r="A30" s="3016"/>
      <c r="B30" s="3015"/>
      <c r="C30" s="2000" t="s">
        <v>1685</v>
      </c>
    </row>
    <row r="31" spans="1:3" ht="13.5">
      <c r="A31" s="3016"/>
      <c r="B31" s="3015"/>
      <c r="C31" s="2000" t="s">
        <v>1686</v>
      </c>
    </row>
    <row r="32" spans="1:3" ht="13.5">
      <c r="A32" s="3016"/>
      <c r="B32" s="3015"/>
      <c r="C32" s="2000" t="s">
        <v>1687</v>
      </c>
    </row>
    <row r="33" spans="1:3" ht="13.5">
      <c r="A33" s="3016"/>
      <c r="B33" s="3015"/>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43299</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43359</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f ca="1">IF(C10&lt;B2,"已过期",1120060040)</f>
        <v>1120060040</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t="s">
        <v>3042</v>
      </c>
      <c r="B12" s="1024">
        <v>1120110054</v>
      </c>
      <c r="C12" s="2942">
        <v>43937</v>
      </c>
      <c r="D12" s="1704" t="s">
        <v>3042</v>
      </c>
      <c r="E12" s="1024">
        <v>2008110060</v>
      </c>
      <c r="F12" s="1032">
        <v>47177</v>
      </c>
    </row>
    <row r="13" spans="1:6" ht="24" customHeight="1">
      <c r="A13" s="1704" t="s">
        <v>840</v>
      </c>
      <c r="B13" s="1024">
        <f ca="1">IF(C13&lt;B2,"已过期",1120070131)</f>
        <v>1120070131</v>
      </c>
      <c r="C13" s="2347">
        <v>43814</v>
      </c>
      <c r="D13" s="2350" t="s">
        <v>840</v>
      </c>
      <c r="E13" s="1024">
        <v>2014110011</v>
      </c>
      <c r="F13" s="1032">
        <v>49302</v>
      </c>
    </row>
    <row r="14" spans="1:6" ht="24" customHeight="1">
      <c r="A14" s="1704" t="s">
        <v>841</v>
      </c>
      <c r="B14" s="1024">
        <f ca="1">IF(C14&lt;B2,"已过期",1120130020)</f>
        <v>1120130020</v>
      </c>
      <c r="C14" s="2347">
        <v>43622</v>
      </c>
      <c r="D14" s="2350"/>
      <c r="E14" s="1024"/>
      <c r="F14" s="1024"/>
    </row>
    <row r="15" spans="1:6" ht="24" customHeight="1">
      <c r="A15" s="1705" t="s">
        <v>1149</v>
      </c>
      <c r="B15" s="1024">
        <v>1120070085</v>
      </c>
      <c r="C15" s="2347">
        <v>43814</v>
      </c>
      <c r="D15" s="2351" t="s">
        <v>1149</v>
      </c>
      <c r="E15" s="1024">
        <v>2004110128</v>
      </c>
      <c r="F15" s="1025">
        <v>47118</v>
      </c>
    </row>
    <row r="16" spans="1:6" ht="24" customHeight="1">
      <c r="A16" s="1704" t="s">
        <v>842</v>
      </c>
      <c r="B16" s="1024">
        <f ca="1">IF(C16&lt;B2,"已过期",1120140022)</f>
        <v>1120140022</v>
      </c>
      <c r="C16" s="2347">
        <v>44029</v>
      </c>
      <c r="D16" s="2350" t="s">
        <v>842</v>
      </c>
      <c r="E16" s="1024">
        <f ca="1">IF(F16&lt;B2,"已过期",2008110059)</f>
        <v>2008110059</v>
      </c>
      <c r="F16" s="1032">
        <v>47177</v>
      </c>
    </row>
    <row r="17" spans="1:7" ht="24" customHeight="1">
      <c r="A17" s="1704"/>
      <c r="B17" s="1024"/>
      <c r="C17" s="2347"/>
      <c r="D17" s="2350"/>
      <c r="E17" s="1024"/>
      <c r="F17" s="1032"/>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843</v>
      </c>
      <c r="E21" s="1024">
        <f ca="1">IF(F21&lt;B2,"已过期",2011110090)</f>
        <v>2011110090</v>
      </c>
      <c r="F21" s="1032">
        <v>48302</v>
      </c>
    </row>
    <row r="22" spans="1:7" ht="24" customHeight="1">
      <c r="A22" s="1704" t="s">
        <v>844</v>
      </c>
      <c r="B22" s="1024">
        <f ca="1">IF(C22&lt;B2,"已过期",1120020033)</f>
        <v>1120020033</v>
      </c>
      <c r="C22" s="2942">
        <v>44339</v>
      </c>
      <c r="D22" s="2350" t="s">
        <v>844</v>
      </c>
      <c r="E22" s="1024">
        <f ca="1">IF(F22&lt;B2,"已过期",2000110137)</f>
        <v>2000110137</v>
      </c>
      <c r="F22" s="1032">
        <v>46387</v>
      </c>
    </row>
    <row r="23" spans="1:7" ht="24" customHeight="1">
      <c r="A23" s="1704" t="s">
        <v>845</v>
      </c>
      <c r="B23" s="1024">
        <f ca="1">IF(C23&lt;B2,"已过期",1120130048)</f>
        <v>1120130048</v>
      </c>
      <c r="C23" s="2347">
        <v>43686</v>
      </c>
      <c r="D23" s="2350"/>
      <c r="E23" s="1024"/>
      <c r="F23" s="1024"/>
    </row>
    <row r="24" spans="1:7" s="1026" customFormat="1" ht="24" customHeight="1">
      <c r="A24" s="1705" t="s">
        <v>1333</v>
      </c>
      <c r="B24" s="1705" t="s">
        <v>1333</v>
      </c>
      <c r="C24" s="2348" t="s">
        <v>1333</v>
      </c>
      <c r="D24" s="2351" t="s">
        <v>1333</v>
      </c>
      <c r="E24" s="1705" t="s">
        <v>1333</v>
      </c>
      <c r="F24" s="1705" t="s">
        <v>1333</v>
      </c>
    </row>
    <row r="25" spans="1:7" ht="24" customHeight="1">
      <c r="A25" s="3020" t="s">
        <v>846</v>
      </c>
      <c r="B25" s="3020"/>
      <c r="C25" s="3020"/>
      <c r="D25" s="3020"/>
      <c r="E25" s="3020"/>
      <c r="F25" s="3020"/>
      <c r="G25" s="3020"/>
    </row>
    <row r="26" spans="1:7" s="1027" customFormat="1" ht="24" customHeight="1">
      <c r="A26" s="3021" t="s">
        <v>847</v>
      </c>
      <c r="B26" s="3021"/>
      <c r="C26" s="3022"/>
      <c r="D26" s="3023" t="s">
        <v>848</v>
      </c>
      <c r="E26" s="3021"/>
      <c r="F26" s="3021"/>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60">
        <v>44377</v>
      </c>
    </row>
    <row r="29" spans="1:7" s="1029" customFormat="1" ht="24" customHeight="1">
      <c r="A29" s="1030"/>
      <c r="B29" s="1030"/>
      <c r="C29" s="2353"/>
      <c r="D29" s="2355"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面积明细</vt:lpstr>
      <vt:lpstr>数据-汇总表</vt:lpstr>
      <vt:lpstr>数据-取费表</vt:lpstr>
      <vt:lpstr>估价对象房地状况</vt:lpstr>
      <vt:lpstr>系统读取表</vt:lpstr>
      <vt:lpstr>结果表</vt:lpstr>
      <vt:lpstr>成本法</vt:lpstr>
      <vt:lpstr>成本法 (元)</vt:lpstr>
      <vt:lpstr>假设开发法</vt:lpstr>
      <vt:lpstr>酒店收入计算</vt:lpstr>
      <vt:lpstr>比较法-住宅</vt:lpstr>
      <vt:lpstr>比较法-商业</vt:lpstr>
      <vt:lpstr>比较法-办公</vt:lpstr>
      <vt:lpstr>比较法-工业</vt:lpstr>
      <vt:lpstr>比较法-车位</vt:lpstr>
      <vt:lpstr>比较法-仓储</vt:lpstr>
      <vt:lpstr>收益法（汇总）</vt:lpstr>
      <vt:lpstr>土地比较法-住宅、综合</vt:lpstr>
      <vt:lpstr>收益法 (元)</vt:lpstr>
      <vt:lpstr>收益法</vt:lpstr>
      <vt:lpstr>收益法 (车库)</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分套价值</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2018-07-18T04:56:32Z</dcterms:modified>
</cp:coreProperties>
</file>